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eLivro" defaultThemeVersion="166925"/>
  <mc:AlternateContent xmlns:mc="http://schemas.openxmlformats.org/markup-compatibility/2006">
    <mc:Choice Requires="x15">
      <x15ac:absPath xmlns:x15ac="http://schemas.microsoft.com/office/spreadsheetml/2010/11/ac" url="Y:\2-BOLETINS\Sínteses 2026\02 - Quadros textos\02-Fevereiro\xxxx_Documentação Relativa à Publicação\xxxx_Final_Envio_Publicação\"/>
    </mc:Choice>
  </mc:AlternateContent>
  <xr:revisionPtr revIDLastSave="0" documentId="13_ncr:1_{BAF88D83-AA00-488E-ADBB-72840375ED53}" xr6:coauthVersionLast="47" xr6:coauthVersionMax="47" xr10:uidLastSave="{00000000-0000-0000-0000-000000000000}"/>
  <bookViews>
    <workbookView xWindow="-120" yWindow="-120" windowWidth="30960" windowHeight="16800" tabRatio="818" activeTab="1" xr2:uid="{00000000-000D-0000-FFFF-FFFF00000000}"/>
  </bookViews>
  <sheets>
    <sheet name="Capa" sheetId="36"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Util. Cond. Dot. Orç" sheetId="25" r:id="rId25"/>
    <sheet name="23 - Desp. Efetiva por PO" sheetId="26" r:id="rId26"/>
    <sheet name="24 - Fator. explic. Contas Nac." sheetId="35" r:id="rId27"/>
    <sheet name="25 - Lista Entidades AC 2026" sheetId="27" r:id="rId28"/>
  </sheets>
  <definedNames>
    <definedName name="_Order1" hidden="1">255</definedName>
    <definedName name="_Order2" hidden="1">255</definedName>
    <definedName name="_Toc168407188" localSheetId="27">'25 - Lista Entidades AC 2026'!$B$10</definedName>
    <definedName name="_Toc168407189" localSheetId="27">'25 - Lista Entidades AC 2026'!#REF!</definedName>
    <definedName name="_Toc168407190" localSheetId="27">'25 - Lista Entidades AC 2026'!$B$49</definedName>
    <definedName name="_Toc168407191" localSheetId="27">'25 - Lista Entidades AC 2026'!$B$54</definedName>
    <definedName name="_Toc168407192" localSheetId="27">'25 - Lista Entidades AC 2026'!#REF!</definedName>
    <definedName name="_Toc168407193" localSheetId="27">'25 - Lista Entidades AC 2026'!$B$90</definedName>
    <definedName name="_Toc168407194" localSheetId="27">'25 - Lista Entidades AC 2026'!$B$107</definedName>
    <definedName name="_Toc168407195" localSheetId="27">'25 - Lista Entidades AC 2026'!#REF!</definedName>
    <definedName name="_Toc168407196" localSheetId="27">'25 - Lista Entidades AC 2026'!$B$130</definedName>
    <definedName name="_Toc168407197" localSheetId="27">'25 - Lista Entidades AC 2026'!$B$142</definedName>
    <definedName name="_Toc168407198" localSheetId="27">'25 - Lista Entidades AC 2026'!$B$158</definedName>
    <definedName name="_Toc168407199" localSheetId="27">'25 - Lista Entidades AC 2026'!$B$251</definedName>
    <definedName name="_Toc168407200" localSheetId="27">'25 - Lista Entidades AC 2026'!$B$276</definedName>
    <definedName name="_Toc168407201" localSheetId="27">'25 - Lista Entidades AC 2026'!$B$315</definedName>
    <definedName name="_Toc168407202" localSheetId="27">'25 - Lista Entidades AC 2026'!$B$397</definedName>
    <definedName name="_Toc168407203" localSheetId="27">'25 - Lista Entidades AC 2026'!$B$415</definedName>
    <definedName name="_Toc168407204" localSheetId="27">'25 - Lista Entidades AC 2026'!$B$446</definedName>
    <definedName name="anscount" hidden="1">1</definedName>
    <definedName name="_xlnm.Print_Area" localSheetId="2">'1 - Saldo Global Rec Desp'!$B$2:$J$27</definedName>
    <definedName name="_xlnm.Print_Area" localSheetId="12">'10 - SS'!$B$2:$H$79</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'!$B$3:$I$33</definedName>
    <definedName name="_xlnm.Print_Area" localSheetId="20">'18 - SNS exec fin'!$B$2:$H$40</definedName>
    <definedName name="_xlnm.Print_Area" localSheetId="21">'19 - Dív não Fin'!$B$2:$Q$56</definedName>
    <definedName name="_xlnm.Print_Area" localSheetId="3">'2 - Conta Consol AP'!$B$2:$N$108</definedName>
    <definedName name="_xlnm.Print_Area" localSheetId="4">'2 - Conta Consol AP_Texto'!$B$2:$L$50</definedName>
    <definedName name="_xlnm.Print_Area" localSheetId="22">'20 - CGA Ind'!$B$2:$O$168</definedName>
    <definedName name="_xlnm.Print_Area" localSheetId="23">'21 - Ef Temp AC+SS'!$B$2:$AE$84</definedName>
    <definedName name="_xlnm.Print_Area" localSheetId="24">'22 - Util. Cond. Dot. Orç'!$B$2:$E$39</definedName>
    <definedName name="_xlnm.Print_Area" localSheetId="25">'23 - Desp. Efetiva por PO'!$B$2:$G$39</definedName>
    <definedName name="_xlnm.Print_Area" localSheetId="27">'25 - Lista Entidades AC 2026'!$B$2:$B$512</definedName>
    <definedName name="_xlnm.Print_Area" localSheetId="5">'3 - Conta AC + SS'!$B$2:$I$62</definedName>
    <definedName name="_xlnm.Print_Area" localSheetId="6">'4 - Conta AC'!$B$2:$I$61</definedName>
    <definedName name="_xlnm.Print_Area" localSheetId="7">'5 - Estado'!$B$2:$I$72</definedName>
    <definedName name="_xlnm.Print_Area" localSheetId="8">'6 - R_Est'!$B$2:$I$73</definedName>
    <definedName name="_xlnm.Print_Area" localSheetId="9">'7 - SFA'!$B$2:$I$78</definedName>
    <definedName name="_xlnm.Print_Area" localSheetId="10">'8 - EPR'!$B$2:$I$78</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4">'22 -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6" l="1"/>
  <c r="C10" i="26"/>
  <c r="E10" i="33"/>
  <c r="D10" i="33"/>
  <c r="C10" i="32"/>
  <c r="C10" i="31"/>
  <c r="F11" i="18"/>
  <c r="E11" i="18"/>
  <c r="E10" i="18"/>
  <c r="C10" i="18"/>
  <c r="L12" i="17"/>
  <c r="K12" i="17"/>
  <c r="H12" i="17"/>
  <c r="E12" i="17"/>
  <c r="I11" i="17"/>
  <c r="F11" i="17"/>
  <c r="C11" i="17"/>
  <c r="H11" i="16"/>
  <c r="G10" i="16"/>
  <c r="E10" i="16"/>
  <c r="D10" i="16"/>
  <c r="H11" i="15"/>
  <c r="G10" i="15"/>
  <c r="E10" i="15"/>
  <c r="I11" i="14"/>
  <c r="H10" i="14"/>
  <c r="G10" i="14"/>
  <c r="E10" i="14"/>
  <c r="I11" i="13"/>
  <c r="H10" i="13"/>
  <c r="G10" i="13"/>
  <c r="E10" i="13"/>
  <c r="I11" i="12"/>
  <c r="H10" i="12"/>
  <c r="G10" i="12"/>
  <c r="E10" i="12"/>
  <c r="I11" i="11"/>
  <c r="H11" i="11"/>
  <c r="H10" i="11"/>
  <c r="G10" i="11"/>
  <c r="E10" i="11"/>
  <c r="I11" i="10"/>
  <c r="H11" i="10"/>
  <c r="H10" i="10"/>
  <c r="G10" i="10"/>
  <c r="E10" i="10"/>
  <c r="I11" i="6"/>
  <c r="H11" i="6"/>
  <c r="H10" i="6"/>
  <c r="G10" i="6"/>
  <c r="E10" i="6"/>
  <c r="I11" i="5"/>
  <c r="H11" i="5"/>
  <c r="H10" i="5"/>
  <c r="G10" i="5"/>
  <c r="E10" i="5"/>
  <c r="D10" i="5"/>
  <c r="D10" i="2"/>
  <c r="G12" i="14"/>
  <c r="I10" i="1"/>
  <c r="D11" i="29" l="1"/>
  <c r="G11" i="29"/>
  <c r="F11" i="29"/>
  <c r="E11" i="29"/>
  <c r="C10" i="5"/>
  <c r="B8" i="27" l="1"/>
  <c r="B8" i="35"/>
  <c r="B8" i="26"/>
  <c r="B8" i="25"/>
  <c r="T75" i="23" l="1"/>
  <c r="T71" i="23"/>
  <c r="H11" i="20" l="1"/>
  <c r="G11" i="20"/>
  <c r="G10" i="20"/>
  <c r="E10" i="20"/>
  <c r="BH11" i="35" l="1"/>
  <c r="BG11" i="35"/>
  <c r="AF11" i="35"/>
  <c r="E15" i="35" l="1"/>
  <c r="C15" i="35"/>
  <c r="E14" i="35"/>
  <c r="D14" i="35"/>
  <c r="C14" i="35"/>
  <c r="F11" i="19"/>
  <c r="E11" i="19"/>
  <c r="G32" i="19" l="1"/>
  <c r="F32" i="19"/>
  <c r="E32" i="19"/>
  <c r="H31" i="19"/>
  <c r="H30" i="19"/>
  <c r="H29" i="19"/>
  <c r="H28" i="19"/>
  <c r="H27" i="19"/>
  <c r="H26" i="19"/>
  <c r="H25" i="19"/>
  <c r="H24" i="19"/>
  <c r="H23" i="19"/>
  <c r="H21" i="19"/>
  <c r="H20" i="19"/>
  <c r="H19" i="19"/>
  <c r="H18" i="19"/>
  <c r="H17" i="19"/>
  <c r="H16" i="19"/>
  <c r="H15" i="19"/>
  <c r="H14" i="19"/>
  <c r="H12" i="19"/>
  <c r="B515" i="27"/>
  <c r="E22" i="19"/>
  <c r="F22" i="19"/>
  <c r="G22" i="19"/>
  <c r="E13" i="19"/>
  <c r="F13" i="19"/>
  <c r="G13" i="19"/>
  <c r="B16" i="19"/>
  <c r="B15" i="19"/>
  <c r="B17" i="19"/>
  <c r="B36" i="21"/>
  <c r="B522" i="27"/>
  <c r="B521" i="27"/>
  <c r="B520" i="27"/>
  <c r="B519" i="27"/>
  <c r="B518" i="27"/>
  <c r="B517" i="27"/>
  <c r="B516" i="27"/>
  <c r="B514" i="27"/>
  <c r="B513" i="27"/>
  <c r="B512" i="27" l="1"/>
  <c r="B85" i="18" l="1"/>
  <c r="P41" i="21" l="1"/>
  <c r="O41" i="21"/>
  <c r="N41" i="21"/>
  <c r="M41" i="21"/>
  <c r="L41" i="21"/>
  <c r="K41" i="21"/>
  <c r="J41" i="21"/>
  <c r="I41" i="21"/>
  <c r="H41" i="21"/>
  <c r="G41" i="21"/>
  <c r="F41" i="21"/>
  <c r="E41" i="21"/>
  <c r="D41" i="21"/>
  <c r="P12" i="21"/>
  <c r="O31" i="21"/>
  <c r="N31" i="21"/>
  <c r="M31" i="21"/>
  <c r="L31" i="21"/>
  <c r="K31" i="21"/>
  <c r="J31" i="21"/>
  <c r="I31" i="21"/>
  <c r="H31" i="21"/>
  <c r="G31" i="21"/>
  <c r="F31" i="21"/>
  <c r="E31" i="21"/>
  <c r="D31" i="21"/>
  <c r="O12" i="21"/>
  <c r="N12" i="21"/>
  <c r="M12" i="21"/>
  <c r="L12" i="21"/>
  <c r="K12" i="21"/>
  <c r="J12" i="21"/>
  <c r="I12" i="21"/>
  <c r="H12" i="21"/>
  <c r="G12" i="21"/>
  <c r="F12" i="21"/>
  <c r="E12" i="21"/>
  <c r="D12" i="21"/>
  <c r="J34" i="17"/>
  <c r="C34" i="17"/>
  <c r="E50" i="14"/>
  <c r="E38" i="14"/>
  <c r="E15" i="14" l="1"/>
  <c r="C18" i="31"/>
  <c r="D18" i="31"/>
  <c r="E18" i="31"/>
  <c r="F18" i="31"/>
  <c r="G18" i="31"/>
  <c r="H18" i="31"/>
  <c r="B31" i="25"/>
  <c r="B30" i="25"/>
  <c r="B29" i="25"/>
  <c r="B28" i="25"/>
  <c r="B27" i="25"/>
  <c r="B26" i="25"/>
  <c r="B25" i="25"/>
  <c r="B24" i="25"/>
  <c r="B23" i="25"/>
  <c r="B22" i="25"/>
  <c r="B21" i="25"/>
  <c r="B20" i="25"/>
  <c r="B19" i="25"/>
  <c r="B18" i="25"/>
  <c r="B17" i="25"/>
  <c r="B16" i="25"/>
  <c r="B15" i="25"/>
  <c r="B14" i="25"/>
  <c r="B13" i="25"/>
  <c r="E11" i="25" l="1"/>
  <c r="D11" i="25"/>
  <c r="Q77" i="23"/>
  <c r="Q76" i="23"/>
  <c r="Q74" i="23"/>
  <c r="Q73" i="23"/>
  <c r="Q72" i="23"/>
  <c r="Q70" i="23"/>
  <c r="Q69" i="23"/>
  <c r="Q68" i="23"/>
  <c r="Q67" i="23"/>
  <c r="Q66" i="23"/>
  <c r="Q65" i="23"/>
  <c r="Q64" i="23"/>
  <c r="Q63" i="23"/>
  <c r="Q62" i="23"/>
  <c r="Q61" i="23"/>
  <c r="Q60" i="23"/>
  <c r="Q59" i="23"/>
  <c r="Q58" i="23"/>
  <c r="Q57" i="23"/>
  <c r="Q56" i="23"/>
  <c r="Q55" i="23"/>
  <c r="Q54" i="23"/>
  <c r="B72" i="11"/>
  <c r="B9" i="25" l="1"/>
  <c r="B38" i="25"/>
  <c r="C31" i="25" l="1"/>
  <c r="C30" i="25"/>
  <c r="C29" i="25"/>
  <c r="C28" i="25"/>
  <c r="C27" i="25"/>
  <c r="C26" i="25"/>
  <c r="C25" i="25"/>
  <c r="C24" i="25"/>
  <c r="C23" i="25"/>
  <c r="C22" i="25"/>
  <c r="C21" i="25"/>
  <c r="C20" i="25"/>
  <c r="C19" i="25"/>
  <c r="C18" i="25"/>
  <c r="C17" i="25"/>
  <c r="C16" i="25"/>
  <c r="C15" i="25"/>
  <c r="C14" i="25"/>
  <c r="C13" i="25"/>
  <c r="B34" i="25" l="1"/>
  <c r="B33" i="32"/>
  <c r="B32" i="32"/>
  <c r="B31" i="32"/>
  <c r="B30" i="32"/>
  <c r="B29" i="32"/>
  <c r="B28" i="32"/>
  <c r="B27" i="32"/>
  <c r="B26" i="32"/>
  <c r="B25" i="32"/>
  <c r="B24" i="32"/>
  <c r="B23" i="32"/>
  <c r="B22" i="32"/>
  <c r="B21" i="32"/>
  <c r="B20" i="32"/>
  <c r="B19" i="32"/>
  <c r="B18" i="32"/>
  <c r="B17" i="32"/>
  <c r="B16" i="32"/>
  <c r="B15" i="32"/>
  <c r="B34" i="32"/>
  <c r="C163" i="29"/>
  <c r="C162" i="29"/>
  <c r="C134" i="29"/>
  <c r="C133" i="29"/>
  <c r="C91" i="29"/>
  <c r="C90" i="29"/>
  <c r="C49" i="29"/>
  <c r="C48" i="29"/>
  <c r="B72" i="10" l="1"/>
  <c r="E13" i="6" l="1"/>
  <c r="F13" i="6"/>
  <c r="B9" i="5" l="1"/>
  <c r="B6" i="27"/>
  <c r="B6" i="35"/>
  <c r="B6" i="26"/>
  <c r="B6" i="25"/>
  <c r="B6" i="23"/>
  <c r="B6" i="29"/>
  <c r="B6" i="21"/>
  <c r="B6" i="20"/>
  <c r="B6" i="19"/>
  <c r="B6" i="33"/>
  <c r="B6" i="32"/>
  <c r="B6" i="31"/>
  <c r="B6" i="18"/>
  <c r="B6" i="17"/>
  <c r="B6" i="16"/>
  <c r="B6" i="15"/>
  <c r="B6" i="14"/>
  <c r="B6" i="13"/>
  <c r="B6" i="12"/>
  <c r="B6" i="11"/>
  <c r="B6" i="10"/>
  <c r="B6" i="6"/>
  <c r="B6" i="5"/>
  <c r="B6" i="2"/>
  <c r="B6" i="1"/>
  <c r="E9" i="9"/>
  <c r="D9" i="9"/>
  <c r="F9" i="9"/>
  <c r="D4" i="9"/>
  <c r="A19" i="36"/>
  <c r="B511" i="27" l="1"/>
  <c r="B27" i="26"/>
  <c r="B31" i="26"/>
  <c r="P31" i="21"/>
  <c r="B30" i="26" l="1"/>
  <c r="B28" i="26"/>
  <c r="B26" i="26" l="1"/>
  <c r="B25" i="26"/>
  <c r="B24" i="26"/>
  <c r="B23" i="26"/>
  <c r="B22" i="26"/>
  <c r="B21" i="26"/>
  <c r="B20" i="26"/>
  <c r="B19" i="26"/>
  <c r="B18" i="26"/>
  <c r="B17" i="26"/>
  <c r="S9" i="23" l="1"/>
  <c r="B73" i="23" l="1"/>
  <c r="P76" i="23" l="1"/>
  <c r="G13" i="20" l="1"/>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12" i="20"/>
  <c r="S71" i="23"/>
  <c r="S75" i="23"/>
  <c r="D13" i="19" l="1"/>
  <c r="H13" i="19" s="1"/>
  <c r="C13" i="19"/>
  <c r="B27" i="19" l="1"/>
  <c r="B19" i="19"/>
  <c r="B14" i="19"/>
  <c r="BF22" i="35" l="1"/>
  <c r="AS22" i="35"/>
  <c r="BF21" i="35"/>
  <c r="AS21" i="35"/>
  <c r="BF20" i="35"/>
  <c r="AS20" i="35"/>
  <c r="BF19" i="35"/>
  <c r="AS19" i="35"/>
  <c r="BE18" i="35"/>
  <c r="BD18" i="35"/>
  <c r="BC18" i="35"/>
  <c r="BB18" i="35"/>
  <c r="BA18" i="35"/>
  <c r="AZ18" i="35"/>
  <c r="AY18" i="35"/>
  <c r="AX18" i="35"/>
  <c r="AW18" i="35"/>
  <c r="AV18" i="35"/>
  <c r="AU18" i="35"/>
  <c r="AT18" i="35"/>
  <c r="AR18" i="35"/>
  <c r="AQ18" i="35"/>
  <c r="AP18" i="35"/>
  <c r="AO18" i="35"/>
  <c r="AN18" i="35"/>
  <c r="AM18" i="35"/>
  <c r="AL18" i="35"/>
  <c r="AK18" i="35"/>
  <c r="AJ18" i="35"/>
  <c r="AI18" i="35"/>
  <c r="AH18" i="35"/>
  <c r="AG18" i="35"/>
  <c r="BF17" i="35"/>
  <c r="AS17" i="35"/>
  <c r="BF16" i="35"/>
  <c r="AS16" i="35"/>
  <c r="BF15" i="35"/>
  <c r="AS15" i="35"/>
  <c r="BF14" i="35"/>
  <c r="AS14" i="35"/>
  <c r="AE22" i="35"/>
  <c r="AE21" i="35"/>
  <c r="AE20" i="35"/>
  <c r="AE19" i="35"/>
  <c r="AE17" i="35"/>
  <c r="AE16" i="35"/>
  <c r="AE15" i="35"/>
  <c r="AE14" i="35"/>
  <c r="R22" i="35"/>
  <c r="R21" i="35"/>
  <c r="R20" i="35"/>
  <c r="R19" i="35"/>
  <c r="R16" i="35"/>
  <c r="R17" i="35"/>
  <c r="AD18" i="35"/>
  <c r="AC18" i="35"/>
  <c r="AB18" i="35"/>
  <c r="AA18" i="35"/>
  <c r="Z18" i="35"/>
  <c r="Y18" i="35"/>
  <c r="X18" i="35"/>
  <c r="W18" i="35"/>
  <c r="V18" i="35"/>
  <c r="U18" i="35"/>
  <c r="T18" i="35"/>
  <c r="S18" i="35"/>
  <c r="G18" i="35"/>
  <c r="H18" i="35"/>
  <c r="I18" i="35"/>
  <c r="J18" i="35"/>
  <c r="K18" i="35"/>
  <c r="L18" i="35"/>
  <c r="M18" i="35"/>
  <c r="N18" i="35"/>
  <c r="O18" i="35"/>
  <c r="P18" i="35"/>
  <c r="Q18" i="35"/>
  <c r="BE13" i="35"/>
  <c r="BD13" i="35"/>
  <c r="BC13" i="35"/>
  <c r="BB13" i="35"/>
  <c r="BA13" i="35"/>
  <c r="AZ13" i="35"/>
  <c r="AY13" i="35"/>
  <c r="AX13" i="35"/>
  <c r="AW13" i="35"/>
  <c r="AV13" i="35"/>
  <c r="AU13" i="35"/>
  <c r="AT13" i="35"/>
  <c r="AR13" i="35"/>
  <c r="AQ13" i="35"/>
  <c r="AP13" i="35"/>
  <c r="AO13" i="35"/>
  <c r="AN13" i="35"/>
  <c r="AM13" i="35"/>
  <c r="AL13" i="35"/>
  <c r="AK13" i="35"/>
  <c r="AJ13" i="35"/>
  <c r="AI13" i="35"/>
  <c r="AH13" i="35"/>
  <c r="AG13" i="35"/>
  <c r="AD13" i="35"/>
  <c r="AC13" i="35"/>
  <c r="AB13" i="35"/>
  <c r="AA13" i="35"/>
  <c r="Z13" i="35"/>
  <c r="Y13" i="35"/>
  <c r="X13" i="35"/>
  <c r="W13" i="35"/>
  <c r="V13" i="35"/>
  <c r="U13" i="35"/>
  <c r="T13" i="35"/>
  <c r="S13" i="35"/>
  <c r="G13" i="35"/>
  <c r="H13" i="35"/>
  <c r="I13" i="35"/>
  <c r="J13" i="35"/>
  <c r="K13" i="35"/>
  <c r="L13" i="35"/>
  <c r="M13" i="35"/>
  <c r="N13" i="35"/>
  <c r="O13" i="35"/>
  <c r="P13" i="35"/>
  <c r="Q13" i="35"/>
  <c r="F18" i="35"/>
  <c r="F13" i="35"/>
  <c r="AS18" i="35" l="1"/>
  <c r="BG19" i="35"/>
  <c r="BG20" i="35"/>
  <c r="BH20" i="35" s="1"/>
  <c r="BG21" i="35"/>
  <c r="BH21" i="35" s="1"/>
  <c r="BF18" i="35"/>
  <c r="BG22" i="35"/>
  <c r="BH22" i="35" s="1"/>
  <c r="BG16" i="35"/>
  <c r="BH16" i="35" s="1"/>
  <c r="BG17" i="35"/>
  <c r="BH17" i="35" s="1"/>
  <c r="I23" i="17" l="1"/>
  <c r="J23" i="17"/>
  <c r="H16" i="17"/>
  <c r="H17" i="17"/>
  <c r="H18" i="17"/>
  <c r="E16" i="17"/>
  <c r="E17" i="17"/>
  <c r="E18" i="17"/>
  <c r="E20" i="17"/>
  <c r="E21" i="17"/>
  <c r="E22" i="17"/>
  <c r="E24" i="17"/>
  <c r="E26" i="17"/>
  <c r="E27" i="17"/>
  <c r="E28" i="17"/>
  <c r="E29" i="17"/>
  <c r="E30" i="17"/>
  <c r="E33" i="17"/>
  <c r="E35" i="17"/>
  <c r="E37" i="17"/>
  <c r="E38" i="17"/>
  <c r="E39" i="17"/>
  <c r="E40" i="17"/>
  <c r="E41" i="17"/>
  <c r="D18" i="16"/>
  <c r="E18" i="16"/>
  <c r="F18" i="16"/>
  <c r="B83" i="18" l="1"/>
  <c r="E24" i="5" l="1"/>
  <c r="H45" i="14" l="1"/>
  <c r="G45" i="14"/>
  <c r="H44" i="14"/>
  <c r="G44" i="14"/>
  <c r="H43" i="14"/>
  <c r="G43" i="14"/>
  <c r="H42" i="14"/>
  <c r="G42" i="14"/>
  <c r="H41" i="14"/>
  <c r="G41" i="14"/>
  <c r="H40" i="14"/>
  <c r="G40" i="14"/>
  <c r="H39" i="14"/>
  <c r="G39" i="14"/>
  <c r="H37" i="14"/>
  <c r="G37" i="14"/>
  <c r="H36" i="14"/>
  <c r="G36" i="14"/>
  <c r="H35" i="14"/>
  <c r="G35" i="14"/>
  <c r="H34" i="14"/>
  <c r="G34" i="14"/>
  <c r="H33" i="14"/>
  <c r="G33" i="14"/>
  <c r="H29" i="14"/>
  <c r="G29" i="14"/>
  <c r="H28" i="14"/>
  <c r="G28" i="14"/>
  <c r="H27" i="14"/>
  <c r="G27" i="14"/>
  <c r="H26" i="14"/>
  <c r="G26" i="14"/>
  <c r="H25" i="14"/>
  <c r="G25" i="14"/>
  <c r="H24" i="14"/>
  <c r="G24" i="14"/>
  <c r="H23" i="14"/>
  <c r="G23" i="14"/>
  <c r="H22" i="14"/>
  <c r="G22" i="14"/>
  <c r="H20" i="14"/>
  <c r="G20" i="14"/>
  <c r="H17" i="14"/>
  <c r="G17" i="14"/>
  <c r="H16" i="14"/>
  <c r="G16" i="14"/>
  <c r="H14" i="14"/>
  <c r="G14" i="14"/>
  <c r="B57" i="23" l="1"/>
  <c r="AE56" i="23"/>
  <c r="R56" i="23"/>
  <c r="C56" i="23"/>
  <c r="B56" i="23"/>
  <c r="F38" i="14"/>
  <c r="E32" i="14"/>
  <c r="F32" i="14"/>
  <c r="F15" i="14"/>
  <c r="F13" i="14" s="1"/>
  <c r="F31" i="14" l="1"/>
  <c r="F46" i="14" s="1"/>
  <c r="H38" i="14"/>
  <c r="F19" i="14"/>
  <c r="F18" i="14" s="1"/>
  <c r="F12" i="14" s="1"/>
  <c r="H32" i="14"/>
  <c r="E19" i="14"/>
  <c r="H21" i="14"/>
  <c r="E18" i="14"/>
  <c r="H15" i="14"/>
  <c r="E13" i="14"/>
  <c r="E31" i="14"/>
  <c r="P75" i="23"/>
  <c r="O75" i="23"/>
  <c r="N75" i="23"/>
  <c r="M75" i="23"/>
  <c r="L75" i="23"/>
  <c r="K75" i="23"/>
  <c r="J75" i="23"/>
  <c r="H75" i="23"/>
  <c r="F75" i="23"/>
  <c r="Q75" i="23" s="1"/>
  <c r="L72" i="23"/>
  <c r="P72" i="23" s="1"/>
  <c r="P71" i="23"/>
  <c r="O71" i="23"/>
  <c r="N71" i="23"/>
  <c r="M71" i="23"/>
  <c r="L71" i="23"/>
  <c r="K71" i="23"/>
  <c r="J71" i="23"/>
  <c r="I71" i="23"/>
  <c r="H71" i="23"/>
  <c r="F71" i="23"/>
  <c r="Q71" i="23" s="1"/>
  <c r="P70" i="23"/>
  <c r="P69" i="23"/>
  <c r="O69" i="23"/>
  <c r="N69" i="23"/>
  <c r="M69" i="23"/>
  <c r="L69" i="23"/>
  <c r="K69" i="23"/>
  <c r="H63" i="23"/>
  <c r="C10" i="19"/>
  <c r="C10" i="33"/>
  <c r="C49" i="16"/>
  <c r="C47" i="16"/>
  <c r="C40" i="16"/>
  <c r="C34" i="16"/>
  <c r="C33" i="16"/>
  <c r="C26" i="16"/>
  <c r="C24" i="16"/>
  <c r="C18" i="16"/>
  <c r="C13" i="16"/>
  <c r="G11" i="16"/>
  <c r="C10" i="16"/>
  <c r="C65" i="15"/>
  <c r="C36" i="15"/>
  <c r="C35" i="15"/>
  <c r="C68" i="15" s="1"/>
  <c r="C30" i="15"/>
  <c r="C12" i="15"/>
  <c r="G11" i="15"/>
  <c r="D10" i="15"/>
  <c r="C10" i="15"/>
  <c r="C30" i="14"/>
  <c r="H11" i="14"/>
  <c r="D10" i="14"/>
  <c r="C10" i="14"/>
  <c r="C52" i="13"/>
  <c r="C50" i="13" s="1"/>
  <c r="C42" i="13"/>
  <c r="C36" i="13"/>
  <c r="C27" i="13"/>
  <c r="C25" i="13"/>
  <c r="C63" i="13" s="1"/>
  <c r="C18" i="13"/>
  <c r="C13" i="13"/>
  <c r="C12" i="13" s="1"/>
  <c r="H11" i="13"/>
  <c r="C10" i="13"/>
  <c r="C52" i="12"/>
  <c r="C50" i="12" s="1"/>
  <c r="C42" i="12"/>
  <c r="C36" i="12"/>
  <c r="C35" i="12"/>
  <c r="C27" i="12"/>
  <c r="C25" i="12" s="1"/>
  <c r="C18" i="12"/>
  <c r="C13" i="12"/>
  <c r="C12" i="12" s="1"/>
  <c r="C10" i="12"/>
  <c r="C10" i="11"/>
  <c r="C52" i="10"/>
  <c r="C50" i="10" s="1"/>
  <c r="C42" i="10"/>
  <c r="C36" i="10"/>
  <c r="C27" i="10"/>
  <c r="C25" i="10" s="1"/>
  <c r="C18" i="10"/>
  <c r="C13" i="10"/>
  <c r="C12" i="10"/>
  <c r="C10" i="10"/>
  <c r="C45" i="6"/>
  <c r="C43" i="6"/>
  <c r="C37" i="6"/>
  <c r="C31" i="6"/>
  <c r="C24" i="6"/>
  <c r="C22" i="6" s="1"/>
  <c r="C55" i="6" s="1"/>
  <c r="C17" i="6"/>
  <c r="C12" i="6" s="1"/>
  <c r="C13" i="6"/>
  <c r="C10" i="6"/>
  <c r="C10" i="2"/>
  <c r="C45" i="5"/>
  <c r="C43" i="5"/>
  <c r="C37" i="5"/>
  <c r="C31" i="5"/>
  <c r="C30" i="5" s="1"/>
  <c r="C24" i="5"/>
  <c r="C22" i="5"/>
  <c r="C17" i="5"/>
  <c r="C12" i="5" s="1"/>
  <c r="C29" i="5" s="1"/>
  <c r="C13" i="5"/>
  <c r="C46" i="2"/>
  <c r="C44" i="2"/>
  <c r="C38" i="2"/>
  <c r="C32" i="2"/>
  <c r="C31" i="2" s="1"/>
  <c r="C51" i="2" s="1"/>
  <c r="C53" i="2" s="1"/>
  <c r="C25" i="2"/>
  <c r="C23" i="2"/>
  <c r="C55" i="2" s="1"/>
  <c r="C18" i="2"/>
  <c r="C14" i="2"/>
  <c r="C13" i="2"/>
  <c r="B61" i="5"/>
  <c r="B59" i="2"/>
  <c r="B58" i="2"/>
  <c r="B26" i="1"/>
  <c r="A18" i="36"/>
  <c r="C59" i="12" l="1"/>
  <c r="C61" i="12" s="1"/>
  <c r="C63" i="12"/>
  <c r="C35" i="10"/>
  <c r="C59" i="10" s="1"/>
  <c r="C61" i="10" s="1"/>
  <c r="H19" i="14"/>
  <c r="H18" i="14"/>
  <c r="H31" i="14"/>
  <c r="E46" i="14"/>
  <c r="E12" i="14"/>
  <c r="H12" i="14" s="1"/>
  <c r="C35" i="13"/>
  <c r="C59" i="13" s="1"/>
  <c r="C61" i="13" s="1"/>
  <c r="C54" i="5"/>
  <c r="C30" i="6"/>
  <c r="C50" i="6" s="1"/>
  <c r="C53" i="6" s="1"/>
  <c r="C34" i="15"/>
  <c r="C69" i="15" s="1"/>
  <c r="C73" i="15" s="1"/>
  <c r="C55" i="16"/>
  <c r="C57" i="16" s="1"/>
  <c r="C12" i="16"/>
  <c r="C32" i="16" s="1"/>
  <c r="C56" i="16" s="1"/>
  <c r="C60" i="16"/>
  <c r="H13" i="14"/>
  <c r="C34" i="13"/>
  <c r="C62" i="12"/>
  <c r="C60" i="12"/>
  <c r="C34" i="12"/>
  <c r="C62" i="10"/>
  <c r="C63" i="10"/>
  <c r="C34" i="10"/>
  <c r="C29" i="6"/>
  <c r="C53" i="5"/>
  <c r="C50" i="5"/>
  <c r="C30" i="2"/>
  <c r="C54" i="2"/>
  <c r="Q44" i="21"/>
  <c r="Q43" i="21"/>
  <c r="Q45" i="21"/>
  <c r="Q46" i="21"/>
  <c r="Q47" i="21"/>
  <c r="Q48" i="21"/>
  <c r="C62" i="13" l="1"/>
  <c r="C60" i="13"/>
  <c r="C70" i="13" s="1"/>
  <c r="C51" i="6"/>
  <c r="C56" i="6" s="1"/>
  <c r="C60" i="10"/>
  <c r="C64" i="10" s="1"/>
  <c r="C54" i="6"/>
  <c r="I44" i="14"/>
  <c r="I33" i="14"/>
  <c r="I45" i="14"/>
  <c r="I34" i="14"/>
  <c r="I35" i="14"/>
  <c r="I36" i="14"/>
  <c r="I37" i="14"/>
  <c r="I38" i="14"/>
  <c r="I39" i="14"/>
  <c r="I40" i="14"/>
  <c r="I41" i="14"/>
  <c r="I42" i="14"/>
  <c r="I43" i="14"/>
  <c r="H46" i="14"/>
  <c r="I32" i="14"/>
  <c r="I31" i="14"/>
  <c r="C59" i="16"/>
  <c r="C58" i="16"/>
  <c r="C66" i="16"/>
  <c r="C64" i="13"/>
  <c r="C64" i="12"/>
  <c r="C70" i="12"/>
  <c r="C51" i="5"/>
  <c r="C55" i="5" s="1"/>
  <c r="C52" i="5"/>
  <c r="C52" i="2"/>
  <c r="C56" i="2"/>
  <c r="B67" i="23"/>
  <c r="AE66" i="23" l="1"/>
  <c r="R66" i="23"/>
  <c r="C66" i="23"/>
  <c r="B66" i="23"/>
  <c r="E55" i="11"/>
  <c r="F55" i="11"/>
  <c r="C160" i="29" l="1"/>
  <c r="C159" i="29"/>
  <c r="C131" i="29"/>
  <c r="C130" i="29"/>
  <c r="C88" i="29"/>
  <c r="C87" i="29"/>
  <c r="C46" i="29"/>
  <c r="C45" i="29"/>
  <c r="E38" i="2" l="1"/>
  <c r="D38" i="2" l="1"/>
  <c r="D18" i="2"/>
  <c r="C61" i="18" l="1"/>
  <c r="I25" i="2"/>
  <c r="G46" i="2"/>
  <c r="G18" i="2"/>
  <c r="E25" i="2"/>
  <c r="E18" i="2"/>
  <c r="R15" i="35" l="1"/>
  <c r="AF15" i="35" l="1"/>
  <c r="BG15" i="35"/>
  <c r="F24" i="5"/>
  <c r="BH15" i="35" l="1"/>
  <c r="B68" i="23"/>
  <c r="K19" i="23"/>
  <c r="C158" i="29"/>
  <c r="C129" i="29"/>
  <c r="C86" i="29"/>
  <c r="C44" i="29"/>
  <c r="E33" i="26" l="1"/>
  <c r="H21" i="20" l="1"/>
  <c r="H22" i="20"/>
  <c r="H23" i="20"/>
  <c r="H24" i="20"/>
  <c r="H25" i="20"/>
  <c r="H26" i="20"/>
  <c r="H27" i="20"/>
  <c r="H28" i="20"/>
  <c r="H29" i="20"/>
  <c r="H30" i="20"/>
  <c r="H31" i="20"/>
  <c r="H32" i="20"/>
  <c r="H33" i="20"/>
  <c r="H34" i="20"/>
  <c r="H35" i="20"/>
  <c r="H36" i="20"/>
  <c r="H20" i="20"/>
  <c r="H13" i="20"/>
  <c r="H14" i="20"/>
  <c r="H15" i="20"/>
  <c r="H16" i="20"/>
  <c r="H17" i="20"/>
  <c r="H18" i="20"/>
  <c r="H12" i="20"/>
  <c r="E31" i="33" l="1"/>
  <c r="F49" i="16" l="1"/>
  <c r="F47" i="16" s="1"/>
  <c r="E49" i="16"/>
  <c r="E47" i="16" s="1"/>
  <c r="F40" i="16"/>
  <c r="E40" i="16"/>
  <c r="F34" i="16"/>
  <c r="E34" i="16"/>
  <c r="F26" i="16"/>
  <c r="F24" i="16" s="1"/>
  <c r="E26" i="16"/>
  <c r="E24" i="16" s="1"/>
  <c r="F13" i="16"/>
  <c r="F12" i="16" s="1"/>
  <c r="E13" i="16"/>
  <c r="E12" i="16" s="1"/>
  <c r="F45" i="5"/>
  <c r="E45" i="5"/>
  <c r="F37" i="5"/>
  <c r="E37" i="5"/>
  <c r="F31" i="5"/>
  <c r="E31" i="5"/>
  <c r="F22" i="5"/>
  <c r="F17" i="5"/>
  <c r="E17" i="5"/>
  <c r="F13" i="5"/>
  <c r="E13" i="5"/>
  <c r="F30" i="14"/>
  <c r="F47" i="14" s="1"/>
  <c r="F50" i="14" s="1"/>
  <c r="E30" i="14"/>
  <c r="F52" i="13"/>
  <c r="F50" i="13" s="1"/>
  <c r="E52" i="13"/>
  <c r="E50" i="13" s="1"/>
  <c r="F42" i="13"/>
  <c r="E42" i="13"/>
  <c r="F36" i="13"/>
  <c r="E36" i="13"/>
  <c r="F27" i="13"/>
  <c r="F25" i="13" s="1"/>
  <c r="E27" i="13"/>
  <c r="E25" i="13" s="1"/>
  <c r="F18" i="13"/>
  <c r="E18" i="13"/>
  <c r="F13" i="13"/>
  <c r="E13" i="13"/>
  <c r="F52" i="12"/>
  <c r="F50" i="12" s="1"/>
  <c r="E52" i="12"/>
  <c r="E50" i="12" s="1"/>
  <c r="F42" i="12"/>
  <c r="E42" i="12"/>
  <c r="F36" i="12"/>
  <c r="E36" i="12"/>
  <c r="F27" i="12"/>
  <c r="F25" i="12" s="1"/>
  <c r="E27" i="12"/>
  <c r="E25" i="12" s="1"/>
  <c r="F18" i="12"/>
  <c r="E18" i="12"/>
  <c r="F13" i="12"/>
  <c r="E13" i="12"/>
  <c r="F52" i="10"/>
  <c r="E52" i="10"/>
  <c r="F42" i="10"/>
  <c r="E42" i="10"/>
  <c r="F36" i="10"/>
  <c r="E36" i="10"/>
  <c r="F27" i="10"/>
  <c r="E27" i="10"/>
  <c r="F18" i="10"/>
  <c r="E18" i="10"/>
  <c r="F13" i="10"/>
  <c r="E13" i="10"/>
  <c r="F45" i="6"/>
  <c r="F43" i="6" s="1"/>
  <c r="E45" i="6"/>
  <c r="E43" i="6" s="1"/>
  <c r="F37" i="6"/>
  <c r="E37" i="6"/>
  <c r="F31" i="6"/>
  <c r="E31" i="6"/>
  <c r="F24" i="6"/>
  <c r="F22" i="6" s="1"/>
  <c r="E24" i="6"/>
  <c r="E22" i="6" s="1"/>
  <c r="F17" i="6"/>
  <c r="F12" i="6" s="1"/>
  <c r="E17" i="6"/>
  <c r="E12" i="6" s="1"/>
  <c r="E12" i="12" l="1"/>
  <c r="I24" i="14"/>
  <c r="I14" i="14"/>
  <c r="I26" i="14"/>
  <c r="I16" i="14"/>
  <c r="I28" i="14"/>
  <c r="I17" i="14"/>
  <c r="I29" i="14"/>
  <c r="I18" i="14"/>
  <c r="I12" i="14"/>
  <c r="I19" i="14"/>
  <c r="I20" i="14"/>
  <c r="I21" i="14"/>
  <c r="I22" i="14"/>
  <c r="I23" i="14"/>
  <c r="I13" i="14"/>
  <c r="I25" i="14"/>
  <c r="I27" i="14"/>
  <c r="I15" i="14"/>
  <c r="H30" i="14"/>
  <c r="E47" i="14"/>
  <c r="F60" i="16"/>
  <c r="E60" i="16"/>
  <c r="F33" i="16"/>
  <c r="F55" i="16" s="1"/>
  <c r="F57" i="16" s="1"/>
  <c r="F50" i="10"/>
  <c r="E50" i="10"/>
  <c r="E35" i="10"/>
  <c r="E25" i="10"/>
  <c r="F25" i="10"/>
  <c r="E35" i="12"/>
  <c r="F12" i="12"/>
  <c r="E33" i="16"/>
  <c r="F55" i="6"/>
  <c r="E55" i="6"/>
  <c r="E30" i="6"/>
  <c r="F30" i="6"/>
  <c r="E63" i="13"/>
  <c r="E35" i="13"/>
  <c r="E59" i="13" s="1"/>
  <c r="E61" i="13" s="1"/>
  <c r="F35" i="13"/>
  <c r="F59" i="13" s="1"/>
  <c r="F61" i="13" s="1"/>
  <c r="F12" i="13"/>
  <c r="E12" i="13"/>
  <c r="F35" i="12"/>
  <c r="F59" i="12" s="1"/>
  <c r="F61" i="12" s="1"/>
  <c r="F35" i="10"/>
  <c r="E12" i="10"/>
  <c r="F12" i="10"/>
  <c r="F32" i="16"/>
  <c r="E32" i="16"/>
  <c r="F43" i="5"/>
  <c r="F30" i="5"/>
  <c r="F12" i="5"/>
  <c r="E43" i="5"/>
  <c r="E30" i="5"/>
  <c r="E22" i="5"/>
  <c r="E12" i="5"/>
  <c r="F63" i="12"/>
  <c r="E63" i="12"/>
  <c r="E34" i="12"/>
  <c r="F29" i="6"/>
  <c r="F63" i="13"/>
  <c r="E29" i="6"/>
  <c r="F59" i="16" l="1"/>
  <c r="E63" i="10"/>
  <c r="F56" i="16"/>
  <c r="F66" i="16" s="1"/>
  <c r="F29" i="5"/>
  <c r="E59" i="10"/>
  <c r="F59" i="10"/>
  <c r="F63" i="10"/>
  <c r="E50" i="6"/>
  <c r="E54" i="6"/>
  <c r="F50" i="6"/>
  <c r="F53" i="6" s="1"/>
  <c r="F54" i="6"/>
  <c r="E60" i="12"/>
  <c r="E62" i="12"/>
  <c r="E59" i="12"/>
  <c r="E61" i="12" s="1"/>
  <c r="F34" i="12"/>
  <c r="F60" i="12"/>
  <c r="F62" i="12"/>
  <c r="E55" i="16"/>
  <c r="E59" i="16"/>
  <c r="F34" i="13"/>
  <c r="F60" i="13"/>
  <c r="F62" i="13"/>
  <c r="E62" i="13"/>
  <c r="E34" i="13"/>
  <c r="E60" i="13"/>
  <c r="E62" i="10"/>
  <c r="E34" i="10"/>
  <c r="F62" i="10"/>
  <c r="F34" i="10"/>
  <c r="F54" i="5"/>
  <c r="F50" i="5"/>
  <c r="F53" i="5"/>
  <c r="E54" i="5"/>
  <c r="E53" i="5"/>
  <c r="E50" i="5"/>
  <c r="E29" i="5"/>
  <c r="E61" i="10" l="1"/>
  <c r="F51" i="6"/>
  <c r="F56" i="6" s="1"/>
  <c r="F58" i="16"/>
  <c r="F61" i="10"/>
  <c r="F60" i="10"/>
  <c r="E60" i="10"/>
  <c r="E53" i="6"/>
  <c r="E51" i="6"/>
  <c r="E56" i="6" s="1"/>
  <c r="E64" i="12"/>
  <c r="E70" i="12"/>
  <c r="F64" i="12"/>
  <c r="F70" i="12"/>
  <c r="E56" i="16"/>
  <c r="E57" i="16"/>
  <c r="F64" i="13"/>
  <c r="F70" i="13"/>
  <c r="E64" i="13"/>
  <c r="E70" i="13"/>
  <c r="F52" i="5"/>
  <c r="F51" i="5"/>
  <c r="E51" i="5"/>
  <c r="E52" i="5"/>
  <c r="C157" i="29"/>
  <c r="C156" i="29"/>
  <c r="C155" i="29"/>
  <c r="C154" i="29"/>
  <c r="C153" i="29"/>
  <c r="C128" i="29"/>
  <c r="C127" i="29"/>
  <c r="C126" i="29"/>
  <c r="C125" i="29"/>
  <c r="C124" i="29"/>
  <c r="C43" i="29"/>
  <c r="C42" i="29"/>
  <c r="C41" i="29"/>
  <c r="C40" i="29"/>
  <c r="C39" i="29"/>
  <c r="C38" i="29"/>
  <c r="C37" i="29"/>
  <c r="C36" i="29"/>
  <c r="C35" i="29"/>
  <c r="C85" i="29"/>
  <c r="C84" i="29"/>
  <c r="C83" i="29"/>
  <c r="C82" i="29"/>
  <c r="E55" i="5" l="1"/>
  <c r="E64" i="10"/>
  <c r="F64" i="10"/>
  <c r="E58" i="16"/>
  <c r="E66" i="16"/>
  <c r="F55" i="5"/>
  <c r="R54" i="23"/>
  <c r="Q14" i="23"/>
  <c r="B9" i="19"/>
  <c r="B10" i="1" l="1"/>
  <c r="C46" i="21" l="1"/>
  <c r="B29" i="26" l="1"/>
  <c r="F24" i="26"/>
  <c r="E24" i="26"/>
  <c r="F23" i="26"/>
  <c r="E23" i="26"/>
  <c r="Q16" i="21" l="1"/>
  <c r="E32" i="25" l="1"/>
  <c r="D32" i="25"/>
  <c r="K26" i="17" l="1"/>
  <c r="AE55" i="23" l="1"/>
  <c r="B33" i="21"/>
  <c r="B69" i="23" l="1"/>
  <c r="E49" i="21" l="1"/>
  <c r="F49" i="21"/>
  <c r="G49" i="21"/>
  <c r="H49" i="21"/>
  <c r="I49" i="21"/>
  <c r="J49" i="21"/>
  <c r="K49" i="21"/>
  <c r="L49" i="21"/>
  <c r="M49" i="21"/>
  <c r="N49" i="21"/>
  <c r="O49" i="21"/>
  <c r="P49" i="21"/>
  <c r="D49" i="21"/>
  <c r="Q18" i="21" l="1"/>
  <c r="Q24" i="21"/>
  <c r="Q30" i="21"/>
  <c r="K62" i="17"/>
  <c r="H62" i="17"/>
  <c r="E62" i="17"/>
  <c r="K61" i="17"/>
  <c r="H61" i="17"/>
  <c r="E61" i="17"/>
  <c r="K60" i="17"/>
  <c r="H60" i="17"/>
  <c r="E60" i="17"/>
  <c r="J59" i="17"/>
  <c r="J57" i="17" s="1"/>
  <c r="I59" i="17"/>
  <c r="I57" i="17" s="1"/>
  <c r="G59" i="17"/>
  <c r="G57" i="17" s="1"/>
  <c r="F59" i="17"/>
  <c r="F57" i="17" s="1"/>
  <c r="D59" i="17"/>
  <c r="D57" i="17" s="1"/>
  <c r="C59" i="17"/>
  <c r="C57" i="17" s="1"/>
  <c r="K58" i="17"/>
  <c r="H58" i="17"/>
  <c r="E58" i="17"/>
  <c r="K55" i="17"/>
  <c r="H55" i="17"/>
  <c r="E55" i="17"/>
  <c r="K54" i="17"/>
  <c r="H54" i="17"/>
  <c r="E54" i="17"/>
  <c r="K53" i="17"/>
  <c r="H53" i="17"/>
  <c r="E53" i="17"/>
  <c r="K52" i="17"/>
  <c r="H52" i="17"/>
  <c r="E52" i="17"/>
  <c r="J51" i="17"/>
  <c r="I51" i="17"/>
  <c r="G51" i="17"/>
  <c r="F51" i="17"/>
  <c r="D51" i="17"/>
  <c r="C51" i="17"/>
  <c r="K50" i="17"/>
  <c r="H50" i="17"/>
  <c r="E50" i="17"/>
  <c r="K49" i="17"/>
  <c r="H49" i="17"/>
  <c r="E49" i="17"/>
  <c r="K48" i="17"/>
  <c r="H48" i="17"/>
  <c r="E48" i="17"/>
  <c r="K47" i="17"/>
  <c r="H47" i="17"/>
  <c r="E47" i="17"/>
  <c r="K46" i="17"/>
  <c r="H46" i="17"/>
  <c r="E46" i="17"/>
  <c r="J45" i="17"/>
  <c r="I45" i="17"/>
  <c r="G45" i="17"/>
  <c r="F45" i="17"/>
  <c r="D45" i="17"/>
  <c r="C45" i="17"/>
  <c r="K41" i="17"/>
  <c r="H41" i="17"/>
  <c r="K40" i="17"/>
  <c r="H40" i="17"/>
  <c r="K39" i="17"/>
  <c r="H39" i="17"/>
  <c r="K38" i="17"/>
  <c r="H38" i="17"/>
  <c r="L37" i="17"/>
  <c r="H37" i="17"/>
  <c r="K35" i="17"/>
  <c r="H35" i="17"/>
  <c r="J32" i="17"/>
  <c r="I34" i="17"/>
  <c r="I32" i="17" s="1"/>
  <c r="G34" i="17"/>
  <c r="G32" i="17" s="1"/>
  <c r="F34" i="17"/>
  <c r="F32" i="17" s="1"/>
  <c r="D34" i="17"/>
  <c r="D32" i="17" s="1"/>
  <c r="C32" i="17"/>
  <c r="K33" i="17"/>
  <c r="H33" i="17"/>
  <c r="K31" i="17"/>
  <c r="H31" i="17"/>
  <c r="K30" i="17"/>
  <c r="H30" i="17"/>
  <c r="K29" i="17"/>
  <c r="H29" i="17"/>
  <c r="K28" i="17"/>
  <c r="H28" i="17"/>
  <c r="K27" i="17"/>
  <c r="H27" i="17"/>
  <c r="L26" i="17"/>
  <c r="H26" i="17"/>
  <c r="K24" i="17"/>
  <c r="H24" i="17"/>
  <c r="G23" i="17"/>
  <c r="F23" i="17"/>
  <c r="D23" i="17"/>
  <c r="C23" i="17"/>
  <c r="K22" i="17"/>
  <c r="H22" i="17"/>
  <c r="K21" i="17"/>
  <c r="H21" i="17"/>
  <c r="K20" i="17"/>
  <c r="H20" i="17"/>
  <c r="J19" i="17"/>
  <c r="I19" i="17"/>
  <c r="G19" i="17"/>
  <c r="F19" i="17"/>
  <c r="D19" i="17"/>
  <c r="C19" i="17"/>
  <c r="K18" i="17"/>
  <c r="K17" i="17"/>
  <c r="K16" i="17"/>
  <c r="J15" i="17"/>
  <c r="I15" i="17"/>
  <c r="G15" i="17"/>
  <c r="F15" i="17"/>
  <c r="D15" i="17"/>
  <c r="C15" i="17"/>
  <c r="G44" i="17" l="1"/>
  <c r="G64" i="17" s="1"/>
  <c r="K45" i="17"/>
  <c r="J44" i="17"/>
  <c r="J64" i="17" s="1"/>
  <c r="Q31" i="21"/>
  <c r="K59" i="17"/>
  <c r="I69" i="17"/>
  <c r="I44" i="17"/>
  <c r="I64" i="17" s="1"/>
  <c r="K34" i="17"/>
  <c r="I14" i="17"/>
  <c r="I13" i="17" s="1"/>
  <c r="I43" i="17" s="1"/>
  <c r="H59" i="17"/>
  <c r="G69" i="17"/>
  <c r="H57" i="17"/>
  <c r="F69" i="17"/>
  <c r="F44" i="17"/>
  <c r="F64" i="17" s="1"/>
  <c r="F66" i="17" s="1"/>
  <c r="H51" i="17"/>
  <c r="H34" i="17"/>
  <c r="H32" i="17"/>
  <c r="H23" i="17"/>
  <c r="G14" i="17"/>
  <c r="G13" i="17" s="1"/>
  <c r="H19" i="17"/>
  <c r="F14" i="17"/>
  <c r="F13" i="17" s="1"/>
  <c r="E59" i="17"/>
  <c r="E57" i="17"/>
  <c r="E51" i="17"/>
  <c r="C44" i="17"/>
  <c r="C64" i="17" s="1"/>
  <c r="C66" i="17" s="1"/>
  <c r="E45" i="17"/>
  <c r="E34" i="17"/>
  <c r="C69" i="17"/>
  <c r="E23" i="17"/>
  <c r="D14" i="17"/>
  <c r="D13" i="17" s="1"/>
  <c r="D43" i="17" s="1"/>
  <c r="E19" i="17"/>
  <c r="C14" i="17"/>
  <c r="C13" i="17" s="1"/>
  <c r="J69" i="17"/>
  <c r="K32" i="17"/>
  <c r="D69" i="17"/>
  <c r="K37" i="17"/>
  <c r="E32" i="17"/>
  <c r="K19" i="17"/>
  <c r="K51" i="17"/>
  <c r="D44" i="17"/>
  <c r="K15" i="17"/>
  <c r="J14" i="17"/>
  <c r="H45" i="17"/>
  <c r="K57" i="17"/>
  <c r="E15" i="17"/>
  <c r="K23" i="17"/>
  <c r="H15" i="17"/>
  <c r="D22" i="19"/>
  <c r="H22" i="19" s="1"/>
  <c r="C22" i="19"/>
  <c r="C32" i="19" s="1"/>
  <c r="D32" i="19" l="1"/>
  <c r="E14" i="17"/>
  <c r="K44" i="17"/>
  <c r="H14" i="17"/>
  <c r="C68" i="17"/>
  <c r="L58" i="17"/>
  <c r="L52" i="17"/>
  <c r="L51" i="17"/>
  <c r="I66" i="17"/>
  <c r="L59" i="17"/>
  <c r="L57" i="17"/>
  <c r="L46" i="17"/>
  <c r="L50" i="17"/>
  <c r="L62" i="17"/>
  <c r="L54" i="17"/>
  <c r="L44" i="17"/>
  <c r="L47" i="17"/>
  <c r="L61" i="17"/>
  <c r="L60" i="17"/>
  <c r="L56" i="17"/>
  <c r="L49" i="17"/>
  <c r="L53" i="17"/>
  <c r="L48" i="17"/>
  <c r="L55" i="17"/>
  <c r="L45" i="17"/>
  <c r="L15" i="17"/>
  <c r="L19" i="17"/>
  <c r="I68" i="17"/>
  <c r="H44" i="17"/>
  <c r="F68" i="17"/>
  <c r="F43" i="17"/>
  <c r="F65" i="17" s="1"/>
  <c r="F67" i="17" s="1"/>
  <c r="E44" i="17"/>
  <c r="C43" i="17"/>
  <c r="C65" i="17" s="1"/>
  <c r="C75" i="17" s="1"/>
  <c r="G68" i="17"/>
  <c r="H13" i="17"/>
  <c r="G43" i="17"/>
  <c r="H64" i="17"/>
  <c r="G66" i="17"/>
  <c r="H66" i="17" s="1"/>
  <c r="L39" i="17"/>
  <c r="L41" i="17"/>
  <c r="L35" i="17"/>
  <c r="L17" i="17"/>
  <c r="L40" i="17"/>
  <c r="L33" i="17"/>
  <c r="L28" i="17"/>
  <c r="L34" i="17"/>
  <c r="L31" i="17"/>
  <c r="L16" i="17"/>
  <c r="L30" i="17"/>
  <c r="L27" i="17"/>
  <c r="L20" i="17"/>
  <c r="L24" i="17"/>
  <c r="L18" i="17"/>
  <c r="L38" i="17"/>
  <c r="L29" i="17"/>
  <c r="L22" i="17"/>
  <c r="L21" i="17"/>
  <c r="I65" i="17"/>
  <c r="I75" i="17" s="1"/>
  <c r="D64" i="17"/>
  <c r="L14" i="17"/>
  <c r="J13" i="17"/>
  <c r="K14" i="17"/>
  <c r="L23" i="17"/>
  <c r="J66" i="17"/>
  <c r="K64" i="17"/>
  <c r="D68" i="17"/>
  <c r="E13" i="17"/>
  <c r="L32" i="17"/>
  <c r="H32" i="19" l="1"/>
  <c r="E43" i="17"/>
  <c r="C67" i="17"/>
  <c r="K66" i="17"/>
  <c r="F75" i="17"/>
  <c r="J68" i="17"/>
  <c r="K13" i="17"/>
  <c r="L13" i="17"/>
  <c r="J43" i="17"/>
  <c r="E64" i="17"/>
  <c r="D66" i="17"/>
  <c r="E66" i="17" s="1"/>
  <c r="I67" i="17"/>
  <c r="H43" i="17"/>
  <c r="G65" i="17"/>
  <c r="D65" i="17"/>
  <c r="D67" i="17" l="1"/>
  <c r="D75" i="17"/>
  <c r="G75" i="17"/>
  <c r="G67" i="17"/>
  <c r="K43" i="17"/>
  <c r="J65" i="17"/>
  <c r="Q25" i="23"/>
  <c r="Q13" i="23"/>
  <c r="P13" i="23"/>
  <c r="Q15" i="23"/>
  <c r="J75" i="17" l="1"/>
  <c r="J67" i="17"/>
  <c r="AE54" i="23"/>
  <c r="B37" i="25" l="1"/>
  <c r="B36" i="25"/>
  <c r="C54" i="18" l="1"/>
  <c r="C59" i="18" l="1"/>
  <c r="B74" i="10" l="1"/>
  <c r="C81" i="29" l="1"/>
  <c r="Q50" i="21"/>
  <c r="Q49" i="21"/>
  <c r="P42" i="21"/>
  <c r="O42" i="21"/>
  <c r="N42" i="21"/>
  <c r="M42" i="21"/>
  <c r="L42" i="21"/>
  <c r="K42" i="21"/>
  <c r="J42" i="21"/>
  <c r="I42" i="21"/>
  <c r="H42" i="21"/>
  <c r="G42" i="21"/>
  <c r="F42" i="21"/>
  <c r="E42" i="21"/>
  <c r="D42" i="21"/>
  <c r="F51" i="21" l="1"/>
  <c r="J51" i="21"/>
  <c r="K51" i="21"/>
  <c r="L51" i="21"/>
  <c r="E51" i="21"/>
  <c r="M51" i="21"/>
  <c r="H51" i="21"/>
  <c r="I51" i="21"/>
  <c r="N51" i="21"/>
  <c r="O51" i="21"/>
  <c r="G51" i="21"/>
  <c r="D51" i="21"/>
  <c r="P51" i="21"/>
  <c r="Q42" i="21"/>
  <c r="Q51" i="21" l="1"/>
  <c r="AE41" i="23" l="1"/>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AD40" i="23"/>
  <c r="AC40" i="23"/>
  <c r="AB40" i="23"/>
  <c r="AA40" i="23"/>
  <c r="Z40" i="23"/>
  <c r="Y40" i="23"/>
  <c r="X40" i="23"/>
  <c r="W40" i="23"/>
  <c r="V40" i="23"/>
  <c r="U40" i="23"/>
  <c r="T40" i="23"/>
  <c r="S40" i="23"/>
  <c r="Q40" i="23"/>
  <c r="P40" i="23"/>
  <c r="O40" i="23"/>
  <c r="N40" i="23"/>
  <c r="M40" i="23"/>
  <c r="L40" i="23"/>
  <c r="K40" i="23"/>
  <c r="J40" i="23"/>
  <c r="I40" i="23"/>
  <c r="H40" i="23"/>
  <c r="G40" i="23"/>
  <c r="F40" i="23"/>
  <c r="E40" i="23"/>
  <c r="AD39" i="23"/>
  <c r="AC39" i="23"/>
  <c r="AB39" i="23"/>
  <c r="AA39" i="23"/>
  <c r="Z39" i="23"/>
  <c r="Y39" i="23"/>
  <c r="X39" i="23"/>
  <c r="W39" i="23"/>
  <c r="U39" i="23"/>
  <c r="S39" i="23"/>
  <c r="Q39" i="23"/>
  <c r="P39" i="23"/>
  <c r="O39" i="23"/>
  <c r="N39" i="23"/>
  <c r="M39" i="23"/>
  <c r="L39" i="23"/>
  <c r="K39" i="23"/>
  <c r="J39" i="23"/>
  <c r="I39" i="23"/>
  <c r="H39" i="23"/>
  <c r="G39" i="23"/>
  <c r="F39" i="23"/>
  <c r="E39" i="23"/>
  <c r="AD37" i="23"/>
  <c r="AC37" i="23"/>
  <c r="AB37" i="23"/>
  <c r="AA37" i="23"/>
  <c r="Z37" i="23"/>
  <c r="Y37" i="23"/>
  <c r="X37" i="23"/>
  <c r="W37" i="23"/>
  <c r="V37" i="23"/>
  <c r="U37" i="23"/>
  <c r="T37" i="23"/>
  <c r="S37" i="23"/>
  <c r="Q37" i="23"/>
  <c r="P37" i="23"/>
  <c r="O37" i="23"/>
  <c r="N37" i="23"/>
  <c r="M37" i="23"/>
  <c r="L37" i="23"/>
  <c r="K37" i="23"/>
  <c r="J37" i="23"/>
  <c r="I37" i="23"/>
  <c r="H37" i="23"/>
  <c r="G37" i="23"/>
  <c r="F37" i="23"/>
  <c r="E37"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D34" i="23"/>
  <c r="AC34" i="23"/>
  <c r="AB34" i="23"/>
  <c r="AA34" i="23"/>
  <c r="Z34" i="23"/>
  <c r="Y34" i="23"/>
  <c r="X34" i="23"/>
  <c r="W34" i="23"/>
  <c r="V34" i="23"/>
  <c r="U34" i="23"/>
  <c r="T34" i="23"/>
  <c r="S34" i="23"/>
  <c r="Q34" i="23"/>
  <c r="P34" i="23"/>
  <c r="O34" i="23"/>
  <c r="N34" i="23"/>
  <c r="M34" i="23"/>
  <c r="L34" i="23"/>
  <c r="K34" i="23"/>
  <c r="J34" i="23"/>
  <c r="I34" i="23"/>
  <c r="H34" i="23"/>
  <c r="G34" i="23"/>
  <c r="F34" i="23"/>
  <c r="E34" i="23"/>
  <c r="AD33" i="23"/>
  <c r="AC33" i="23"/>
  <c r="AB33" i="23"/>
  <c r="AA33" i="23"/>
  <c r="Z33" i="23"/>
  <c r="Y33" i="23"/>
  <c r="X33" i="23"/>
  <c r="W33" i="23"/>
  <c r="V33" i="23"/>
  <c r="U33" i="23"/>
  <c r="T33" i="23"/>
  <c r="S33" i="23"/>
  <c r="Q33" i="23"/>
  <c r="P33" i="23"/>
  <c r="O33" i="23"/>
  <c r="N33" i="23"/>
  <c r="M33" i="23"/>
  <c r="L33" i="23"/>
  <c r="K33" i="23"/>
  <c r="J33" i="23"/>
  <c r="I33" i="23"/>
  <c r="H33" i="23"/>
  <c r="G33" i="23"/>
  <c r="F33" i="23"/>
  <c r="E33" i="23"/>
  <c r="AD32" i="23"/>
  <c r="AC32" i="23"/>
  <c r="AB32" i="23"/>
  <c r="AA32" i="23"/>
  <c r="Z32" i="23"/>
  <c r="Y32" i="23"/>
  <c r="X32" i="23"/>
  <c r="W32" i="23"/>
  <c r="U32" i="23"/>
  <c r="S32" i="23"/>
  <c r="Q32" i="23"/>
  <c r="P32" i="23"/>
  <c r="O32" i="23"/>
  <c r="N32" i="23"/>
  <c r="M32" i="23"/>
  <c r="L32" i="23"/>
  <c r="K32" i="23"/>
  <c r="J32" i="23"/>
  <c r="I32" i="23"/>
  <c r="H32" i="23"/>
  <c r="G32" i="23"/>
  <c r="F32" i="23"/>
  <c r="E32"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AD29" i="23"/>
  <c r="AC29" i="23"/>
  <c r="AB29" i="23"/>
  <c r="AA29" i="23"/>
  <c r="Z29" i="23"/>
  <c r="Y29" i="23"/>
  <c r="X29" i="23"/>
  <c r="W29" i="23"/>
  <c r="V29" i="23"/>
  <c r="U29" i="23"/>
  <c r="T29" i="23"/>
  <c r="S29" i="23"/>
  <c r="Q29" i="23"/>
  <c r="P29" i="23"/>
  <c r="O29" i="23"/>
  <c r="N29" i="23"/>
  <c r="M29" i="23"/>
  <c r="L29" i="23"/>
  <c r="K29" i="23"/>
  <c r="J29" i="23"/>
  <c r="I29" i="23"/>
  <c r="H29" i="23"/>
  <c r="G29" i="23"/>
  <c r="F29" i="23"/>
  <c r="E29" i="23"/>
  <c r="AD28" i="23"/>
  <c r="AC28" i="23"/>
  <c r="AB28" i="23"/>
  <c r="AA28" i="23"/>
  <c r="Z28" i="23"/>
  <c r="Y28" i="23"/>
  <c r="X28" i="23"/>
  <c r="W28" i="23"/>
  <c r="V28" i="23"/>
  <c r="U28" i="23"/>
  <c r="T28" i="23"/>
  <c r="S28" i="23"/>
  <c r="Q28" i="23"/>
  <c r="P28" i="23"/>
  <c r="O28" i="23"/>
  <c r="N28" i="23"/>
  <c r="M28" i="23"/>
  <c r="L28" i="23"/>
  <c r="K28" i="23"/>
  <c r="J28" i="23"/>
  <c r="I28" i="23"/>
  <c r="H28" i="23"/>
  <c r="G28" i="23"/>
  <c r="F28" i="23"/>
  <c r="E28" i="23"/>
  <c r="AD25" i="23"/>
  <c r="AC25" i="23"/>
  <c r="AB25" i="23"/>
  <c r="AA25" i="23"/>
  <c r="Z25" i="23"/>
  <c r="Y25" i="23"/>
  <c r="X25" i="23"/>
  <c r="W25" i="23"/>
  <c r="V25" i="23"/>
  <c r="U25" i="23"/>
  <c r="T25" i="23"/>
  <c r="S25" i="23"/>
  <c r="P25" i="23"/>
  <c r="O25" i="23"/>
  <c r="N25" i="23"/>
  <c r="M25" i="23"/>
  <c r="L25" i="23"/>
  <c r="K25" i="23"/>
  <c r="J25" i="23"/>
  <c r="I25" i="23"/>
  <c r="H25" i="23"/>
  <c r="G25" i="23"/>
  <c r="F25" i="23"/>
  <c r="E25" i="23"/>
  <c r="AD24" i="23"/>
  <c r="AC24" i="23"/>
  <c r="AB24" i="23"/>
  <c r="AA24" i="23"/>
  <c r="Z24" i="23"/>
  <c r="Y24" i="23"/>
  <c r="X24" i="23"/>
  <c r="W24" i="23"/>
  <c r="V24" i="23"/>
  <c r="U24" i="23"/>
  <c r="T24" i="23"/>
  <c r="S24" i="23"/>
  <c r="Q24" i="23"/>
  <c r="P24" i="23"/>
  <c r="O24" i="23"/>
  <c r="N24" i="23"/>
  <c r="M24" i="23"/>
  <c r="L24" i="23"/>
  <c r="K24" i="23"/>
  <c r="J24" i="23"/>
  <c r="I24" i="23"/>
  <c r="H24" i="23"/>
  <c r="G24" i="23"/>
  <c r="F24" i="23"/>
  <c r="E24" i="23"/>
  <c r="AE23" i="23"/>
  <c r="AD23" i="23"/>
  <c r="AC23" i="23"/>
  <c r="AB23" i="23"/>
  <c r="AA23" i="23"/>
  <c r="Z23" i="23"/>
  <c r="Y23" i="23"/>
  <c r="X23" i="23"/>
  <c r="W23" i="23"/>
  <c r="V23" i="23"/>
  <c r="U23" i="23"/>
  <c r="T23" i="23"/>
  <c r="S23" i="23"/>
  <c r="Q23" i="23"/>
  <c r="P23" i="23"/>
  <c r="O23" i="23"/>
  <c r="N23" i="23"/>
  <c r="M23" i="23"/>
  <c r="L23" i="23"/>
  <c r="K23" i="23"/>
  <c r="J23" i="23"/>
  <c r="I23" i="23"/>
  <c r="H23" i="23"/>
  <c r="G23" i="23"/>
  <c r="F23" i="23"/>
  <c r="E23" i="23"/>
  <c r="AD21" i="23"/>
  <c r="AC21" i="23"/>
  <c r="AB21" i="23"/>
  <c r="AA21" i="23"/>
  <c r="Z21" i="23"/>
  <c r="Y21" i="23"/>
  <c r="X21" i="23"/>
  <c r="W21" i="23"/>
  <c r="V21" i="23"/>
  <c r="U21" i="23"/>
  <c r="T21" i="23"/>
  <c r="S21" i="23"/>
  <c r="Q21" i="23"/>
  <c r="P21" i="23"/>
  <c r="O21" i="23"/>
  <c r="N21" i="23"/>
  <c r="M21" i="23"/>
  <c r="L21" i="23"/>
  <c r="K21" i="23"/>
  <c r="J21" i="23"/>
  <c r="I21" i="23"/>
  <c r="H21" i="23"/>
  <c r="G21" i="23"/>
  <c r="F21" i="23"/>
  <c r="E21" i="23"/>
  <c r="AD19" i="23"/>
  <c r="AC19" i="23"/>
  <c r="AB19" i="23"/>
  <c r="AA19" i="23"/>
  <c r="Z19" i="23"/>
  <c r="Y19" i="23"/>
  <c r="X19" i="23"/>
  <c r="W19" i="23"/>
  <c r="U19" i="23"/>
  <c r="T19" i="23"/>
  <c r="S19" i="23"/>
  <c r="Q19" i="23"/>
  <c r="P19" i="23"/>
  <c r="O19" i="23"/>
  <c r="N19" i="23"/>
  <c r="M19" i="23"/>
  <c r="L19" i="23"/>
  <c r="J19" i="23"/>
  <c r="I19" i="23"/>
  <c r="H19" i="23"/>
  <c r="G19" i="23"/>
  <c r="F19" i="23"/>
  <c r="E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AE15" i="23"/>
  <c r="AD15" i="23"/>
  <c r="AC15" i="23"/>
  <c r="AB15" i="23"/>
  <c r="AA15" i="23"/>
  <c r="Z15" i="23"/>
  <c r="Y15" i="23"/>
  <c r="X15" i="23"/>
  <c r="W15" i="23"/>
  <c r="V15" i="23"/>
  <c r="U15" i="23"/>
  <c r="T15" i="23"/>
  <c r="S15" i="23"/>
  <c r="R15" i="23"/>
  <c r="P15" i="23"/>
  <c r="O15" i="23"/>
  <c r="N15" i="23"/>
  <c r="M15" i="23"/>
  <c r="L15" i="23"/>
  <c r="K15" i="23"/>
  <c r="J15" i="23"/>
  <c r="I15" i="23"/>
  <c r="H15" i="23"/>
  <c r="G15" i="23"/>
  <c r="F15" i="23"/>
  <c r="E15" i="23"/>
  <c r="AD14" i="23"/>
  <c r="AC14" i="23"/>
  <c r="AB14" i="23"/>
  <c r="AA14" i="23"/>
  <c r="Z14" i="23"/>
  <c r="Y14" i="23"/>
  <c r="X14" i="23"/>
  <c r="W14" i="23"/>
  <c r="V14" i="23"/>
  <c r="U14" i="23"/>
  <c r="T14" i="23"/>
  <c r="S14" i="23"/>
  <c r="P14" i="23"/>
  <c r="O14" i="23"/>
  <c r="N14" i="23"/>
  <c r="M14" i="23"/>
  <c r="L14" i="23"/>
  <c r="K14" i="23"/>
  <c r="J14" i="23"/>
  <c r="I14" i="23"/>
  <c r="H14" i="23"/>
  <c r="G14" i="23"/>
  <c r="F14" i="23"/>
  <c r="E14" i="23"/>
  <c r="AD13" i="23"/>
  <c r="AC13" i="23"/>
  <c r="AB13" i="23"/>
  <c r="AA13" i="23"/>
  <c r="Z13" i="23"/>
  <c r="Y13" i="23"/>
  <c r="X13" i="23"/>
  <c r="W13" i="23"/>
  <c r="V13" i="23"/>
  <c r="U13" i="23"/>
  <c r="T13" i="23"/>
  <c r="S13" i="23"/>
  <c r="O13" i="23"/>
  <c r="N13" i="23"/>
  <c r="M13" i="23"/>
  <c r="L13" i="23"/>
  <c r="K13" i="23"/>
  <c r="J13" i="23"/>
  <c r="I13" i="23"/>
  <c r="H13" i="23"/>
  <c r="G13" i="23"/>
  <c r="F13" i="23"/>
  <c r="E13" i="23"/>
  <c r="R23" i="23"/>
  <c r="R77" i="23"/>
  <c r="R40" i="23" s="1"/>
  <c r="R76" i="23"/>
  <c r="R75" i="23"/>
  <c r="R39" i="23" s="1"/>
  <c r="R74" i="23"/>
  <c r="R37" i="23" s="1"/>
  <c r="R73" i="23"/>
  <c r="R34" i="23" s="1"/>
  <c r="R72" i="23"/>
  <c r="R71" i="23"/>
  <c r="R32" i="23" s="1"/>
  <c r="R70" i="23"/>
  <c r="R69" i="23"/>
  <c r="R29" i="23" l="1"/>
  <c r="R33" i="23"/>
  <c r="R14" i="35"/>
  <c r="BE23" i="35"/>
  <c r="BD23" i="35"/>
  <c r="BC23" i="35"/>
  <c r="BB23" i="35"/>
  <c r="BA23" i="35"/>
  <c r="AZ23" i="35"/>
  <c r="AY23" i="35"/>
  <c r="AX23" i="35"/>
  <c r="AW23" i="35"/>
  <c r="AV23" i="35"/>
  <c r="AU23" i="35"/>
  <c r="AR23" i="35"/>
  <c r="AQ23" i="35"/>
  <c r="AP23" i="35"/>
  <c r="AO23" i="35"/>
  <c r="AN23" i="35"/>
  <c r="AM23" i="35"/>
  <c r="AL23" i="35"/>
  <c r="AK23" i="35"/>
  <c r="AJ23" i="35"/>
  <c r="AH23" i="35"/>
  <c r="AD23" i="35"/>
  <c r="AC23" i="35"/>
  <c r="AB23" i="35"/>
  <c r="AA23" i="35"/>
  <c r="Z23" i="35"/>
  <c r="Y23" i="35"/>
  <c r="W23" i="35"/>
  <c r="U23" i="35"/>
  <c r="T23" i="35"/>
  <c r="S23" i="35"/>
  <c r="Q23" i="35"/>
  <c r="P23" i="35"/>
  <c r="O23" i="35"/>
  <c r="N23" i="35"/>
  <c r="M23" i="35"/>
  <c r="F23" i="35"/>
  <c r="Q13" i="21"/>
  <c r="BG14" i="35" l="1"/>
  <c r="I23" i="35"/>
  <c r="L23" i="35"/>
  <c r="G23" i="35"/>
  <c r="H23" i="35"/>
  <c r="K23" i="35"/>
  <c r="R18" i="35"/>
  <c r="AE18" i="35"/>
  <c r="AS13" i="35"/>
  <c r="AF19" i="35"/>
  <c r="X23" i="35"/>
  <c r="BF13" i="35"/>
  <c r="AI23" i="35"/>
  <c r="AE13" i="35"/>
  <c r="AF14" i="35"/>
  <c r="R13" i="35"/>
  <c r="AT23" i="35"/>
  <c r="V23" i="35"/>
  <c r="J23" i="35"/>
  <c r="AG23" i="35"/>
  <c r="BH19" i="35" l="1"/>
  <c r="BF23" i="35"/>
  <c r="BG18" i="35"/>
  <c r="AF18" i="35"/>
  <c r="R23" i="35"/>
  <c r="BH14" i="35"/>
  <c r="BG13" i="35"/>
  <c r="AS23" i="35"/>
  <c r="AF13" i="35"/>
  <c r="AE23" i="35"/>
  <c r="H68" i="13"/>
  <c r="BG23" i="35" l="1"/>
  <c r="BH18" i="35"/>
  <c r="BH13" i="35"/>
  <c r="AF23" i="35"/>
  <c r="J19" i="1"/>
  <c r="I19" i="1"/>
  <c r="BH23" i="35" l="1"/>
  <c r="H68" i="10"/>
  <c r="G68" i="10"/>
  <c r="H67" i="13"/>
  <c r="D52" i="13"/>
  <c r="C152" i="29" l="1"/>
  <c r="C123" i="29"/>
  <c r="C80" i="29"/>
  <c r="G11" i="23" l="1"/>
  <c r="H11" i="23"/>
  <c r="U11" i="23"/>
  <c r="V11" i="23"/>
  <c r="B5" i="35" l="1"/>
  <c r="B5" i="26"/>
  <c r="B5" i="25"/>
  <c r="B5" i="23"/>
  <c r="B5" i="29"/>
  <c r="B5" i="21"/>
  <c r="B5" i="20"/>
  <c r="B5" i="19"/>
  <c r="B5" i="33"/>
  <c r="B5" i="32"/>
  <c r="B5" i="31"/>
  <c r="B5" i="18"/>
  <c r="B5" i="17"/>
  <c r="B5" i="16"/>
  <c r="B5" i="15"/>
  <c r="B5" i="14"/>
  <c r="B5" i="13"/>
  <c r="B5" i="12"/>
  <c r="B5" i="11"/>
  <c r="B5" i="10"/>
  <c r="B5" i="6"/>
  <c r="D3" i="9"/>
  <c r="B5" i="5"/>
  <c r="B5" i="2"/>
  <c r="B108" i="2"/>
  <c r="B5" i="27"/>
  <c r="B5" i="1"/>
  <c r="V39" i="23" l="1"/>
  <c r="V32" i="23" l="1"/>
  <c r="BF12" i="35" l="1"/>
  <c r="AS12" i="35"/>
  <c r="BE12" i="35"/>
  <c r="BD12" i="35"/>
  <c r="BC12" i="35"/>
  <c r="BB12" i="35"/>
  <c r="BA12" i="35"/>
  <c r="AZ12" i="35"/>
  <c r="AY12" i="35"/>
  <c r="AX12" i="35"/>
  <c r="AW12" i="35"/>
  <c r="AR12" i="35"/>
  <c r="AQ12" i="35"/>
  <c r="AP12" i="35"/>
  <c r="AO12" i="35"/>
  <c r="AN12" i="35"/>
  <c r="AM12" i="35"/>
  <c r="AL12" i="35"/>
  <c r="AK12" i="35"/>
  <c r="AJ12" i="35"/>
  <c r="AD12" i="35"/>
  <c r="AC12" i="35"/>
  <c r="AB12" i="35"/>
  <c r="AA12" i="35"/>
  <c r="Z12" i="35"/>
  <c r="Y12" i="35"/>
  <c r="X12" i="35"/>
  <c r="W12" i="35"/>
  <c r="V12" i="35"/>
  <c r="N12" i="35"/>
  <c r="Q12" i="35"/>
  <c r="P12" i="35"/>
  <c r="O12" i="35"/>
  <c r="M12" i="35"/>
  <c r="L12" i="35"/>
  <c r="K12" i="35"/>
  <c r="J12" i="35"/>
  <c r="I12" i="35"/>
  <c r="D31" i="33"/>
  <c r="F31" i="33"/>
  <c r="G31" i="33"/>
  <c r="H31" i="33"/>
  <c r="I31" i="33"/>
  <c r="J31" i="33"/>
  <c r="D23" i="33"/>
  <c r="E23" i="33"/>
  <c r="F23" i="33"/>
  <c r="G23" i="33"/>
  <c r="H23" i="33"/>
  <c r="I23" i="33"/>
  <c r="J23" i="33"/>
  <c r="D13" i="33"/>
  <c r="E13" i="33"/>
  <c r="F13" i="33"/>
  <c r="G13" i="33"/>
  <c r="H13" i="33"/>
  <c r="I13" i="33"/>
  <c r="J13" i="33"/>
  <c r="E37" i="33" l="1"/>
  <c r="J37" i="33"/>
  <c r="I37" i="33"/>
  <c r="H37" i="33"/>
  <c r="F37" i="33"/>
  <c r="G37" i="33"/>
  <c r="D37" i="33"/>
  <c r="B37" i="21"/>
  <c r="B40" i="33"/>
  <c r="C25" i="18" l="1"/>
  <c r="B28" i="35"/>
  <c r="B39" i="26"/>
  <c r="B39" i="25"/>
  <c r="B84" i="23"/>
  <c r="B36" i="32"/>
  <c r="B63" i="31"/>
  <c r="B87" i="18"/>
  <c r="B53" i="14"/>
  <c r="B78" i="13"/>
  <c r="B78" i="12"/>
  <c r="B73" i="11"/>
  <c r="B61" i="6"/>
  <c r="B62" i="5"/>
  <c r="B27" i="1"/>
  <c r="V19" i="23" l="1"/>
  <c r="C151" i="29"/>
  <c r="C150" i="29"/>
  <c r="C149" i="29"/>
  <c r="C122" i="29"/>
  <c r="C121" i="29"/>
  <c r="C120" i="29"/>
  <c r="C79" i="29"/>
  <c r="C78" i="29"/>
  <c r="C77" i="29"/>
  <c r="G31" i="16" l="1"/>
  <c r="G30" i="16"/>
  <c r="G29" i="16"/>
  <c r="G28" i="16"/>
  <c r="G27" i="16"/>
  <c r="D26" i="16"/>
  <c r="D24" i="16" s="1"/>
  <c r="G25" i="16"/>
  <c r="G23" i="16"/>
  <c r="G22" i="16"/>
  <c r="G21" i="16"/>
  <c r="G20" i="16"/>
  <c r="G19" i="16"/>
  <c r="G17" i="16"/>
  <c r="G16" i="16"/>
  <c r="G15" i="16"/>
  <c r="G14" i="16"/>
  <c r="D13" i="16"/>
  <c r="G67" i="15"/>
  <c r="G66" i="15"/>
  <c r="F65" i="15"/>
  <c r="E65" i="15"/>
  <c r="D65" i="15"/>
  <c r="G64" i="15"/>
  <c r="G63" i="15"/>
  <c r="G61" i="15"/>
  <c r="G60" i="15"/>
  <c r="G59" i="15"/>
  <c r="G58" i="15"/>
  <c r="G57" i="15"/>
  <c r="G56" i="15"/>
  <c r="G55" i="15"/>
  <c r="G54" i="15"/>
  <c r="G53" i="15"/>
  <c r="G52" i="15"/>
  <c r="G51" i="15"/>
  <c r="G50" i="15"/>
  <c r="G49" i="15"/>
  <c r="G48" i="15"/>
  <c r="G47" i="15"/>
  <c r="G46" i="15"/>
  <c r="G45" i="15"/>
  <c r="G44" i="15"/>
  <c r="G43" i="15"/>
  <c r="G42" i="15"/>
  <c r="G41" i="15"/>
  <c r="G40" i="15"/>
  <c r="G39" i="15"/>
  <c r="G38" i="15"/>
  <c r="F36" i="15"/>
  <c r="E36" i="15"/>
  <c r="E35" i="15" s="1"/>
  <c r="D36" i="15"/>
  <c r="D35" i="15" s="1"/>
  <c r="G33" i="15"/>
  <c r="G32" i="15"/>
  <c r="G31" i="15"/>
  <c r="F30" i="15"/>
  <c r="E30" i="15"/>
  <c r="D30" i="15"/>
  <c r="G29" i="15"/>
  <c r="G28" i="15"/>
  <c r="G27" i="15"/>
  <c r="G26" i="15"/>
  <c r="G25" i="15"/>
  <c r="G24" i="15"/>
  <c r="G23" i="15"/>
  <c r="G22" i="15"/>
  <c r="G21" i="15"/>
  <c r="G20" i="15"/>
  <c r="G19" i="15"/>
  <c r="G18" i="15"/>
  <c r="G17" i="15"/>
  <c r="G15" i="15"/>
  <c r="G14" i="15"/>
  <c r="G13" i="15"/>
  <c r="F12" i="15"/>
  <c r="E12" i="15"/>
  <c r="D12" i="15"/>
  <c r="D68" i="15" l="1"/>
  <c r="E68" i="15"/>
  <c r="H66" i="15" s="1"/>
  <c r="G12" i="15"/>
  <c r="E34" i="15"/>
  <c r="H30" i="15" s="1"/>
  <c r="D12" i="16"/>
  <c r="D34" i="15"/>
  <c r="D69" i="15" s="1"/>
  <c r="D73" i="15" s="1"/>
  <c r="G24" i="16"/>
  <c r="G13" i="16"/>
  <c r="G18" i="16"/>
  <c r="G26" i="16"/>
  <c r="G36" i="15"/>
  <c r="F34" i="15"/>
  <c r="G30" i="15"/>
  <c r="G65" i="15"/>
  <c r="F35" i="15"/>
  <c r="G37" i="15"/>
  <c r="B63" i="23"/>
  <c r="AE62" i="23"/>
  <c r="R62" i="23"/>
  <c r="C62" i="23"/>
  <c r="B62" i="23"/>
  <c r="H47" i="15" l="1"/>
  <c r="H38" i="15"/>
  <c r="H67" i="15"/>
  <c r="H37" i="15"/>
  <c r="H53" i="15"/>
  <c r="H44" i="15"/>
  <c r="H65" i="15"/>
  <c r="H59" i="15"/>
  <c r="H50" i="15"/>
  <c r="H39" i="15"/>
  <c r="H42" i="15"/>
  <c r="H56" i="15"/>
  <c r="H45" i="15"/>
  <c r="H48" i="15"/>
  <c r="H63" i="15"/>
  <c r="H51" i="15"/>
  <c r="H54" i="15"/>
  <c r="H57" i="15"/>
  <c r="H60" i="15"/>
  <c r="H40" i="15"/>
  <c r="H43" i="15"/>
  <c r="H46" i="15"/>
  <c r="H49" i="15"/>
  <c r="H36" i="15"/>
  <c r="H52" i="15"/>
  <c r="H55" i="15"/>
  <c r="H58" i="15"/>
  <c r="H61" i="15"/>
  <c r="H41" i="15"/>
  <c r="H64" i="15"/>
  <c r="H12" i="15"/>
  <c r="H19" i="15"/>
  <c r="H25" i="15"/>
  <c r="H13" i="15"/>
  <c r="H20" i="15"/>
  <c r="H28" i="15"/>
  <c r="H32" i="15"/>
  <c r="H17" i="15"/>
  <c r="H23" i="15"/>
  <c r="H29" i="15"/>
  <c r="H14" i="15"/>
  <c r="H33" i="15"/>
  <c r="H21" i="15"/>
  <c r="H26" i="15"/>
  <c r="H27" i="15"/>
  <c r="H18" i="15"/>
  <c r="H31" i="15"/>
  <c r="H24" i="15"/>
  <c r="E69" i="15"/>
  <c r="E73" i="15" s="1"/>
  <c r="H15" i="15"/>
  <c r="H22" i="15"/>
  <c r="H13" i="16"/>
  <c r="G12" i="16"/>
  <c r="H35" i="15"/>
  <c r="G35" i="15"/>
  <c r="F68" i="15"/>
  <c r="G68" i="15" s="1"/>
  <c r="G34" i="15"/>
  <c r="C31" i="11"/>
  <c r="B64" i="23"/>
  <c r="H25" i="16" l="1"/>
  <c r="H18" i="16"/>
  <c r="H30" i="16"/>
  <c r="H21" i="16"/>
  <c r="H29" i="16"/>
  <c r="H22" i="16"/>
  <c r="H28" i="16"/>
  <c r="H23" i="16"/>
  <c r="H31" i="16"/>
  <c r="H20" i="16"/>
  <c r="H17" i="16"/>
  <c r="H14" i="16"/>
  <c r="H15" i="16"/>
  <c r="H26" i="16"/>
  <c r="H19" i="16"/>
  <c r="H12" i="16"/>
  <c r="H27" i="16"/>
  <c r="H24" i="16"/>
  <c r="H16" i="16"/>
  <c r="F69" i="15"/>
  <c r="F73" i="15" s="1"/>
  <c r="B18" i="35" l="1"/>
  <c r="AV12" i="35"/>
  <c r="AI12" i="35"/>
  <c r="U12" i="35"/>
  <c r="H12" i="35"/>
  <c r="D49" i="31"/>
  <c r="D47" i="31" l="1"/>
  <c r="E46" i="11" l="1"/>
  <c r="F46" i="11"/>
  <c r="C15" i="1" l="1"/>
  <c r="E11" i="23" l="1"/>
  <c r="F11" i="23"/>
  <c r="S11" i="23"/>
  <c r="T11" i="23"/>
  <c r="E52" i="23"/>
  <c r="F52" i="23"/>
  <c r="E10" i="19" l="1"/>
  <c r="AU12" i="35"/>
  <c r="AH12" i="35"/>
  <c r="T12" i="35"/>
  <c r="G12" i="35"/>
  <c r="G10" i="19" l="1"/>
  <c r="AT12" i="35" l="1"/>
  <c r="AG12" i="35"/>
  <c r="AE12" i="35"/>
  <c r="S12" i="35"/>
  <c r="R12" i="35"/>
  <c r="F12" i="35"/>
  <c r="T39" i="23" l="1"/>
  <c r="T32" i="23"/>
  <c r="E53" i="11"/>
  <c r="F53" i="11"/>
  <c r="L12" i="28" l="1"/>
  <c r="F12" i="28"/>
  <c r="K11" i="28"/>
  <c r="I11" i="28"/>
  <c r="E11" i="28"/>
  <c r="C11" i="28"/>
  <c r="G46" i="13" l="1"/>
  <c r="G47" i="13"/>
  <c r="G48" i="13"/>
  <c r="B27" i="35" l="1"/>
  <c r="H11" i="12" l="1"/>
  <c r="B33" i="33" l="1"/>
  <c r="Q11" i="21"/>
  <c r="Q40" i="21"/>
  <c r="Q29" i="21"/>
  <c r="Q28" i="21"/>
  <c r="Q27" i="21"/>
  <c r="Q26" i="21"/>
  <c r="Q25" i="21"/>
  <c r="Q23" i="21"/>
  <c r="Q22" i="21"/>
  <c r="Q21" i="21"/>
  <c r="Q20" i="21"/>
  <c r="Q19" i="21"/>
  <c r="Q17" i="21"/>
  <c r="Q15" i="21"/>
  <c r="Q14" i="21"/>
  <c r="B31" i="19"/>
  <c r="B35" i="32" l="1"/>
  <c r="B39" i="33"/>
  <c r="C32" i="9"/>
  <c r="C33" i="9"/>
  <c r="AG10" i="35"/>
  <c r="B26" i="35"/>
  <c r="B25" i="35"/>
  <c r="B24" i="35"/>
  <c r="B23" i="35"/>
  <c r="B13" i="35"/>
  <c r="C10" i="35"/>
  <c r="BH10" i="35"/>
  <c r="F10" i="35"/>
  <c r="E10" i="35"/>
  <c r="D10" i="35"/>
  <c r="B34" i="21"/>
  <c r="I12" i="33" l="1"/>
  <c r="F12" i="33"/>
  <c r="H12" i="33"/>
  <c r="E12" i="33"/>
  <c r="G12" i="32"/>
  <c r="D12" i="32"/>
  <c r="F12" i="32"/>
  <c r="C12" i="32"/>
  <c r="G12" i="31"/>
  <c r="F12" i="31"/>
  <c r="D12" i="31"/>
  <c r="C12" i="31"/>
  <c r="B57" i="31"/>
  <c r="J9" i="33" l="1"/>
  <c r="B10" i="33"/>
  <c r="H9" i="32"/>
  <c r="B10" i="32"/>
  <c r="H9" i="31"/>
  <c r="B31" i="15" l="1"/>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G54" i="16"/>
  <c r="G53" i="16"/>
  <c r="G52" i="16"/>
  <c r="G51" i="16"/>
  <c r="G50" i="16"/>
  <c r="D49" i="16"/>
  <c r="D47" i="16" s="1"/>
  <c r="G48" i="16"/>
  <c r="G46" i="16"/>
  <c r="G45" i="16"/>
  <c r="G44" i="16"/>
  <c r="G43" i="16"/>
  <c r="G42" i="16"/>
  <c r="G41" i="16"/>
  <c r="D40" i="16"/>
  <c r="G39" i="16"/>
  <c r="G38" i="16"/>
  <c r="G37" i="16"/>
  <c r="G36" i="16"/>
  <c r="G35" i="16"/>
  <c r="D34" i="16"/>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H48" i="5"/>
  <c r="G48" i="5"/>
  <c r="H47" i="5"/>
  <c r="G47" i="5"/>
  <c r="H46" i="5"/>
  <c r="G46" i="5"/>
  <c r="D45" i="5"/>
  <c r="D43" i="5" s="1"/>
  <c r="H44" i="5"/>
  <c r="G44" i="5"/>
  <c r="H41" i="5"/>
  <c r="G41" i="5"/>
  <c r="H40" i="5"/>
  <c r="G40" i="5"/>
  <c r="H39" i="5"/>
  <c r="G39" i="5"/>
  <c r="H38" i="5"/>
  <c r="G38" i="5"/>
  <c r="D37" i="5"/>
  <c r="H36" i="5"/>
  <c r="G36" i="5"/>
  <c r="H35" i="5"/>
  <c r="G35" i="5"/>
  <c r="H34" i="5"/>
  <c r="G34" i="5"/>
  <c r="H33" i="5"/>
  <c r="G33" i="5"/>
  <c r="H32" i="5"/>
  <c r="G32" i="5"/>
  <c r="D31" i="5"/>
  <c r="H27" i="5"/>
  <c r="G27" i="5"/>
  <c r="H26" i="5"/>
  <c r="G26" i="5"/>
  <c r="H25" i="5"/>
  <c r="G25" i="5"/>
  <c r="D24" i="5"/>
  <c r="D22" i="5" s="1"/>
  <c r="H23" i="5"/>
  <c r="G23" i="5"/>
  <c r="H20" i="5"/>
  <c r="G20" i="5"/>
  <c r="H19" i="5"/>
  <c r="G19" i="5"/>
  <c r="H18" i="5"/>
  <c r="G18" i="5"/>
  <c r="D17" i="5"/>
  <c r="D12" i="5" s="1"/>
  <c r="H16" i="5"/>
  <c r="G16" i="5"/>
  <c r="H15" i="5"/>
  <c r="G15" i="5"/>
  <c r="H14" i="5"/>
  <c r="G14" i="5"/>
  <c r="H13" i="5"/>
  <c r="D13" i="5"/>
  <c r="C23" i="33"/>
  <c r="F30" i="26"/>
  <c r="E30" i="26"/>
  <c r="B16" i="26"/>
  <c r="B15" i="26"/>
  <c r="G31" i="5" l="1"/>
  <c r="D30" i="5"/>
  <c r="G22" i="5"/>
  <c r="H22" i="5"/>
  <c r="I46" i="5"/>
  <c r="H24" i="5"/>
  <c r="H31" i="5"/>
  <c r="I37" i="5"/>
  <c r="D54" i="5"/>
  <c r="G13" i="5"/>
  <c r="I43" i="5"/>
  <c r="G24" i="5"/>
  <c r="I45" i="5"/>
  <c r="D33" i="16"/>
  <c r="D55" i="16" s="1"/>
  <c r="D57" i="16" s="1"/>
  <c r="D60" i="16"/>
  <c r="D32" i="16"/>
  <c r="G47" i="16"/>
  <c r="G49" i="16"/>
  <c r="G40" i="16"/>
  <c r="G34" i="16"/>
  <c r="D29" i="5"/>
  <c r="I12" i="5"/>
  <c r="G12" i="5"/>
  <c r="H12" i="5"/>
  <c r="I34" i="5"/>
  <c r="H17" i="5"/>
  <c r="G37" i="5"/>
  <c r="H30" i="5"/>
  <c r="H37" i="5"/>
  <c r="G43" i="5"/>
  <c r="G45" i="5"/>
  <c r="I32" i="5"/>
  <c r="I35" i="5"/>
  <c r="I40" i="5"/>
  <c r="H43" i="5"/>
  <c r="H45" i="5"/>
  <c r="I48" i="5"/>
  <c r="I31" i="5"/>
  <c r="I39" i="5"/>
  <c r="G17" i="5"/>
  <c r="I47" i="5"/>
  <c r="I33" i="5"/>
  <c r="I36" i="5"/>
  <c r="I38" i="5"/>
  <c r="I41" i="5"/>
  <c r="I44" i="5"/>
  <c r="D50" i="5" l="1"/>
  <c r="D53" i="5"/>
  <c r="G30" i="5"/>
  <c r="G33" i="16"/>
  <c r="H54" i="16"/>
  <c r="H53" i="16"/>
  <c r="H34" i="16"/>
  <c r="H37" i="16"/>
  <c r="H43" i="16"/>
  <c r="H38" i="16"/>
  <c r="H52" i="16"/>
  <c r="H46" i="16"/>
  <c r="H36" i="16"/>
  <c r="H42" i="16"/>
  <c r="H49" i="16"/>
  <c r="H35" i="16"/>
  <c r="H51" i="16"/>
  <c r="H48" i="16"/>
  <c r="H33" i="16"/>
  <c r="H44" i="16"/>
  <c r="H47" i="16"/>
  <c r="H41" i="16"/>
  <c r="H40" i="16"/>
  <c r="H39" i="16"/>
  <c r="H45" i="16"/>
  <c r="H50" i="16"/>
  <c r="I17" i="5"/>
  <c r="D56" i="16"/>
  <c r="D66" i="16" s="1"/>
  <c r="I13" i="5"/>
  <c r="I30" i="5"/>
  <c r="D59" i="16"/>
  <c r="G55" i="16"/>
  <c r="I26" i="5"/>
  <c r="I18" i="5"/>
  <c r="I16" i="5"/>
  <c r="I24" i="5"/>
  <c r="I19" i="5"/>
  <c r="I14" i="5"/>
  <c r="I25" i="5"/>
  <c r="I23" i="5"/>
  <c r="I20" i="5"/>
  <c r="I15" i="5"/>
  <c r="I27" i="5"/>
  <c r="I22" i="5"/>
  <c r="H29" i="5"/>
  <c r="G29" i="5"/>
  <c r="B70" i="10"/>
  <c r="D51" i="5" l="1"/>
  <c r="D55" i="5" s="1"/>
  <c r="D52" i="5"/>
  <c r="G32" i="16"/>
  <c r="H50" i="5"/>
  <c r="G50" i="5"/>
  <c r="D58" i="16"/>
  <c r="G57" i="16"/>
  <c r="B55" i="23"/>
  <c r="R55" i="23"/>
  <c r="C55" i="23"/>
  <c r="I52" i="5" l="1"/>
  <c r="G52" i="5"/>
  <c r="H52" i="5"/>
  <c r="D31" i="11"/>
  <c r="E31" i="11"/>
  <c r="F31" i="11"/>
  <c r="BH9" i="35" l="1"/>
  <c r="C31" i="33" l="1"/>
  <c r="C13" i="33"/>
  <c r="B13" i="32"/>
  <c r="B14" i="32"/>
  <c r="E14" i="31"/>
  <c r="H49" i="31"/>
  <c r="G49" i="31"/>
  <c r="F49" i="31"/>
  <c r="H40" i="31"/>
  <c r="G40" i="31"/>
  <c r="F40" i="31"/>
  <c r="H34" i="31"/>
  <c r="G34" i="31"/>
  <c r="F34" i="31"/>
  <c r="H26" i="31"/>
  <c r="H24" i="31" s="1"/>
  <c r="G26" i="31"/>
  <c r="G24" i="31" s="1"/>
  <c r="F26" i="31"/>
  <c r="F24" i="31" s="1"/>
  <c r="H14" i="31"/>
  <c r="G14" i="31"/>
  <c r="F14" i="31"/>
  <c r="E49" i="31"/>
  <c r="E40" i="31"/>
  <c r="E34" i="31"/>
  <c r="E26" i="31"/>
  <c r="E24" i="31" s="1"/>
  <c r="D40" i="31"/>
  <c r="D34" i="31"/>
  <c r="D26" i="31"/>
  <c r="D24" i="31" s="1"/>
  <c r="D14" i="31"/>
  <c r="D13" i="31" l="1"/>
  <c r="F13" i="31"/>
  <c r="G13" i="31"/>
  <c r="H13" i="31"/>
  <c r="H47" i="31"/>
  <c r="F47" i="31"/>
  <c r="G47" i="31"/>
  <c r="E47" i="31"/>
  <c r="D33" i="31"/>
  <c r="E33" i="31"/>
  <c r="F33" i="31"/>
  <c r="G33" i="31"/>
  <c r="H33" i="31"/>
  <c r="C37" i="33"/>
  <c r="E13" i="31"/>
  <c r="G32" i="31" l="1"/>
  <c r="D32" i="31"/>
  <c r="F55" i="31"/>
  <c r="F32" i="31"/>
  <c r="H55" i="31"/>
  <c r="E55" i="31"/>
  <c r="H32" i="31"/>
  <c r="E32" i="31"/>
  <c r="G55" i="31"/>
  <c r="D55" i="31"/>
  <c r="F56" i="31" l="1"/>
  <c r="D56" i="31"/>
  <c r="G56" i="31"/>
  <c r="F58" i="31"/>
  <c r="H58" i="31"/>
  <c r="E58" i="31"/>
  <c r="H56" i="31"/>
  <c r="E56" i="31"/>
  <c r="G58" i="31"/>
  <c r="D58" i="31"/>
  <c r="F12" i="26"/>
  <c r="E12" i="26"/>
  <c r="H59" i="31" l="1"/>
  <c r="E59" i="31"/>
  <c r="F59" i="31"/>
  <c r="D59" i="31"/>
  <c r="G59" i="31"/>
  <c r="B8" i="13" l="1"/>
  <c r="B8" i="12"/>
  <c r="D10" i="13" l="1"/>
  <c r="D10" i="12"/>
  <c r="D10" i="11"/>
  <c r="D10" i="10"/>
  <c r="B9" i="33" l="1"/>
  <c r="B9" i="32"/>
  <c r="B9" i="31"/>
  <c r="B9" i="35"/>
  <c r="B70" i="23" l="1"/>
  <c r="AE70" i="23"/>
  <c r="C70" i="23"/>
  <c r="H12" i="12" l="1"/>
  <c r="C147" i="29"/>
  <c r="C118" i="29"/>
  <c r="C75" i="29"/>
  <c r="C33" i="29"/>
  <c r="N46" i="2" l="1"/>
  <c r="M46" i="2"/>
  <c r="L46" i="2"/>
  <c r="K46" i="2"/>
  <c r="J46" i="2"/>
  <c r="I46" i="2"/>
  <c r="H46" i="2"/>
  <c r="F46" i="2"/>
  <c r="E46" i="2"/>
  <c r="D46" i="2"/>
  <c r="N38" i="2"/>
  <c r="M38" i="2"/>
  <c r="L38" i="2"/>
  <c r="K38" i="2"/>
  <c r="J38" i="2"/>
  <c r="I38" i="2"/>
  <c r="H38" i="2"/>
  <c r="G38" i="2"/>
  <c r="F38" i="2"/>
  <c r="N32" i="2"/>
  <c r="M32" i="2"/>
  <c r="L32" i="2"/>
  <c r="K32" i="2"/>
  <c r="J32" i="2"/>
  <c r="I32" i="2"/>
  <c r="H32" i="2"/>
  <c r="G32" i="2"/>
  <c r="F32" i="2"/>
  <c r="E32" i="2"/>
  <c r="D32" i="2"/>
  <c r="N25" i="2"/>
  <c r="M25" i="2"/>
  <c r="L25" i="2"/>
  <c r="K25" i="2"/>
  <c r="J25" i="2"/>
  <c r="H25" i="2"/>
  <c r="G25" i="2"/>
  <c r="F25" i="2"/>
  <c r="D25" i="2"/>
  <c r="N18" i="2"/>
  <c r="M18" i="2"/>
  <c r="L18" i="2"/>
  <c r="K18" i="2"/>
  <c r="J18" i="2"/>
  <c r="I18" i="2"/>
  <c r="H18" i="2"/>
  <c r="F18" i="2"/>
  <c r="N14" i="2"/>
  <c r="M14" i="2"/>
  <c r="L14" i="2"/>
  <c r="K14" i="2"/>
  <c r="J14" i="2"/>
  <c r="I14" i="2"/>
  <c r="H14" i="2"/>
  <c r="G14" i="2"/>
  <c r="F14" i="2"/>
  <c r="E14" i="2"/>
  <c r="D14" i="2"/>
  <c r="AE21" i="23" l="1"/>
  <c r="R21" i="23"/>
  <c r="B28" i="19" l="1"/>
  <c r="B26" i="19"/>
  <c r="B25" i="19"/>
  <c r="B24" i="19"/>
  <c r="B23" i="19"/>
  <c r="B20" i="19"/>
  <c r="B21" i="19"/>
  <c r="C26" i="31" l="1"/>
  <c r="C24" i="31" s="1"/>
  <c r="C49" i="31"/>
  <c r="C40" i="31"/>
  <c r="C34" i="31"/>
  <c r="C14" i="31"/>
  <c r="B61" i="31"/>
  <c r="C47" i="31" l="1"/>
  <c r="C33" i="31"/>
  <c r="B33" i="19" l="1"/>
  <c r="B30" i="19"/>
  <c r="AE73" i="23" l="1"/>
  <c r="AE34" i="23" s="1"/>
  <c r="C73" i="23"/>
  <c r="B18" i="19" l="1"/>
  <c r="B35" i="33" l="1"/>
  <c r="B36" i="33"/>
  <c r="B34" i="33"/>
  <c r="B32" i="33"/>
  <c r="B29" i="33"/>
  <c r="B28" i="33"/>
  <c r="B27" i="33"/>
  <c r="B26" i="33"/>
  <c r="B25" i="33"/>
  <c r="B24" i="33"/>
  <c r="B31" i="33"/>
  <c r="B23" i="33"/>
  <c r="B13" i="33"/>
  <c r="B22" i="33"/>
  <c r="B21" i="33"/>
  <c r="B20" i="33"/>
  <c r="B19" i="33"/>
  <c r="B18" i="33"/>
  <c r="B17" i="33"/>
  <c r="B16" i="33"/>
  <c r="B14" i="33"/>
  <c r="B15" i="33"/>
  <c r="G23" i="2" l="1"/>
  <c r="H23" i="2"/>
  <c r="F23" i="2"/>
  <c r="E23" i="2"/>
  <c r="D23" i="2"/>
  <c r="L23" i="2"/>
  <c r="K23" i="2"/>
  <c r="J23" i="2"/>
  <c r="I23" i="2"/>
  <c r="L13" i="2"/>
  <c r="K13" i="2"/>
  <c r="D13" i="2"/>
  <c r="G13" i="2"/>
  <c r="F13" i="2"/>
  <c r="E13" i="2"/>
  <c r="I13" i="2"/>
  <c r="J13" i="2"/>
  <c r="H13" i="2"/>
  <c r="H11" i="29" l="1"/>
  <c r="G12" i="29"/>
  <c r="F12" i="29"/>
  <c r="E12" i="29"/>
  <c r="D12" i="29"/>
  <c r="D10" i="29"/>
  <c r="B13" i="31" l="1"/>
  <c r="B18" i="31"/>
  <c r="B20" i="31"/>
  <c r="B21" i="31"/>
  <c r="B22" i="31"/>
  <c r="B23" i="31"/>
  <c r="B24" i="31"/>
  <c r="B26" i="31"/>
  <c r="B28" i="31"/>
  <c r="B29" i="31"/>
  <c r="B31" i="31"/>
  <c r="C13" i="31" l="1"/>
  <c r="D34" i="26" l="1"/>
  <c r="C34" i="26"/>
  <c r="C56" i="21" l="1"/>
  <c r="B12" i="26"/>
  <c r="B58" i="23" l="1"/>
  <c r="I16" i="1" l="1"/>
  <c r="I17" i="1"/>
  <c r="I18" i="1"/>
  <c r="I20" i="1"/>
  <c r="I21" i="1"/>
  <c r="D21" i="14" l="1"/>
  <c r="G21" i="14" s="1"/>
  <c r="D19" i="14" l="1"/>
  <c r="G19" i="14" s="1"/>
  <c r="H138" i="29"/>
  <c r="H96" i="29"/>
  <c r="B94" i="29"/>
  <c r="C54" i="21" l="1"/>
  <c r="B35" i="21"/>
  <c r="C53" i="21" l="1"/>
  <c r="D25" i="18" l="1"/>
  <c r="B8" i="20" l="1"/>
  <c r="E13" i="11" l="1"/>
  <c r="F13" i="11"/>
  <c r="E17" i="11"/>
  <c r="F17" i="11"/>
  <c r="E26" i="11"/>
  <c r="F26" i="11"/>
  <c r="E40" i="11"/>
  <c r="F40" i="11"/>
  <c r="F12" i="11" l="1"/>
  <c r="E12" i="11"/>
  <c r="H13" i="10" l="1"/>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H12" i="10" l="1"/>
  <c r="B31" i="21"/>
  <c r="B30" i="21"/>
  <c r="C29" i="21"/>
  <c r="C28" i="21"/>
  <c r="C27" i="21"/>
  <c r="C26" i="21"/>
  <c r="C25" i="21"/>
  <c r="B25" i="21"/>
  <c r="B24" i="21"/>
  <c r="C23" i="21"/>
  <c r="C22" i="21"/>
  <c r="C21" i="21"/>
  <c r="C20" i="21"/>
  <c r="C19" i="21"/>
  <c r="B19" i="21"/>
  <c r="B18" i="21"/>
  <c r="C17" i="21"/>
  <c r="C16" i="21"/>
  <c r="C15" i="21"/>
  <c r="C14" i="21"/>
  <c r="C13" i="21"/>
  <c r="B13" i="21"/>
  <c r="B11" i="21"/>
  <c r="B10" i="21"/>
  <c r="B54" i="2" l="1"/>
  <c r="B8" i="33" l="1"/>
  <c r="C24" i="9" s="1"/>
  <c r="C31" i="9" l="1"/>
  <c r="C30" i="9"/>
  <c r="B8" i="23"/>
  <c r="C29" i="9" s="1"/>
  <c r="B8" i="29"/>
  <c r="C28" i="9" s="1"/>
  <c r="B8" i="21"/>
  <c r="C27" i="9" s="1"/>
  <c r="C26" i="9"/>
  <c r="B8" i="19"/>
  <c r="C25" i="9" s="1"/>
  <c r="B8" i="32"/>
  <c r="C23" i="9" s="1"/>
  <c r="B62" i="31"/>
  <c r="B60" i="31"/>
  <c r="B8" i="31"/>
  <c r="B37" i="33"/>
  <c r="B38" i="33"/>
  <c r="C22" i="9" l="1"/>
  <c r="B59" i="31"/>
  <c r="B58" i="31"/>
  <c r="B51" i="31"/>
  <c r="B42" i="31"/>
  <c r="B56" i="31"/>
  <c r="B55" i="31"/>
  <c r="B54" i="31"/>
  <c r="B52" i="31"/>
  <c r="B50" i="31"/>
  <c r="B49" i="31"/>
  <c r="B48" i="31"/>
  <c r="B47" i="31"/>
  <c r="B46" i="31"/>
  <c r="B45" i="31"/>
  <c r="B44" i="31"/>
  <c r="B43" i="31"/>
  <c r="B41" i="31"/>
  <c r="B40" i="31"/>
  <c r="B39" i="31"/>
  <c r="B38" i="31"/>
  <c r="B37" i="31"/>
  <c r="B36" i="31"/>
  <c r="B35" i="31"/>
  <c r="B34" i="31"/>
  <c r="B33" i="31"/>
  <c r="B32" i="31"/>
  <c r="C32" i="31" l="1"/>
  <c r="B73" i="12"/>
  <c r="C55" i="31" l="1"/>
  <c r="C58" i="31" l="1"/>
  <c r="C56" i="31"/>
  <c r="C59" i="31" l="1"/>
  <c r="B41" i="18"/>
  <c r="AE28" i="23" l="1"/>
  <c r="B54" i="10" l="1"/>
  <c r="B74" i="23" l="1"/>
  <c r="C45" i="21"/>
  <c r="B58" i="6" l="1"/>
  <c r="B57" i="6"/>
  <c r="B77" i="13" l="1"/>
  <c r="B76" i="13"/>
  <c r="R28" i="23"/>
  <c r="B8" i="18"/>
  <c r="B8" i="17"/>
  <c r="B8" i="16"/>
  <c r="B8" i="15"/>
  <c r="B8" i="14"/>
  <c r="B8" i="11"/>
  <c r="B8" i="10"/>
  <c r="B8" i="6"/>
  <c r="B8" i="5"/>
  <c r="D77" i="18" l="1"/>
  <c r="C77" i="18"/>
  <c r="D61" i="18" l="1"/>
  <c r="D54" i="18"/>
  <c r="D48" i="18"/>
  <c r="C48" i="18"/>
  <c r="D36" i="18"/>
  <c r="C36" i="18"/>
  <c r="D22" i="18"/>
  <c r="C22" i="18"/>
  <c r="D14" i="18"/>
  <c r="C14" i="18"/>
  <c r="C34" i="18" l="1"/>
  <c r="E61" i="18"/>
  <c r="E48" i="18"/>
  <c r="E36" i="18"/>
  <c r="E54" i="18"/>
  <c r="E22" i="18"/>
  <c r="E14" i="18"/>
  <c r="D59" i="18"/>
  <c r="D47" i="18"/>
  <c r="C47" i="18"/>
  <c r="D34" i="18"/>
  <c r="C13" i="18"/>
  <c r="D13" i="18"/>
  <c r="C70" i="18" l="1"/>
  <c r="D70" i="18"/>
  <c r="E59" i="18"/>
  <c r="E34" i="18"/>
  <c r="E13" i="18"/>
  <c r="C12" i="18"/>
  <c r="E47" i="18"/>
  <c r="C65" i="18"/>
  <c r="D65" i="18"/>
  <c r="D12" i="18"/>
  <c r="E12" i="18" s="1"/>
  <c r="C46" i="18" l="1"/>
  <c r="C69" i="18"/>
  <c r="E65" i="18"/>
  <c r="D67" i="18"/>
  <c r="C67" i="18"/>
  <c r="D46" i="18"/>
  <c r="D69" i="18"/>
  <c r="C66" i="18" l="1"/>
  <c r="E46" i="18"/>
  <c r="E67" i="18"/>
  <c r="C68" i="18"/>
  <c r="D68" i="18"/>
  <c r="D66" i="18"/>
  <c r="C76" i="18" l="1"/>
  <c r="D76" i="18"/>
  <c r="F29" i="26" l="1"/>
  <c r="E29" i="26"/>
  <c r="C55" i="11" l="1"/>
  <c r="C53" i="11" s="1"/>
  <c r="C46" i="11"/>
  <c r="C40" i="11"/>
  <c r="C36" i="11"/>
  <c r="C26" i="11"/>
  <c r="C17" i="11"/>
  <c r="C13" i="11"/>
  <c r="C30" i="11" l="1"/>
  <c r="C29" i="11" s="1"/>
  <c r="C12" i="11"/>
  <c r="D38" i="14"/>
  <c r="G38" i="14" s="1"/>
  <c r="D32" i="14"/>
  <c r="G32" i="14" s="1"/>
  <c r="D18" i="14"/>
  <c r="G18" i="14" s="1"/>
  <c r="D15" i="14"/>
  <c r="G15" i="14" s="1"/>
  <c r="D13" i="14" l="1"/>
  <c r="G13" i="14" s="1"/>
  <c r="D31" i="14"/>
  <c r="G31" i="14" l="1"/>
  <c r="D46" i="14"/>
  <c r="G46" i="14" s="1"/>
  <c r="D12" i="14"/>
  <c r="D10" i="20"/>
  <c r="C10" i="20"/>
  <c r="D10" i="19"/>
  <c r="D10" i="6"/>
  <c r="D30" i="14" l="1"/>
  <c r="B57" i="11"/>
  <c r="B76" i="17"/>
  <c r="B8" i="1"/>
  <c r="G30" i="14" l="1"/>
  <c r="D47" i="14"/>
  <c r="B71" i="10"/>
  <c r="I139" i="29" l="1"/>
  <c r="AE74" i="23" l="1"/>
  <c r="AE37" i="23" s="1"/>
  <c r="AE65" i="23" l="1"/>
  <c r="R65" i="23"/>
  <c r="C65" i="23"/>
  <c r="B65" i="23"/>
  <c r="B61" i="10" l="1"/>
  <c r="B61" i="12"/>
  <c r="B61" i="13"/>
  <c r="B168" i="29" l="1"/>
  <c r="B167" i="29"/>
  <c r="B166" i="29"/>
  <c r="B165" i="29"/>
  <c r="C145" i="29"/>
  <c r="C143" i="29"/>
  <c r="C141" i="29"/>
  <c r="L139" i="29"/>
  <c r="K139" i="29"/>
  <c r="J139" i="29"/>
  <c r="G139" i="29"/>
  <c r="F139" i="29"/>
  <c r="E139" i="29"/>
  <c r="D139" i="29"/>
  <c r="M138" i="29"/>
  <c r="I138" i="29"/>
  <c r="D138" i="29"/>
  <c r="O137" i="29"/>
  <c r="N137" i="29"/>
  <c r="I137" i="29"/>
  <c r="D137" i="29"/>
  <c r="C116" i="29"/>
  <c r="C114" i="29"/>
  <c r="C112" i="29"/>
  <c r="C110" i="29"/>
  <c r="C109" i="29"/>
  <c r="C108" i="29"/>
  <c r="C107" i="29"/>
  <c r="C106" i="29"/>
  <c r="C105" i="29"/>
  <c r="C104" i="29"/>
  <c r="C103" i="29"/>
  <c r="C102" i="29"/>
  <c r="C101" i="29"/>
  <c r="C100" i="29"/>
  <c r="C99" i="29"/>
  <c r="L97" i="29"/>
  <c r="K97" i="29"/>
  <c r="J97" i="29"/>
  <c r="I97" i="29"/>
  <c r="G97" i="29"/>
  <c r="F97" i="29"/>
  <c r="E97" i="29"/>
  <c r="D97" i="29"/>
  <c r="M96" i="29"/>
  <c r="I96" i="29"/>
  <c r="D96" i="29"/>
  <c r="O95" i="29"/>
  <c r="N95" i="29"/>
  <c r="I95" i="29"/>
  <c r="D95" i="29"/>
  <c r="C73" i="29"/>
  <c r="C71" i="29"/>
  <c r="C69" i="29"/>
  <c r="C67" i="29"/>
  <c r="C66" i="29"/>
  <c r="C65" i="29"/>
  <c r="C64" i="29"/>
  <c r="C63" i="29"/>
  <c r="C62" i="29"/>
  <c r="C61" i="29"/>
  <c r="C60" i="29"/>
  <c r="C59" i="29"/>
  <c r="C58" i="29"/>
  <c r="C57" i="29"/>
  <c r="C56" i="29"/>
  <c r="G54" i="29"/>
  <c r="F54" i="29"/>
  <c r="E54" i="29"/>
  <c r="D54" i="29"/>
  <c r="I53" i="29"/>
  <c r="H53" i="29"/>
  <c r="D53" i="29"/>
  <c r="I52" i="29"/>
  <c r="D52" i="29"/>
  <c r="C31" i="29"/>
  <c r="C29" i="29"/>
  <c r="C27" i="29"/>
  <c r="C25" i="29"/>
  <c r="C24" i="29"/>
  <c r="C23" i="29"/>
  <c r="C22" i="29"/>
  <c r="C21" i="29"/>
  <c r="C20" i="29"/>
  <c r="C19" i="29"/>
  <c r="C18" i="29"/>
  <c r="C17" i="29"/>
  <c r="C16" i="29"/>
  <c r="C15" i="29"/>
  <c r="C14" i="29"/>
  <c r="I11" i="29"/>
  <c r="I10" i="29"/>
  <c r="B14" i="1" l="1"/>
  <c r="H68" i="12" l="1"/>
  <c r="J34" i="28"/>
  <c r="I34" i="28"/>
  <c r="B72" i="23"/>
  <c r="B77" i="23"/>
  <c r="AE72" i="23"/>
  <c r="C72" i="23"/>
  <c r="AE77" i="23"/>
  <c r="AE40" i="23" s="1"/>
  <c r="C77" i="23"/>
  <c r="B66" i="17"/>
  <c r="J24" i="1"/>
  <c r="I24" i="1"/>
  <c r="J21" i="1"/>
  <c r="J20" i="1"/>
  <c r="J18" i="1"/>
  <c r="J17" i="1"/>
  <c r="J16" i="1"/>
  <c r="N44" i="2"/>
  <c r="N23" i="2"/>
  <c r="B46" i="28"/>
  <c r="B16" i="18"/>
  <c r="B15" i="18"/>
  <c r="B77" i="18"/>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B48" i="28"/>
  <c r="B47"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C39" i="21"/>
  <c r="C42" i="21"/>
  <c r="C43" i="21"/>
  <c r="C44" i="21"/>
  <c r="C47" i="21"/>
  <c r="C48" i="21"/>
  <c r="C49" i="21"/>
  <c r="C50" i="21"/>
  <c r="C51" i="21"/>
  <c r="AE68" i="23"/>
  <c r="AE25" i="23" s="1"/>
  <c r="R68" i="23"/>
  <c r="R25" i="23" s="1"/>
  <c r="C68" i="23"/>
  <c r="B40" i="20"/>
  <c r="C15" i="9"/>
  <c r="B510" i="27"/>
  <c r="B37" i="26"/>
  <c r="H32" i="10"/>
  <c r="H31" i="10"/>
  <c r="G29" i="10"/>
  <c r="G26" i="10"/>
  <c r="G22" i="10"/>
  <c r="B38" i="26"/>
  <c r="B36" i="26"/>
  <c r="B35" i="26"/>
  <c r="B34" i="26"/>
  <c r="F33" i="26"/>
  <c r="B33" i="26"/>
  <c r="D32" i="26"/>
  <c r="C32" i="26"/>
  <c r="C35" i="26" s="1"/>
  <c r="B32" i="26"/>
  <c r="F31" i="26"/>
  <c r="E31" i="26"/>
  <c r="F28" i="26"/>
  <c r="E28" i="26"/>
  <c r="F27" i="26"/>
  <c r="E27" i="26"/>
  <c r="F26" i="26"/>
  <c r="E26" i="26"/>
  <c r="F25" i="26"/>
  <c r="E25" i="26"/>
  <c r="F22" i="26"/>
  <c r="E22" i="26"/>
  <c r="F21" i="26"/>
  <c r="E21" i="26"/>
  <c r="F20" i="26"/>
  <c r="E20" i="26"/>
  <c r="F19" i="26"/>
  <c r="E19" i="26"/>
  <c r="F18" i="26"/>
  <c r="E18" i="26"/>
  <c r="F17" i="26"/>
  <c r="E17" i="26"/>
  <c r="F16" i="26"/>
  <c r="E16" i="26"/>
  <c r="F15" i="26"/>
  <c r="E15" i="26"/>
  <c r="F14" i="26"/>
  <c r="E14" i="26"/>
  <c r="B14" i="26"/>
  <c r="F13" i="26"/>
  <c r="E13" i="26"/>
  <c r="B13" i="26"/>
  <c r="F11" i="26"/>
  <c r="E11" i="26"/>
  <c r="G10" i="26"/>
  <c r="G9" i="26"/>
  <c r="B35" i="25"/>
  <c r="C10" i="25"/>
  <c r="B10" i="25"/>
  <c r="E9" i="25"/>
  <c r="B83" i="23"/>
  <c r="B82" i="23"/>
  <c r="B81" i="23"/>
  <c r="B80" i="23"/>
  <c r="B79" i="23"/>
  <c r="AE76" i="23"/>
  <c r="C76" i="23"/>
  <c r="B76" i="23"/>
  <c r="AE75" i="23"/>
  <c r="C75" i="23"/>
  <c r="B75" i="23"/>
  <c r="C74" i="23"/>
  <c r="AE71" i="23"/>
  <c r="AE32" i="23" s="1"/>
  <c r="C71" i="23"/>
  <c r="B71" i="23"/>
  <c r="AE69" i="23"/>
  <c r="AE29" i="23" s="1"/>
  <c r="C69" i="23"/>
  <c r="AE24" i="23"/>
  <c r="R24" i="23"/>
  <c r="AE67" i="23"/>
  <c r="R67" i="23"/>
  <c r="C67" i="23"/>
  <c r="AE64" i="23"/>
  <c r="R64" i="23"/>
  <c r="C64" i="23"/>
  <c r="AE63" i="23"/>
  <c r="R63" i="23"/>
  <c r="C63" i="23"/>
  <c r="AE61" i="23"/>
  <c r="R61" i="23"/>
  <c r="C61" i="23"/>
  <c r="B61" i="23"/>
  <c r="AE60" i="23"/>
  <c r="R60" i="23"/>
  <c r="C60" i="23"/>
  <c r="B60" i="23"/>
  <c r="AE59" i="23"/>
  <c r="R59" i="23"/>
  <c r="C59" i="23"/>
  <c r="B59" i="23"/>
  <c r="AE58" i="23"/>
  <c r="R58" i="23"/>
  <c r="C58" i="23"/>
  <c r="AE57" i="23"/>
  <c r="AE13" i="23" s="1"/>
  <c r="R57" i="23"/>
  <c r="R13" i="23" s="1"/>
  <c r="C57"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AE11" i="23"/>
  <c r="AD11" i="23"/>
  <c r="AC11" i="23"/>
  <c r="AB11" i="23"/>
  <c r="AA11" i="23"/>
  <c r="Z11" i="23"/>
  <c r="Y11" i="23"/>
  <c r="X11" i="23"/>
  <c r="W11" i="23"/>
  <c r="R11" i="23"/>
  <c r="Q11" i="23"/>
  <c r="P11" i="23"/>
  <c r="O11" i="23"/>
  <c r="N11" i="23"/>
  <c r="M11" i="23"/>
  <c r="L11" i="23"/>
  <c r="K11" i="23"/>
  <c r="J11" i="23"/>
  <c r="I11" i="23"/>
  <c r="D10" i="23"/>
  <c r="AE9" i="23"/>
  <c r="C52" i="21"/>
  <c r="Q38"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2" i="19"/>
  <c r="B29" i="19"/>
  <c r="B22" i="19"/>
  <c r="B13" i="19"/>
  <c r="B12" i="19"/>
  <c r="H10" i="19"/>
  <c r="H9" i="19"/>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1"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I10" i="17"/>
  <c r="F10" i="17"/>
  <c r="C10" i="17"/>
  <c r="L9" i="17"/>
  <c r="C20" i="9"/>
  <c r="B71" i="16"/>
  <c r="B69" i="16"/>
  <c r="B68" i="16"/>
  <c r="B67" i="16"/>
  <c r="H9" i="16"/>
  <c r="C19" i="9"/>
  <c r="B79" i="15"/>
  <c r="B78" i="15"/>
  <c r="B76" i="15"/>
  <c r="B75" i="15"/>
  <c r="B74" i="15"/>
  <c r="H9" i="15"/>
  <c r="C18" i="9"/>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I9" i="14"/>
  <c r="C17" i="9"/>
  <c r="B77" i="12"/>
  <c r="B73" i="13"/>
  <c r="B71" i="13"/>
  <c r="B70" i="13"/>
  <c r="B69" i="13"/>
  <c r="B68" i="13"/>
  <c r="B67" i="13"/>
  <c r="B66" i="13"/>
  <c r="B65" i="13"/>
  <c r="B64" i="13"/>
  <c r="B63" i="13"/>
  <c r="B62" i="13"/>
  <c r="B60" i="13"/>
  <c r="B59" i="13"/>
  <c r="B58" i="13"/>
  <c r="H57" i="13"/>
  <c r="G57" i="13"/>
  <c r="B57" i="13"/>
  <c r="H56" i="13"/>
  <c r="G56" i="13"/>
  <c r="B56" i="13"/>
  <c r="H55" i="13"/>
  <c r="G55" i="13"/>
  <c r="B55" i="13"/>
  <c r="H54" i="13"/>
  <c r="G54" i="13"/>
  <c r="B54" i="13"/>
  <c r="H53" i="13"/>
  <c r="G53" i="13"/>
  <c r="B53" i="13"/>
  <c r="D50" i="13"/>
  <c r="B52" i="13"/>
  <c r="H51" i="13"/>
  <c r="G51" i="13"/>
  <c r="B51" i="13"/>
  <c r="B50" i="13"/>
  <c r="B49" i="13"/>
  <c r="H48" i="13"/>
  <c r="B48" i="13"/>
  <c r="H47" i="13"/>
  <c r="B47" i="13"/>
  <c r="H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6" i="9"/>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B37" i="11"/>
  <c r="D36" i="11"/>
  <c r="B36" i="11"/>
  <c r="H35" i="11"/>
  <c r="G35" i="11"/>
  <c r="B35" i="11"/>
  <c r="H34" i="11"/>
  <c r="G34" i="11"/>
  <c r="B34" i="11"/>
  <c r="H33" i="11"/>
  <c r="G33" i="11"/>
  <c r="B33" i="11"/>
  <c r="H32" i="11"/>
  <c r="G32" i="11"/>
  <c r="B32" i="11"/>
  <c r="B31" i="11"/>
  <c r="B30" i="11"/>
  <c r="B29" i="11"/>
  <c r="H28" i="11"/>
  <c r="G28" i="11"/>
  <c r="B28" i="11"/>
  <c r="H27" i="11"/>
  <c r="G27" i="11"/>
  <c r="B27" i="11"/>
  <c r="D26" i="1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B17" i="11"/>
  <c r="H16" i="11"/>
  <c r="G16" i="11"/>
  <c r="B16" i="11"/>
  <c r="H15" i="11"/>
  <c r="G15" i="11"/>
  <c r="B15" i="11"/>
  <c r="H14" i="11"/>
  <c r="G14" i="11"/>
  <c r="B14" i="11"/>
  <c r="D13" i="11"/>
  <c r="B13" i="11"/>
  <c r="B12" i="11"/>
  <c r="I9" i="11"/>
  <c r="C14" i="9"/>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3" i="9"/>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2" i="9"/>
  <c r="D8" i="9"/>
  <c r="E8" i="9"/>
  <c r="F8" i="9"/>
  <c r="B52" i="14"/>
  <c r="B60" i="5"/>
  <c r="I9" i="5"/>
  <c r="C11" i="9"/>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7" i="2"/>
  <c r="B56" i="2"/>
  <c r="B55"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N13" i="2"/>
  <c r="B14" i="2"/>
  <c r="B13" i="2"/>
  <c r="N12" i="2"/>
  <c r="M12" i="2"/>
  <c r="L12" i="2"/>
  <c r="K12" i="2"/>
  <c r="J12" i="2"/>
  <c r="I12" i="2"/>
  <c r="H12" i="2"/>
  <c r="G12" i="2"/>
  <c r="F12" i="2"/>
  <c r="E12" i="2"/>
  <c r="D12" i="2"/>
  <c r="C12" i="2"/>
  <c r="N10" i="2"/>
  <c r="N9" i="2"/>
  <c r="B8" i="2"/>
  <c r="C10" i="9" s="1"/>
  <c r="B25" i="1"/>
  <c r="D24" i="1"/>
  <c r="C24" i="1"/>
  <c r="B24" i="1"/>
  <c r="B23" i="1"/>
  <c r="B22" i="1"/>
  <c r="B13" i="1"/>
  <c r="B12" i="1"/>
  <c r="J11" i="1"/>
  <c r="I11" i="1"/>
  <c r="G10" i="1"/>
  <c r="E10" i="1"/>
  <c r="C10" i="1"/>
  <c r="J9" i="1"/>
  <c r="C9" i="9"/>
  <c r="B9" i="26"/>
  <c r="B9" i="11"/>
  <c r="B9" i="17"/>
  <c r="B9" i="15"/>
  <c r="B9" i="18"/>
  <c r="B9" i="1"/>
  <c r="B9" i="12"/>
  <c r="B9" i="10"/>
  <c r="B9" i="16"/>
  <c r="B9" i="14"/>
  <c r="G32" i="10"/>
  <c r="G21" i="10"/>
  <c r="H19" i="10"/>
  <c r="F50" i="18"/>
  <c r="H30" i="10"/>
  <c r="E34" i="26"/>
  <c r="F63" i="18"/>
  <c r="F57" i="18"/>
  <c r="F51" i="18"/>
  <c r="F56" i="18"/>
  <c r="F61" i="18"/>
  <c r="H21" i="10"/>
  <c r="F49" i="18"/>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AE33" i="23" l="1"/>
  <c r="R14" i="23"/>
  <c r="R19" i="23"/>
  <c r="S53" i="23"/>
  <c r="G53" i="23"/>
  <c r="R53" i="23"/>
  <c r="AC53" i="23"/>
  <c r="E53" i="23"/>
  <c r="P53" i="23"/>
  <c r="AA53" i="23"/>
  <c r="N53" i="23"/>
  <c r="AD53" i="23"/>
  <c r="F53" i="23"/>
  <c r="Q53" i="23"/>
  <c r="AB53" i="23"/>
  <c r="O53" i="23"/>
  <c r="Y53" i="23"/>
  <c r="M53" i="23"/>
  <c r="W53" i="23"/>
  <c r="K53" i="23"/>
  <c r="J53" i="23"/>
  <c r="I53" i="23"/>
  <c r="H53" i="23"/>
  <c r="X53" i="23"/>
  <c r="L53" i="23"/>
  <c r="V53" i="23"/>
  <c r="U53" i="23"/>
  <c r="T53" i="23"/>
  <c r="Z53" i="23"/>
  <c r="G23" i="26"/>
  <c r="G24" i="26"/>
  <c r="AE19" i="23"/>
  <c r="AE14" i="23"/>
  <c r="AE53" i="23"/>
  <c r="AE39" i="23"/>
  <c r="AE38" i="23" s="1"/>
  <c r="J44" i="2"/>
  <c r="H16" i="23"/>
  <c r="H12" i="23" s="1"/>
  <c r="D35" i="26"/>
  <c r="G76" i="2"/>
  <c r="D18" i="28"/>
  <c r="K36" i="28"/>
  <c r="G13" i="12"/>
  <c r="F36" i="28"/>
  <c r="D12" i="13"/>
  <c r="I14" i="28"/>
  <c r="AB31" i="23"/>
  <c r="AB27" i="23" s="1"/>
  <c r="H14" i="10"/>
  <c r="G13" i="13"/>
  <c r="AE16" i="23"/>
  <c r="N31" i="23"/>
  <c r="N27" i="23" s="1"/>
  <c r="Y16" i="23"/>
  <c r="Y12" i="23" s="1"/>
  <c r="E16" i="23"/>
  <c r="E12" i="23" s="1"/>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G36" i="13"/>
  <c r="F76" i="2"/>
  <c r="B76" i="12"/>
  <c r="G31" i="6"/>
  <c r="F29" i="28"/>
  <c r="F31" i="2"/>
  <c r="J31" i="2"/>
  <c r="U16" i="23"/>
  <c r="U12" i="23" s="1"/>
  <c r="H36" i="13"/>
  <c r="H31" i="6"/>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H27" i="13"/>
  <c r="I40" i="28"/>
  <c r="I38" i="28" s="1"/>
  <c r="C14" i="28"/>
  <c r="H45" i="6"/>
  <c r="H24" i="6"/>
  <c r="H52" i="12"/>
  <c r="I31" i="2"/>
  <c r="G17" i="10"/>
  <c r="G31" i="23"/>
  <c r="G27" i="23" s="1"/>
  <c r="U31" i="23"/>
  <c r="U27" i="23" s="1"/>
  <c r="I38" i="23"/>
  <c r="I36" i="23" s="1"/>
  <c r="W38" i="23"/>
  <c r="W36" i="23" s="1"/>
  <c r="AC38" i="23"/>
  <c r="AC36" i="23" s="1"/>
  <c r="F33" i="28"/>
  <c r="K17" i="28"/>
  <c r="K22" i="28"/>
  <c r="K29" i="28"/>
  <c r="L32" i="28"/>
  <c r="L36" i="28"/>
  <c r="K41" i="28"/>
  <c r="H42" i="13"/>
  <c r="K83" i="2"/>
  <c r="X31" i="23"/>
  <c r="X27" i="23" s="1"/>
  <c r="M16" i="23"/>
  <c r="M12" i="23" s="1"/>
  <c r="G22" i="23"/>
  <c r="G20" i="23" s="1"/>
  <c r="M22" i="23"/>
  <c r="M20" i="23" s="1"/>
  <c r="Y22" i="23"/>
  <c r="Y20" i="23" s="1"/>
  <c r="K31" i="23"/>
  <c r="K27" i="23" s="1"/>
  <c r="S31" i="23"/>
  <c r="S27" i="23" s="1"/>
  <c r="Y31" i="23"/>
  <c r="Y27" i="23" s="1"/>
  <c r="M38" i="23"/>
  <c r="M36" i="23" s="1"/>
  <c r="U38" i="23"/>
  <c r="U36" i="23" s="1"/>
  <c r="L22" i="23"/>
  <c r="L20" i="23" s="1"/>
  <c r="AD22" i="23"/>
  <c r="AD20" i="23" s="1"/>
  <c r="F32" i="28"/>
  <c r="E36" i="28"/>
  <c r="K25" i="28"/>
  <c r="G89" i="2"/>
  <c r="I16" i="23"/>
  <c r="I12" i="23" s="1"/>
  <c r="N31" i="2"/>
  <c r="N54" i="2" s="1"/>
  <c r="G17" i="6"/>
  <c r="H83" i="2"/>
  <c r="AC16" i="23"/>
  <c r="AC12" i="23" s="1"/>
  <c r="AC31" i="23"/>
  <c r="AC27" i="23" s="1"/>
  <c r="F31" i="23"/>
  <c r="F27" i="23" s="1"/>
  <c r="L31" i="23"/>
  <c r="L27" i="23" s="1"/>
  <c r="T31" i="23"/>
  <c r="T27" i="23" s="1"/>
  <c r="Z31" i="23"/>
  <c r="Z27" i="23" s="1"/>
  <c r="R38" i="23"/>
  <c r="B77" i="15"/>
  <c r="B72" i="13"/>
  <c r="G24" i="6"/>
  <c r="L34" i="28"/>
  <c r="G45" i="6"/>
  <c r="L33" i="28"/>
  <c r="G55" i="11"/>
  <c r="B60" i="6"/>
  <c r="H42" i="10"/>
  <c r="G52" i="12"/>
  <c r="G42" i="13"/>
  <c r="J16" i="23"/>
  <c r="J12" i="23" s="1"/>
  <c r="P16" i="23"/>
  <c r="P12" i="23" s="1"/>
  <c r="V16" i="23"/>
  <c r="V12" i="23" s="1"/>
  <c r="F16" i="23"/>
  <c r="F12" i="23" s="1"/>
  <c r="R16" i="23"/>
  <c r="H22" i="23"/>
  <c r="H20" i="23" s="1"/>
  <c r="N22" i="23"/>
  <c r="N20" i="23" s="1"/>
  <c r="AB22" i="23"/>
  <c r="AB20" i="23" s="1"/>
  <c r="H18" i="13"/>
  <c r="H42" i="12"/>
  <c r="I65" i="2"/>
  <c r="M97" i="2"/>
  <c r="F41" i="28"/>
  <c r="D29" i="6"/>
  <c r="L29" i="28"/>
  <c r="K32" i="28"/>
  <c r="E41" i="28"/>
  <c r="G31" i="11"/>
  <c r="W31" i="23"/>
  <c r="W27" i="23" s="1"/>
  <c r="E15" i="28"/>
  <c r="G31" i="2"/>
  <c r="M44" i="2"/>
  <c r="G15" i="1"/>
  <c r="K31" i="2"/>
  <c r="F83" i="2"/>
  <c r="D35" i="10"/>
  <c r="D59" i="10" s="1"/>
  <c r="D61" i="10" s="1"/>
  <c r="J18" i="28"/>
  <c r="I18" i="28"/>
  <c r="E29" i="28"/>
  <c r="D35" i="13"/>
  <c r="H31" i="2"/>
  <c r="D12" i="12"/>
  <c r="D34" i="12" s="1"/>
  <c r="N16" i="23"/>
  <c r="N12" i="23" s="1"/>
  <c r="Z16" i="23"/>
  <c r="Z12" i="23" s="1"/>
  <c r="X22" i="23"/>
  <c r="X20" i="23" s="1"/>
  <c r="F22" i="1"/>
  <c r="L30" i="28"/>
  <c r="L22" i="28"/>
  <c r="L17" i="28"/>
  <c r="K97" i="2"/>
  <c r="K24" i="28"/>
  <c r="E17" i="28"/>
  <c r="D50" i="12"/>
  <c r="D63" i="12" s="1"/>
  <c r="G38" i="23"/>
  <c r="G36" i="23" s="1"/>
  <c r="E31" i="28"/>
  <c r="I28" i="28"/>
  <c r="I27" i="28" s="1"/>
  <c r="F89" i="2"/>
  <c r="D18" i="10"/>
  <c r="G18" i="10" s="1"/>
  <c r="H13" i="6"/>
  <c r="G26" i="11"/>
  <c r="C62" i="11"/>
  <c r="K89" i="2"/>
  <c r="X16" i="23"/>
  <c r="X12" i="23" s="1"/>
  <c r="AD16" i="23"/>
  <c r="AD12" i="23" s="1"/>
  <c r="J22" i="23"/>
  <c r="J20" i="23" s="1"/>
  <c r="P22" i="23"/>
  <c r="P20" i="23" s="1"/>
  <c r="F97" i="2"/>
  <c r="F69" i="2"/>
  <c r="F32" i="26"/>
  <c r="E35" i="28"/>
  <c r="G16" i="23"/>
  <c r="G12" i="23" s="1"/>
  <c r="I69" i="2"/>
  <c r="H89" i="2"/>
  <c r="G18" i="13"/>
  <c r="K37" i="28"/>
  <c r="L41" i="28"/>
  <c r="J40" i="28"/>
  <c r="K20" i="28"/>
  <c r="L19" i="28"/>
  <c r="L15" i="28"/>
  <c r="S22" i="23"/>
  <c r="S20" i="23" s="1"/>
  <c r="Q16" i="23"/>
  <c r="Q12" i="23" s="1"/>
  <c r="O38" i="23"/>
  <c r="O36" i="23" s="1"/>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17" i="10"/>
  <c r="H52" i="13"/>
  <c r="G52" i="13"/>
  <c r="G50" i="13"/>
  <c r="H50" i="12"/>
  <c r="G43" i="6"/>
  <c r="J97" i="2"/>
  <c r="J83" i="2"/>
  <c r="M23" i="2"/>
  <c r="M65" i="2"/>
  <c r="H22" i="1"/>
  <c r="AE22" i="23"/>
  <c r="S16" i="23"/>
  <c r="S12" i="23" s="1"/>
  <c r="H29" i="10"/>
  <c r="H26" i="10"/>
  <c r="H40" i="11"/>
  <c r="H22" i="10"/>
  <c r="H15" i="10"/>
  <c r="H17" i="11"/>
  <c r="Q22" i="23"/>
  <c r="Q20" i="23" s="1"/>
  <c r="H25" i="13"/>
  <c r="G27" i="12"/>
  <c r="H37" i="6"/>
  <c r="G37" i="6"/>
  <c r="G13" i="6"/>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I23" i="28"/>
  <c r="I21" i="28" s="1"/>
  <c r="E24" i="28"/>
  <c r="F24" i="28"/>
  <c r="E30" i="28"/>
  <c r="F30" i="28"/>
  <c r="K16" i="28"/>
  <c r="L16" i="28"/>
  <c r="J28" i="28"/>
  <c r="K31" i="28"/>
  <c r="L31" i="28"/>
  <c r="K35" i="28"/>
  <c r="L35" i="28"/>
  <c r="K39" i="28"/>
  <c r="L39" i="28"/>
  <c r="H18" i="10"/>
  <c r="G28" i="10"/>
  <c r="H28" i="10"/>
  <c r="G36" i="12"/>
  <c r="H36" i="12"/>
  <c r="H26" i="11"/>
  <c r="D89" i="2"/>
  <c r="D31" i="2"/>
  <c r="K34" i="28"/>
  <c r="G22" i="6"/>
  <c r="G46" i="11"/>
  <c r="H46" i="11"/>
  <c r="E32" i="26"/>
  <c r="L69" i="2"/>
  <c r="G69" i="2"/>
  <c r="E76" i="2"/>
  <c r="J76" i="2"/>
  <c r="D97" i="2"/>
  <c r="D44" i="2"/>
  <c r="I89" i="2"/>
  <c r="J14" i="28"/>
  <c r="K15" i="28"/>
  <c r="G97" i="2"/>
  <c r="L44" i="2"/>
  <c r="H13" i="13"/>
  <c r="H18" i="12"/>
  <c r="G20" i="10"/>
  <c r="E89" i="2"/>
  <c r="F16" i="28"/>
  <c r="D30" i="6"/>
  <c r="D50" i="6" s="1"/>
  <c r="D53" i="6" s="1"/>
  <c r="H50" i="10"/>
  <c r="H52" i="10"/>
  <c r="D14" i="28"/>
  <c r="F15" i="28"/>
  <c r="B71" i="11"/>
  <c r="B72" i="12"/>
  <c r="B70" i="16"/>
  <c r="G42" i="10"/>
  <c r="T16" i="23"/>
  <c r="T12" i="23" s="1"/>
  <c r="T38" i="23"/>
  <c r="T36" i="23" s="1"/>
  <c r="D69" i="2"/>
  <c r="C23" i="28"/>
  <c r="C21" i="28" s="1"/>
  <c r="H76" i="2"/>
  <c r="I17" i="6"/>
  <c r="B9" i="21"/>
  <c r="B9" i="2"/>
  <c r="B10" i="28" s="1"/>
  <c r="B61" i="2"/>
  <c r="B9" i="6"/>
  <c r="B9" i="13"/>
  <c r="B9" i="20"/>
  <c r="D55" i="6"/>
  <c r="J31" i="23"/>
  <c r="J27" i="23" s="1"/>
  <c r="H17" i="6"/>
  <c r="G16" i="10"/>
  <c r="AA16" i="23"/>
  <c r="AA12" i="23" s="1"/>
  <c r="AB38" i="23"/>
  <c r="AB36" i="23" s="1"/>
  <c r="C28" i="28"/>
  <c r="I97" i="2"/>
  <c r="I44" i="2"/>
  <c r="H22" i="6"/>
  <c r="G27" i="13"/>
  <c r="O16" i="23"/>
  <c r="O12" i="23" s="1"/>
  <c r="F22" i="23"/>
  <c r="F20" i="23" s="1"/>
  <c r="AC22" i="23"/>
  <c r="AC20" i="23" s="1"/>
  <c r="V31" i="23"/>
  <c r="V27" i="23" s="1"/>
  <c r="F19" i="28"/>
  <c r="H50" i="13"/>
  <c r="G18" i="12"/>
  <c r="L16" i="23"/>
  <c r="L12" i="23" s="1"/>
  <c r="E31" i="23"/>
  <c r="H20" i="10"/>
  <c r="G31" i="10"/>
  <c r="G40" i="11"/>
  <c r="H55" i="11"/>
  <c r="W16" i="23"/>
  <c r="W12" i="23" s="1"/>
  <c r="T22" i="23"/>
  <c r="T20" i="23" s="1"/>
  <c r="Z22" i="23"/>
  <c r="Z20" i="23" s="1"/>
  <c r="N38" i="23"/>
  <c r="N36" i="23" s="1"/>
  <c r="L38" i="23"/>
  <c r="L36" i="23" s="1"/>
  <c r="G19" i="10"/>
  <c r="I53" i="12"/>
  <c r="M83" i="2"/>
  <c r="M31" i="2"/>
  <c r="H31" i="11"/>
  <c r="G30" i="10"/>
  <c r="D27" i="10"/>
  <c r="H43" i="6"/>
  <c r="H53" i="11"/>
  <c r="G53" i="11"/>
  <c r="G17" i="11"/>
  <c r="G15" i="10"/>
  <c r="G83" i="2"/>
  <c r="L31" i="2"/>
  <c r="L83" i="2"/>
  <c r="B8" i="28"/>
  <c r="D12" i="11"/>
  <c r="G14" i="10"/>
  <c r="D30" i="11"/>
  <c r="G65" i="2"/>
  <c r="L65" i="2"/>
  <c r="K16" i="23"/>
  <c r="K12" i="23" s="1"/>
  <c r="H36" i="10"/>
  <c r="G36" i="10"/>
  <c r="E22" i="1"/>
  <c r="H16" i="10"/>
  <c r="M31" i="23"/>
  <c r="M27" i="23" s="1"/>
  <c r="D35" i="12"/>
  <c r="G42" i="12"/>
  <c r="D83" i="2"/>
  <c r="I83" i="2"/>
  <c r="G52" i="10"/>
  <c r="H13" i="11"/>
  <c r="G13" i="11"/>
  <c r="D25" i="13"/>
  <c r="R12" i="23" l="1"/>
  <c r="P26" i="23"/>
  <c r="AE12" i="23"/>
  <c r="G30" i="26"/>
  <c r="AE20" i="23"/>
  <c r="G14" i="26"/>
  <c r="G12" i="26"/>
  <c r="G22" i="1"/>
  <c r="J22" i="1" s="1"/>
  <c r="G16" i="26"/>
  <c r="G21" i="26"/>
  <c r="G26" i="26"/>
  <c r="G17" i="26"/>
  <c r="G15" i="26"/>
  <c r="G27" i="26"/>
  <c r="G20" i="26"/>
  <c r="G22" i="26"/>
  <c r="G18" i="26"/>
  <c r="G28" i="26"/>
  <c r="G13" i="26"/>
  <c r="G31" i="26"/>
  <c r="G25" i="26"/>
  <c r="G19" i="26"/>
  <c r="F35" i="26"/>
  <c r="G29" i="26"/>
  <c r="E35" i="26"/>
  <c r="F18" i="28"/>
  <c r="F95" i="2"/>
  <c r="K95" i="2"/>
  <c r="H55" i="2"/>
  <c r="G12" i="13"/>
  <c r="D62" i="13"/>
  <c r="C13" i="28"/>
  <c r="C26" i="28" s="1"/>
  <c r="G15" i="28" s="1"/>
  <c r="I74" i="2"/>
  <c r="F34" i="28"/>
  <c r="L18" i="28"/>
  <c r="G74" i="2"/>
  <c r="S42" i="23"/>
  <c r="S46" i="23"/>
  <c r="E95" i="2"/>
  <c r="J95" i="2"/>
  <c r="J55" i="2"/>
  <c r="E18" i="28"/>
  <c r="E64" i="2"/>
  <c r="T45" i="23"/>
  <c r="W26" i="23"/>
  <c r="Q27" i="23"/>
  <c r="Q42" i="23" s="1"/>
  <c r="I26" i="23"/>
  <c r="I88" i="23" s="1"/>
  <c r="R31" i="23"/>
  <c r="R27" i="23" s="1"/>
  <c r="N45" i="23"/>
  <c r="G45" i="23"/>
  <c r="L46" i="23"/>
  <c r="H42" i="23"/>
  <c r="H48" i="23" s="1"/>
  <c r="N51" i="2"/>
  <c r="N53" i="2" s="1"/>
  <c r="N56" i="2" s="1"/>
  <c r="F55" i="2"/>
  <c r="D27" i="28"/>
  <c r="D43" i="28" s="1"/>
  <c r="D45"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89" i="23" s="1"/>
  <c r="I13" i="28"/>
  <c r="I26" i="28" s="1"/>
  <c r="H46" i="23"/>
  <c r="K42" i="23"/>
  <c r="K89" i="23" s="1"/>
  <c r="M26" i="23"/>
  <c r="M88" i="23" s="1"/>
  <c r="O42" i="23"/>
  <c r="O48" i="23" s="1"/>
  <c r="AD46" i="23"/>
  <c r="AD26" i="23"/>
  <c r="AE31" i="23"/>
  <c r="I56" i="10"/>
  <c r="I55" i="10"/>
  <c r="I52" i="10"/>
  <c r="W42" i="23"/>
  <c r="W48" i="23" s="1"/>
  <c r="P46" i="23"/>
  <c r="J30" i="2"/>
  <c r="Y26" i="23"/>
  <c r="J54" i="2"/>
  <c r="F54" i="2"/>
  <c r="W46" i="23"/>
  <c r="O46" i="23"/>
  <c r="AA46" i="23"/>
  <c r="G26" i="23"/>
  <c r="G88" i="23" s="1"/>
  <c r="U46" i="23"/>
  <c r="D59" i="13"/>
  <c r="D61" i="13" s="1"/>
  <c r="X42" i="23"/>
  <c r="X48" i="23" s="1"/>
  <c r="Y46" i="23"/>
  <c r="U26" i="23"/>
  <c r="F42" i="23"/>
  <c r="F48" i="23" s="1"/>
  <c r="I47" i="28"/>
  <c r="D51" i="6"/>
  <c r="D56" i="6" s="1"/>
  <c r="L45" i="23"/>
  <c r="D54" i="6"/>
  <c r="AC46" i="23"/>
  <c r="H12" i="11"/>
  <c r="U45" i="23"/>
  <c r="AD45" i="23"/>
  <c r="G30" i="6"/>
  <c r="F46" i="23"/>
  <c r="J26" i="23"/>
  <c r="J88" i="23" s="1"/>
  <c r="AA45" i="23"/>
  <c r="J45" i="23"/>
  <c r="E46" i="23"/>
  <c r="H25" i="12"/>
  <c r="N42" i="23"/>
  <c r="X45" i="23"/>
  <c r="F82" i="2"/>
  <c r="Z45" i="23"/>
  <c r="F74" i="2"/>
  <c r="C27" i="28"/>
  <c r="V26" i="23"/>
  <c r="Z42" i="23"/>
  <c r="Z48" i="23" s="1"/>
  <c r="K82" i="2"/>
  <c r="N46" i="23"/>
  <c r="F28" i="28"/>
  <c r="K74" i="2"/>
  <c r="L64" i="2"/>
  <c r="L54" i="2"/>
  <c r="I42" i="10"/>
  <c r="K30" i="2"/>
  <c r="M95" i="2"/>
  <c r="M55" i="2"/>
  <c r="D82" i="2"/>
  <c r="E34" i="28"/>
  <c r="H54" i="2"/>
  <c r="H74" i="2"/>
  <c r="M74" i="2"/>
  <c r="F30" i="2"/>
  <c r="I54" i="10"/>
  <c r="I44" i="10"/>
  <c r="G50" i="12"/>
  <c r="K18" i="28"/>
  <c r="G50" i="10"/>
  <c r="I38" i="10"/>
  <c r="D59" i="12"/>
  <c r="D61" i="12" s="1"/>
  <c r="Z26" i="23"/>
  <c r="I41" i="10"/>
  <c r="E28" i="28"/>
  <c r="G42" i="23"/>
  <c r="G48" i="23" s="1"/>
  <c r="I43" i="10"/>
  <c r="J46" i="23"/>
  <c r="K46" i="23"/>
  <c r="AC42" i="23"/>
  <c r="L40" i="28"/>
  <c r="J38" i="28"/>
  <c r="J47" i="28" s="1"/>
  <c r="I45" i="23"/>
  <c r="N26" i="23"/>
  <c r="G12" i="1"/>
  <c r="L23" i="28"/>
  <c r="K23" i="28"/>
  <c r="U42" i="23"/>
  <c r="U48" i="23" s="1"/>
  <c r="AC45" i="23"/>
  <c r="F26" i="23"/>
  <c r="F88" i="23" s="1"/>
  <c r="AB42" i="23"/>
  <c r="G46" i="23"/>
  <c r="X46" i="23"/>
  <c r="R36" i="23"/>
  <c r="R46" i="23" s="1"/>
  <c r="X26" i="23"/>
  <c r="Y42" i="23"/>
  <c r="L42" i="23"/>
  <c r="I42" i="23"/>
  <c r="I48" i="23" s="1"/>
  <c r="F45" i="23"/>
  <c r="I51" i="10"/>
  <c r="E54" i="2"/>
  <c r="E51" i="2"/>
  <c r="I64" i="2"/>
  <c r="AB26" i="23"/>
  <c r="AB46" i="23"/>
  <c r="I25" i="13"/>
  <c r="I56" i="12"/>
  <c r="I57" i="10"/>
  <c r="I40" i="10"/>
  <c r="I36" i="10"/>
  <c r="I48" i="10"/>
  <c r="I39" i="10"/>
  <c r="I45" i="10"/>
  <c r="I37" i="10"/>
  <c r="I53" i="10"/>
  <c r="I46" i="10"/>
  <c r="I47" i="10"/>
  <c r="I50" i="10"/>
  <c r="G50" i="6"/>
  <c r="I30" i="6"/>
  <c r="G53" i="6"/>
  <c r="H13" i="1"/>
  <c r="G12" i="6"/>
  <c r="E13" i="1"/>
  <c r="I20" i="6"/>
  <c r="I18" i="6"/>
  <c r="I19" i="6"/>
  <c r="I23" i="6"/>
  <c r="Q46" i="23"/>
  <c r="H64" i="2"/>
  <c r="F38" i="28"/>
  <c r="I95" i="2"/>
  <c r="D47" i="28"/>
  <c r="M54" i="2"/>
  <c r="M64" i="2"/>
  <c r="I54" i="2"/>
  <c r="D64" i="2"/>
  <c r="F40" i="28"/>
  <c r="E40" i="28"/>
  <c r="E38" i="28"/>
  <c r="J82" i="2"/>
  <c r="F21" i="28"/>
  <c r="F23" i="28"/>
  <c r="E23" i="28"/>
  <c r="C47" i="28"/>
  <c r="E30" i="2"/>
  <c r="E55" i="2"/>
  <c r="E74" i="2"/>
  <c r="H30" i="2"/>
  <c r="T42" i="23"/>
  <c r="AE36" i="23"/>
  <c r="T46" i="23"/>
  <c r="I43" i="13"/>
  <c r="I54" i="13"/>
  <c r="I53" i="13"/>
  <c r="I45" i="13"/>
  <c r="I51" i="13"/>
  <c r="I44" i="13"/>
  <c r="I38" i="13"/>
  <c r="I47" i="13"/>
  <c r="I56" i="13"/>
  <c r="I55" i="13"/>
  <c r="I42" i="13"/>
  <c r="I46" i="13"/>
  <c r="I52" i="13"/>
  <c r="I41" i="13"/>
  <c r="I50" i="13"/>
  <c r="I48" i="13"/>
  <c r="I40" i="13"/>
  <c r="I36" i="13"/>
  <c r="I57" i="13"/>
  <c r="I37" i="13"/>
  <c r="I39" i="13"/>
  <c r="F12" i="1"/>
  <c r="I36" i="12"/>
  <c r="AB45" i="23"/>
  <c r="I46" i="23"/>
  <c r="D13" i="10"/>
  <c r="AA26" i="23"/>
  <c r="I35" i="13"/>
  <c r="G35" i="13"/>
  <c r="H59" i="13"/>
  <c r="T26" i="23"/>
  <c r="G12" i="12"/>
  <c r="AC26" i="23"/>
  <c r="H27" i="10"/>
  <c r="D60" i="12"/>
  <c r="D70" i="12" s="1"/>
  <c r="V45" i="23"/>
  <c r="V42" i="23"/>
  <c r="H12" i="13"/>
  <c r="J13" i="28"/>
  <c r="K14" i="28"/>
  <c r="L14" i="28"/>
  <c r="Z46" i="23"/>
  <c r="I48" i="12"/>
  <c r="I25" i="12"/>
  <c r="H26" i="23"/>
  <c r="H88" i="23" s="1"/>
  <c r="H45" i="23"/>
  <c r="H12" i="6"/>
  <c r="I12" i="6"/>
  <c r="G35" i="12"/>
  <c r="I50" i="12"/>
  <c r="E26" i="23"/>
  <c r="E88" i="23" s="1"/>
  <c r="O45" i="23"/>
  <c r="O26" i="23"/>
  <c r="D95" i="2"/>
  <c r="I55" i="2"/>
  <c r="E14" i="28"/>
  <c r="D13" i="28"/>
  <c r="F14" i="28"/>
  <c r="G95" i="2"/>
  <c r="L55" i="2"/>
  <c r="L95" i="2"/>
  <c r="L28" i="28"/>
  <c r="J27" i="28"/>
  <c r="K28" i="28"/>
  <c r="I47" i="12"/>
  <c r="I57" i="12"/>
  <c r="I54" i="12"/>
  <c r="I38" i="12"/>
  <c r="I46" i="12"/>
  <c r="I43" i="12"/>
  <c r="I51" i="12"/>
  <c r="I52" i="12"/>
  <c r="I37" i="12"/>
  <c r="I41" i="12"/>
  <c r="I55" i="12"/>
  <c r="I42" i="12"/>
  <c r="I40" i="12"/>
  <c r="V46" i="23"/>
  <c r="L26" i="23"/>
  <c r="L88" i="23" s="1"/>
  <c r="I39" i="12"/>
  <c r="I44" i="12"/>
  <c r="H35" i="12"/>
  <c r="I35" i="12"/>
  <c r="I16" i="6"/>
  <c r="I26" i="6"/>
  <c r="I24" i="6"/>
  <c r="I15" i="6"/>
  <c r="I27" i="6"/>
  <c r="I25" i="6"/>
  <c r="I13" i="6"/>
  <c r="I14" i="6"/>
  <c r="D51" i="2"/>
  <c r="AA42" i="23"/>
  <c r="I22" i="6"/>
  <c r="D62" i="12"/>
  <c r="W45" i="23"/>
  <c r="I45" i="12"/>
  <c r="P42" i="23"/>
  <c r="AD42" i="23"/>
  <c r="E21" i="28"/>
  <c r="L21" i="28"/>
  <c r="K21" i="28"/>
  <c r="I43" i="28"/>
  <c r="M42" i="23"/>
  <c r="M45" i="23"/>
  <c r="G35" i="10"/>
  <c r="H15" i="1"/>
  <c r="J15" i="1" s="1"/>
  <c r="I35" i="10"/>
  <c r="H35" i="10"/>
  <c r="G27" i="10"/>
  <c r="D25" i="10"/>
  <c r="S45" i="23"/>
  <c r="S26" i="23"/>
  <c r="Q26" i="23"/>
  <c r="G64" i="2"/>
  <c r="G54" i="2"/>
  <c r="G30" i="2"/>
  <c r="H23" i="10"/>
  <c r="G23" i="10"/>
  <c r="D29" i="11"/>
  <c r="D62" i="11" s="1"/>
  <c r="G12" i="11"/>
  <c r="I22" i="1"/>
  <c r="H82" i="2"/>
  <c r="M51" i="2"/>
  <c r="M82" i="2"/>
  <c r="AE27" i="23"/>
  <c r="L51" i="2"/>
  <c r="L82" i="2"/>
  <c r="G82" i="2"/>
  <c r="J42" i="23"/>
  <c r="D63" i="13"/>
  <c r="D60" i="13"/>
  <c r="G25" i="13"/>
  <c r="D34" i="13"/>
  <c r="K26" i="23"/>
  <c r="K45" i="23"/>
  <c r="R26" i="23" l="1"/>
  <c r="P45" i="23"/>
  <c r="AE46" i="23"/>
  <c r="D12" i="10"/>
  <c r="G12" i="10" s="1"/>
  <c r="G13" i="10"/>
  <c r="F23" i="1"/>
  <c r="E15" i="1"/>
  <c r="I13" i="10"/>
  <c r="I12" i="10"/>
  <c r="H89" i="23"/>
  <c r="G23" i="1"/>
  <c r="E23" i="1"/>
  <c r="H53" i="2"/>
  <c r="G25" i="1"/>
  <c r="C46" i="28"/>
  <c r="D22" i="1"/>
  <c r="C22" i="1"/>
  <c r="S48" i="23"/>
  <c r="K48" i="23"/>
  <c r="U43" i="23"/>
  <c r="N52" i="2"/>
  <c r="K53" i="2"/>
  <c r="J53" i="2"/>
  <c r="I53" i="2"/>
  <c r="D50" i="14"/>
  <c r="Y43" i="23"/>
  <c r="W43" i="23"/>
  <c r="W47" i="23" s="1"/>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6" i="28"/>
  <c r="G23" i="28"/>
  <c r="J52" i="2"/>
  <c r="E102" i="2"/>
  <c r="I43" i="23"/>
  <c r="I47" i="23" s="1"/>
  <c r="H29" i="6"/>
  <c r="AD43" i="23"/>
  <c r="AD47" i="23" s="1"/>
  <c r="V43" i="23"/>
  <c r="V47" i="23" s="1"/>
  <c r="G16" i="28"/>
  <c r="E105" i="2"/>
  <c r="E45" i="23"/>
  <c r="X43" i="23"/>
  <c r="G19" i="28"/>
  <c r="I18" i="12"/>
  <c r="R42" i="23"/>
  <c r="P43" i="23"/>
  <c r="P47" i="23" s="1"/>
  <c r="G61" i="12"/>
  <c r="E81" i="2"/>
  <c r="Z43" i="23"/>
  <c r="Z47" i="23" s="1"/>
  <c r="G29" i="6"/>
  <c r="I38" i="6"/>
  <c r="E52" i="2"/>
  <c r="F89" i="23"/>
  <c r="K47" i="28"/>
  <c r="AB48" i="23"/>
  <c r="I44" i="6"/>
  <c r="J43" i="23"/>
  <c r="J86" i="23" s="1"/>
  <c r="I53" i="6"/>
  <c r="I31" i="6"/>
  <c r="I40" i="6"/>
  <c r="C43" i="28"/>
  <c r="G27" i="28" s="1"/>
  <c r="F27" i="28"/>
  <c r="E48" i="23"/>
  <c r="G22" i="28"/>
  <c r="G14" i="28"/>
  <c r="AC48" i="23"/>
  <c r="F43" i="23"/>
  <c r="F47" i="23" s="1"/>
  <c r="E27" i="28"/>
  <c r="G17" i="28"/>
  <c r="H105" i="2"/>
  <c r="N43" i="23"/>
  <c r="N47" i="23" s="1"/>
  <c r="G18" i="28"/>
  <c r="G24" i="28"/>
  <c r="F81" i="2"/>
  <c r="J81" i="2"/>
  <c r="D64" i="12"/>
  <c r="O43" i="23"/>
  <c r="G43" i="23"/>
  <c r="K38" i="28"/>
  <c r="E47" i="28"/>
  <c r="L38" i="28"/>
  <c r="G89" i="23"/>
  <c r="AA43" i="23"/>
  <c r="E12" i="1"/>
  <c r="I12" i="1" s="1"/>
  <c r="E43" i="23"/>
  <c r="E86" i="23" s="1"/>
  <c r="I89" i="23"/>
  <c r="L43" i="23"/>
  <c r="L87" i="23" s="1"/>
  <c r="L89" i="23"/>
  <c r="L48" i="23"/>
  <c r="Y48" i="23"/>
  <c r="Q48" i="23"/>
  <c r="I31" i="13"/>
  <c r="I13" i="13"/>
  <c r="G34" i="13"/>
  <c r="M81" i="2"/>
  <c r="H52" i="2"/>
  <c r="AE42" i="23"/>
  <c r="AB43" i="23"/>
  <c r="AB47" i="23" s="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J43" i="28"/>
  <c r="J45" i="28" s="1"/>
  <c r="K27" i="28"/>
  <c r="L27" i="28"/>
  <c r="D26" i="28"/>
  <c r="F13" i="28"/>
  <c r="E13" i="28"/>
  <c r="D46" i="28"/>
  <c r="G13" i="28"/>
  <c r="AC43" i="23"/>
  <c r="T43" i="23"/>
  <c r="G81" i="2"/>
  <c r="H43" i="23"/>
  <c r="H86" i="23" s="1"/>
  <c r="P48" i="23"/>
  <c r="V48" i="23"/>
  <c r="G59" i="13"/>
  <c r="G61" i="13"/>
  <c r="K13" i="28"/>
  <c r="J46" i="28"/>
  <c r="L13" i="28"/>
  <c r="J26" i="28"/>
  <c r="H23" i="1"/>
  <c r="T48" i="23"/>
  <c r="AA48" i="23"/>
  <c r="D53" i="2"/>
  <c r="D52" i="2"/>
  <c r="H25" i="10"/>
  <c r="I14" i="10"/>
  <c r="I19" i="10"/>
  <c r="I26" i="10"/>
  <c r="I27" i="10"/>
  <c r="I28" i="10"/>
  <c r="I29" i="10"/>
  <c r="I32" i="10"/>
  <c r="I18" i="10"/>
  <c r="I31" i="10"/>
  <c r="I30" i="10"/>
  <c r="I15" i="10"/>
  <c r="I22" i="10"/>
  <c r="I21" i="10"/>
  <c r="I20" i="10"/>
  <c r="I16" i="10"/>
  <c r="I25" i="10"/>
  <c r="I17" i="10"/>
  <c r="M48" i="23"/>
  <c r="M89" i="23"/>
  <c r="M43" i="23"/>
  <c r="K88" i="23"/>
  <c r="K43" i="23"/>
  <c r="L53" i="2"/>
  <c r="L102" i="2"/>
  <c r="G102" i="2"/>
  <c r="L52" i="2"/>
  <c r="G52" i="2"/>
  <c r="H25" i="1"/>
  <c r="M53" i="2"/>
  <c r="M102" i="2"/>
  <c r="H102" i="2"/>
  <c r="D63" i="10"/>
  <c r="G25" i="10"/>
  <c r="I45" i="28"/>
  <c r="I44" i="28"/>
  <c r="M52" i="2"/>
  <c r="S43" i="23"/>
  <c r="J48" i="23"/>
  <c r="J89" i="23"/>
  <c r="I23" i="10"/>
  <c r="Q43" i="23"/>
  <c r="D64" i="13"/>
  <c r="D70" i="13"/>
  <c r="G59" i="10"/>
  <c r="H59" i="10"/>
  <c r="AE26" i="23"/>
  <c r="AE45" i="23"/>
  <c r="D34" i="10" l="1"/>
  <c r="D62" i="10"/>
  <c r="C23" i="1"/>
  <c r="F15" i="1"/>
  <c r="I15" i="1" s="1"/>
  <c r="I23" i="1"/>
  <c r="D23" i="1"/>
  <c r="L47" i="23"/>
  <c r="L86" i="23"/>
  <c r="H56" i="2"/>
  <c r="J25" i="1"/>
  <c r="Y47" i="23"/>
  <c r="J56" i="2"/>
  <c r="I56" i="2"/>
  <c r="K56" i="2"/>
  <c r="E46" i="28"/>
  <c r="I86" i="23"/>
  <c r="U47" i="23"/>
  <c r="K104" i="2"/>
  <c r="AA47" i="23"/>
  <c r="J87" i="23"/>
  <c r="R43" i="23"/>
  <c r="R47" i="23" s="1"/>
  <c r="F104" i="2"/>
  <c r="I25" i="1"/>
  <c r="E104" i="2"/>
  <c r="J104" i="2"/>
  <c r="F56" i="2"/>
  <c r="G56" i="2"/>
  <c r="E56" i="2"/>
  <c r="O47" i="23"/>
  <c r="X47" i="23"/>
  <c r="R45" i="23"/>
  <c r="R48" i="23"/>
  <c r="K46" i="28"/>
  <c r="D12" i="1"/>
  <c r="G28" i="28"/>
  <c r="D56" i="2"/>
  <c r="D103" i="2"/>
  <c r="E103" i="2"/>
  <c r="C25" i="1"/>
  <c r="F103" i="2"/>
  <c r="F86" i="23"/>
  <c r="I87" i="23"/>
  <c r="G36" i="28"/>
  <c r="C45" i="28"/>
  <c r="F45" i="28" s="1"/>
  <c r="F43" i="28"/>
  <c r="C44" i="28"/>
  <c r="G29" i="28"/>
  <c r="G35" i="28"/>
  <c r="G33" i="28"/>
  <c r="D13" i="1"/>
  <c r="H53" i="6"/>
  <c r="G38" i="28"/>
  <c r="G31" i="28"/>
  <c r="G40" i="28"/>
  <c r="G30" i="28"/>
  <c r="G34" i="28"/>
  <c r="G39" i="28"/>
  <c r="F87" i="23"/>
  <c r="J47" i="23"/>
  <c r="G32" i="28"/>
  <c r="E43" i="28"/>
  <c r="G41" i="28"/>
  <c r="E47" i="23"/>
  <c r="E87" i="23"/>
  <c r="G87" i="23"/>
  <c r="G86" i="23"/>
  <c r="G47" i="23"/>
  <c r="H47" i="23"/>
  <c r="H87" i="23"/>
  <c r="AE48" i="23"/>
  <c r="H61" i="13"/>
  <c r="L43" i="28"/>
  <c r="J23" i="1"/>
  <c r="C13" i="1"/>
  <c r="D104" i="2"/>
  <c r="I104" i="2"/>
  <c r="G103" i="2"/>
  <c r="K43" i="28"/>
  <c r="AC47" i="23"/>
  <c r="D44" i="28"/>
  <c r="D48" i="28"/>
  <c r="F26" i="28"/>
  <c r="E26" i="28"/>
  <c r="L26" i="28"/>
  <c r="J48" i="28"/>
  <c r="K26" i="28"/>
  <c r="J44" i="28"/>
  <c r="K44" i="28" s="1"/>
  <c r="T47" i="23"/>
  <c r="AE43" i="23"/>
  <c r="G104" i="2"/>
  <c r="L104" i="2"/>
  <c r="L56" i="2"/>
  <c r="K87" i="23"/>
  <c r="K86" i="23"/>
  <c r="K47" i="23"/>
  <c r="S47" i="23"/>
  <c r="H104" i="2"/>
  <c r="M104" i="2"/>
  <c r="M56" i="2"/>
  <c r="G61" i="10"/>
  <c r="H61" i="10"/>
  <c r="H34" i="10"/>
  <c r="D25" i="1"/>
  <c r="H103" i="2"/>
  <c r="Q47" i="23"/>
  <c r="I48" i="28"/>
  <c r="K45" i="28"/>
  <c r="M47" i="23"/>
  <c r="M86" i="23"/>
  <c r="M87" i="23"/>
  <c r="D60" i="10" l="1"/>
  <c r="D64" i="10" s="1"/>
  <c r="G34" i="10"/>
  <c r="F107" i="2"/>
  <c r="E107" i="2"/>
  <c r="D15" i="1"/>
  <c r="D107" i="2"/>
  <c r="C48" i="28"/>
  <c r="E48" i="28" s="1"/>
  <c r="E45" i="28"/>
  <c r="G45" i="28"/>
  <c r="G107" i="2"/>
  <c r="H107" i="2"/>
  <c r="E44" i="28"/>
  <c r="K48" i="28"/>
  <c r="AE47" i="23"/>
  <c r="E36" i="11"/>
  <c r="E30" i="11"/>
  <c r="E29" i="11" s="1"/>
  <c r="E62" i="11" s="1"/>
  <c r="F30" i="11"/>
  <c r="H30" i="11" s="1"/>
  <c r="G37" i="11"/>
  <c r="H37" i="11"/>
  <c r="F36" i="11"/>
  <c r="I36" i="11" l="1"/>
  <c r="I57" i="11"/>
  <c r="I19" i="11"/>
  <c r="I51" i="11"/>
  <c r="I37" i="11"/>
  <c r="I18" i="11"/>
  <c r="I17" i="11"/>
  <c r="I13" i="11"/>
  <c r="I16" i="11"/>
  <c r="I56" i="11"/>
  <c r="I34" i="11"/>
  <c r="I22" i="11"/>
  <c r="I14" i="11"/>
  <c r="I38" i="11"/>
  <c r="I31" i="11"/>
  <c r="I23" i="11"/>
  <c r="I40" i="11"/>
  <c r="I55" i="11"/>
  <c r="I46" i="11"/>
  <c r="I50" i="11"/>
  <c r="I45" i="11"/>
  <c r="I47" i="11"/>
  <c r="I28" i="11"/>
  <c r="I60" i="11"/>
  <c r="I33" i="11"/>
  <c r="I32" i="11"/>
  <c r="I39" i="11"/>
  <c r="I54" i="11"/>
  <c r="I12" i="11"/>
  <c r="I41" i="11"/>
  <c r="I59" i="11"/>
  <c r="I48" i="11"/>
  <c r="I21" i="11"/>
  <c r="I42" i="11"/>
  <c r="I15" i="11"/>
  <c r="I25" i="11"/>
  <c r="I49" i="11"/>
  <c r="I20" i="11"/>
  <c r="I43" i="11"/>
  <c r="I35" i="11"/>
  <c r="I26" i="11"/>
  <c r="I53" i="11"/>
  <c r="I44" i="11"/>
  <c r="I58" i="11"/>
  <c r="I27" i="11"/>
  <c r="I24" i="11"/>
  <c r="F29" i="11"/>
  <c r="H36" i="11"/>
  <c r="G30" i="11"/>
  <c r="I30" i="11"/>
  <c r="G36" i="11"/>
  <c r="G29" i="11" l="1"/>
  <c r="F62" i="11"/>
  <c r="H29" i="11"/>
  <c r="I29" i="11"/>
  <c r="H62" i="11" l="1"/>
  <c r="G62" i="11"/>
</calcChain>
</file>

<file path=xl/sharedStrings.xml><?xml version="1.0" encoding="utf-8"?>
<sst xmlns="http://schemas.openxmlformats.org/spreadsheetml/2006/main" count="708" uniqueCount="595">
  <si>
    <t>Infraestruturas de Portugal, S.A.</t>
  </si>
  <si>
    <t>Metro do Porto, S.A.</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</si>
  <si>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</si>
  <si>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</si>
  <si>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</si>
  <si>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</si>
  <si>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</si>
  <si>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</si>
  <si>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</si>
  <si>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</si>
  <si>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</si>
  <si>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</si>
  <si>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</si>
  <si>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</si>
  <si>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</si>
  <si>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</si>
  <si>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</si>
  <si>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</si>
  <si>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</si>
  <si>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</si>
  <si>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</si>
  <si>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</si>
  <si>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</si>
  <si>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</si>
  <si>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</si>
  <si>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</si>
  <si>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</si>
  <si>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</si>
  <si>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</si>
  <si>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</si>
  <si>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</si>
  <si>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</si>
  <si>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</si>
  <si>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</si>
  <si>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</si>
  <si>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</si>
  <si>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</si>
  <si>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</si>
  <si>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</si>
  <si>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</si>
  <si>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</si>
  <si>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</si>
  <si>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</si>
  <si>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</si>
  <si>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</si>
  <si>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</si>
  <si>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</si>
  <si>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</si>
  <si>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</si>
  <si>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</si>
  <si>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</si>
  <si>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</si>
  <si>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</si>
  <si>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TOTAL</t>
  </si>
  <si>
    <t>Assembleia da República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</si>
  <si>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</si>
  <si>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</si>
  <si>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</si>
  <si>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</si>
  <si>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</si>
  <si>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</si>
  <si>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</si>
  <si>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</si>
  <si>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Mecanismo Nacional Anticorrupção</t>
  </si>
  <si>
    <t>Presidência da República</t>
  </si>
  <si>
    <t>Serviço do Provedor de Justiça</t>
  </si>
  <si>
    <t>Supremo Tribunal Administrativo</t>
  </si>
  <si>
    <t>Supremo Tribunal de Justiça</t>
  </si>
  <si>
    <t>Tribunal Constitucional</t>
  </si>
  <si>
    <t>Agência Nacional Erasmus + Juventude/Desporto e Corpo Europeu de Solidariedade</t>
  </si>
  <si>
    <t>Agência para o Desenvolvimento e Coesão</t>
  </si>
  <si>
    <t>Autoridade Antidopagem de Portugal</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</si>
  <si>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</si>
  <si>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</si>
  <si>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</si>
  <si>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</si>
  <si>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</si>
  <si>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</si>
  <si>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</si>
  <si>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</si>
  <si>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</si>
  <si>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</si>
  <si>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</si>
  <si>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</si>
  <si>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</si>
  <si>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</si>
  <si>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</si>
  <si>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</si>
  <si>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</si>
  <si>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</si>
  <si>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</si>
  <si>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</si>
  <si>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</si>
  <si>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</si>
  <si>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</si>
  <si>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</si>
  <si>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</si>
  <si>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</si>
  <si>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</si>
  <si>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</si>
  <si>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</si>
  <si>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Força Aérea</t>
  </si>
  <si>
    <t>Gabinete de Membros do Governo do Ministério da Defesa</t>
  </si>
  <si>
    <t>Instituto de Ação Social das Forças Armadas</t>
  </si>
  <si>
    <t>Instituto da Defesa Nacional</t>
  </si>
  <si>
    <t>Instituto Hidrográfico</t>
  </si>
  <si>
    <t>Laboratório Nacional do Medicamento</t>
  </si>
  <si>
    <t>Marinha</t>
  </si>
  <si>
    <t>Polícia Judiciária Militar</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</si>
  <si>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</si>
  <si>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</si>
  <si>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</si>
  <si>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</si>
  <si>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</si>
  <si>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</si>
  <si>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</si>
  <si>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</si>
  <si>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</si>
  <si>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</si>
  <si>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</si>
  <si>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</si>
  <si>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</si>
  <si>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</si>
  <si>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</si>
  <si>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</si>
  <si>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</si>
  <si>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</si>
  <si>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</si>
  <si>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</si>
  <si>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</si>
  <si>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</si>
  <si>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</si>
  <si>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</si>
  <si>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</si>
  <si>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</si>
  <si>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</si>
  <si>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</si>
  <si>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</si>
  <si>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Autoridade de Supervisão de Seguros e Fundos de Pensões</t>
  </si>
  <si>
    <t>Autoridade Tributária e Aduaneira</t>
  </si>
  <si>
    <t>BANIF Imobiliária, S.A.</t>
  </si>
  <si>
    <t>BANIF, S.A.</t>
  </si>
  <si>
    <t>Comissão de Normalização Contabilística</t>
  </si>
  <si>
    <t>Comissão do Mercado de Valores Mobiliários</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</si>
  <si>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</si>
  <si>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</si>
  <si>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</si>
  <si>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</si>
  <si>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</si>
  <si>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</si>
  <si>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</si>
  <si>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</si>
  <si>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</si>
  <si>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Parvalorem, S.A.</t>
  </si>
  <si>
    <t>Secretaria-Geral do Ministério das Finanças</t>
  </si>
  <si>
    <t>Sistema de Indemnização aos Investidores</t>
  </si>
  <si>
    <t>Fundo de Regularização da Dívida Pública</t>
  </si>
  <si>
    <t>Agência Nacional de Inovação, S.A.</t>
  </si>
  <si>
    <t>Direção-Geral de Política do Mar</t>
  </si>
  <si>
    <t>Entidade Regional de Turismo da Região de Lisboa</t>
  </si>
  <si>
    <t>Estrutura de Missão para a Extensão da Plataforma Continental</t>
  </si>
  <si>
    <t>Fundo Azul</t>
  </si>
  <si>
    <t>Fundo de Apoio ao Turismo e ao Cinema</t>
  </si>
  <si>
    <t>Fundo de Capital e Quase Capital</t>
  </si>
  <si>
    <t>Fundo de Capitalização e Resiliência</t>
  </si>
  <si>
    <t>Fundo de Coinvestimento 200M</t>
  </si>
  <si>
    <t>Fundo de Contragarantia Mútuo</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</si>
  <si>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</si>
  <si>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</si>
  <si>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</si>
  <si>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</si>
  <si>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</si>
  <si>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</si>
  <si>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Instituto do Turismo de Portugal, I.P.</t>
  </si>
  <si>
    <t>Instituto Português da Qualidade, I.P.</t>
  </si>
  <si>
    <t>Instituto Português de Acreditação I.P.</t>
  </si>
  <si>
    <t>Região de Turismo do Algarve</t>
  </si>
  <si>
    <t>Turismo Centro de Portugal</t>
  </si>
  <si>
    <t>Turismo do Alentejo, E.R.T.</t>
  </si>
  <si>
    <t>Fundação Centro Cultural de Belém</t>
  </si>
  <si>
    <t>Fundo de Fomento Cultural</t>
  </si>
  <si>
    <t>Fundo de Salvaguarda do Património Cultural</t>
  </si>
  <si>
    <t>Gestão Administrativa e Financeira do Ministério da Cultura</t>
  </si>
  <si>
    <t>Instituto do Cinema e do Audiovisual, I.P.</t>
  </si>
  <si>
    <t>Rádio e Televisão de Portugal, S.A.</t>
  </si>
  <si>
    <t>Teatro Nacional D. Maria II, E.P.E.</t>
  </si>
  <si>
    <t>Academia das Ciências de Lisboa</t>
  </si>
  <si>
    <t>Agência Nacional para a Gestão do Programa Erasmus + Educação e Formação</t>
  </si>
  <si>
    <t>Centro Científico e Cultural de Macau, I.P.</t>
  </si>
  <si>
    <t>Direção-Geral do Ensino Superior</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</si>
  <si>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</si>
  <si>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</si>
  <si>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</si>
  <si>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</si>
  <si>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</si>
  <si>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</si>
  <si>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</si>
  <si>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</si>
  <si>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</si>
  <si>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</si>
  <si>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</si>
  <si>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</si>
  <si>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</si>
  <si>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</si>
  <si>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</si>
  <si>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</si>
  <si>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</si>
  <si>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</si>
  <si>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Porto</t>
  </si>
  <si>
    <t>Instituto Superior de Engenharia de Lisboa</t>
  </si>
  <si>
    <t>Instituto Superior de Engenharia do Porto</t>
  </si>
  <si>
    <t>Universidade Aberta</t>
  </si>
  <si>
    <t>Universidade da Beira Interior</t>
  </si>
  <si>
    <t>Universidade da Madeira</t>
  </si>
  <si>
    <t>Universidade de Coimbra</t>
  </si>
  <si>
    <t>Universidade de Évora</t>
  </si>
  <si>
    <t>Universidade de Trás-os-Montes e Alto Douro</t>
  </si>
  <si>
    <t>Universidade do Algarve</t>
  </si>
  <si>
    <t>Universidade dos Açores</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</si>
  <si>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</si>
  <si>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</si>
  <si>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</si>
  <si>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</si>
  <si>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</si>
  <si>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</si>
  <si>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</si>
  <si>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Moçambique</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</si>
  <si>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</si>
  <si>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</si>
  <si>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</si>
  <si>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</si>
  <si>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</si>
  <si>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</si>
  <si>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</si>
  <si>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</si>
  <si>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</si>
  <si>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</si>
  <si>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</si>
  <si>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</si>
  <si>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</si>
  <si>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</si>
  <si>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</si>
  <si>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</si>
  <si>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</si>
  <si>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</si>
  <si>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</si>
  <si>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</si>
  <si>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</si>
  <si>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</si>
  <si>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</si>
  <si>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</si>
  <si>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</si>
  <si>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</si>
  <si>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</si>
  <si>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</si>
  <si>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</si>
  <si>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</si>
  <si>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</si>
  <si>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</si>
  <si>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</si>
  <si>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</si>
  <si>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</si>
  <si>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</si>
  <si>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</si>
  <si>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</si>
  <si>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</si>
  <si>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</si>
  <si>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</si>
  <si>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</si>
  <si>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</si>
  <si>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Administração Central do Sistema de Saúde, I.P.</t>
  </si>
  <si>
    <t>Direção Executiva do Serviço Nacional de Saúde</t>
  </si>
  <si>
    <t>Direção-Geral da Saúde</t>
  </si>
  <si>
    <t>Entidade Reguladora da Saúde</t>
  </si>
  <si>
    <t>Inspeção-Geral das Atividades em Saúde</t>
  </si>
  <si>
    <t>Instituto Nacional de Emergência Médica, I.P.</t>
  </si>
  <si>
    <t>Instituto Nacional de Saúde Dr. Ricardo Jorge, I.P.</t>
  </si>
  <si>
    <t>Instituto Português do Sangue e da Transplantação</t>
  </si>
  <si>
    <t>Secretaria-Geral do Ministério da Saúde</t>
  </si>
  <si>
    <t>Serviços Partilhados do Ministério da Saúde, E.P.E.</t>
  </si>
  <si>
    <t>Unidade Local de Saúde de Matosinhos, E.P.E.</t>
  </si>
  <si>
    <t>Agência para a Energia</t>
  </si>
  <si>
    <t>Agência Portuguesa do Ambiente, I.P.</t>
  </si>
  <si>
    <t>Conselho Nacional da Água</t>
  </si>
  <si>
    <t>Conselho Nacional do Ambiente e Desenvolvimento Sustentável</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</si>
  <si>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</si>
  <si>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</si>
  <si>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</si>
  <si>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</si>
  <si>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</si>
  <si>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</si>
  <si>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</si>
  <si>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Metropolitano de Lisboa, E.P.E.</t>
  </si>
  <si>
    <t>Polis Litoral Norte, S.A.</t>
  </si>
  <si>
    <t>Autoridade da Mobilidade e dos Transportes</t>
  </si>
  <si>
    <t>Autoridade Nacional da Aviação Civil</t>
  </si>
  <si>
    <t>Comissão Nacional de Congressos da Estrada</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</si>
  <si>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</si>
  <si>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</si>
  <si>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</si>
  <si>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</si>
  <si>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</si>
  <si>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Direção-Geral da Agricultura e Desenvolvimento Rural</t>
  </si>
  <si>
    <t>Direção-Geral de Alimentação e Veterinária</t>
  </si>
  <si>
    <t>Direção-Geral de Recursos Naturais, Segurança e Serviços Marítimos</t>
  </si>
  <si>
    <t>Fundo de Compensação Salarial dos Profissionais da Pesca</t>
  </si>
  <si>
    <t>Fundo Sanitário e de Segurança Alimentar Mais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</si>
  <si>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</si>
  <si>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</si>
  <si>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</si>
  <si>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</si>
  <si>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</si>
  <si>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</si>
  <si>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</si>
  <si>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</si>
  <si>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</si>
  <si>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</si>
  <si>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</si>
  <si>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</si>
  <si>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</si>
  <si>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</si>
  <si>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</si>
  <si>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</si>
  <si>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</si>
  <si>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</si>
  <si>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</si>
  <si>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</si>
  <si>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</si>
  <si>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Agência para a Integração, Migrações e Asilo, I.P.</t>
  </si>
  <si>
    <t>Construção Pública, E.P.E.</t>
  </si>
  <si>
    <t>Fundo Nacional de Reabilitação do Edificado</t>
  </si>
  <si>
    <t>Conselho Superior dos Tribunais Administrativos e Fiscais</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</si>
  <si>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</si>
  <si>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</si>
  <si>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</si>
  <si>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</si>
  <si>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</si>
  <si>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</si>
  <si>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</si>
  <si>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</si>
  <si>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</si>
  <si>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</si>
  <si>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</si>
  <si>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</si>
  <si>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</si>
  <si>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</si>
  <si>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</si>
  <si>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</si>
  <si>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</si>
  <si>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</si>
  <si>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</si>
  <si>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</si>
  <si>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</si>
  <si>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</si>
  <si>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</si>
  <si>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</si>
  <si>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</si>
  <si>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</si>
  <si>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</si>
  <si>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</si>
  <si>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</si>
  <si>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</si>
  <si>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</si>
  <si>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</si>
  <si>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</si>
  <si>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</si>
  <si>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Autoridade de Gestão do MAR 2030</t>
  </si>
  <si>
    <t>Conselho para a Ação Climática</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</si>
  <si>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</si>
  <si>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</si>
  <si>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</si>
  <si>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</si>
  <si>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</si>
  <si>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</si>
  <si>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</si>
  <si>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</si>
  <si>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</si>
  <si>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</si>
  <si>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</si>
  <si>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</si>
  <si>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</si>
  <si>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</si>
  <si>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</si>
  <si>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</si>
  <si>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</si>
  <si>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</si>
  <si>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</si>
  <si>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</si>
  <si>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PO01 — Órgãos de Soberania</t>
  </si>
  <si>
    <t>Procuradoria-Geral da República</t>
  </si>
  <si>
    <t>Direção-Geral de Política de Defesa Nacional</t>
  </si>
  <si>
    <t>Unidade Local de Saúde do Tâmega e Sousa, E.P.E.</t>
  </si>
  <si>
    <t>Agência para a Gestão Integrada de Fogos Rurais, I.P.</t>
  </si>
  <si>
    <t>Estrutura de Missão Recuperar Portugal</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</si>
  <si>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</si>
  <si>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</si>
  <si>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Total</t>
  </si>
  <si>
    <t>C21. REPOWEREU</t>
  </si>
  <si>
    <t>[1]</t>
  </si>
  <si>
    <t>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t>
  </si>
  <si>
    <t>Comissão para a Igualdade e Contra a Discriminação Racial</t>
  </si>
  <si>
    <t>Estrutura de Missão Jornadas Mundiais Juventude</t>
  </si>
  <si>
    <t>Direção Geral da Administração e do Emprego Público</t>
  </si>
  <si>
    <t>Secretaria-Geral do Ministério da Defesa Nacional</t>
  </si>
  <si>
    <t>Instituto para os Comportamentos Aditivos e as Dependências, I.P.</t>
  </si>
  <si>
    <t>Gabinetes dos Membros do Governo do Ministério das Infraestruturas e Habitação</t>
  </si>
  <si>
    <t>Autoridade da Concorrência, I.P.</t>
  </si>
  <si>
    <t>Gabinete de Investigação de Acidentes Marítimos</t>
  </si>
  <si>
    <t>Turismo do Porto e Norte de Portugal, E.R.T.</t>
  </si>
  <si>
    <t>Estrutura de Missão para o Licenciamento de Projetos de Energia Renováveis 2030</t>
  </si>
  <si>
    <t>Comissão para a Cidadania e a Igualdade de Género</t>
  </si>
  <si>
    <t>Fundo para a Aquisição de Bens Culturais</t>
  </si>
  <si>
    <t>The Budget Execution Summary provides information on public accounting, which follows a cash-basis approach. This means that expenditures and revenues are linked to actual payments and receipts. In contrast, national accounts record expenditures and revenues on an accrual-basis, indicating that accounting occurs regardless of when payments are made.</t>
  </si>
  <si>
    <t>Fundo de Dívidas e Garantias</t>
  </si>
  <si>
    <t>Contributo VHA (pp)</t>
  </si>
  <si>
    <t>Absoluta</t>
  </si>
  <si>
    <t>Autoridade Nacional de Comunicações</t>
  </si>
  <si>
    <t>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</si>
  <si>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Source: Compiled by EO on data collected by BE, ACSS, DGAL, DGTF,  Azores Autonomous Region Budget and Treasury Regional Directorate and Madeira Autonomous Region Budget and Treasury Regional Directorate.</t>
  </si>
  <si>
    <t>Cofre Privativo do Tribunal de Contas – Açores</t>
  </si>
  <si>
    <t>Cofre Privativo do Tribunal de Contas – Sede</t>
  </si>
  <si>
    <t>Cofre Privativo Tribunal Contas – Madeira</t>
  </si>
  <si>
    <t>Gabinete do Representante da República – Região Autónoma da Madeira</t>
  </si>
  <si>
    <t>Gabinete do Representante da República – Região Autónoma dos Açores</t>
  </si>
  <si>
    <t>Tribunal de Contas – Secção Regional da Madeira</t>
  </si>
  <si>
    <t>Tribunal de Contas – Secção Regional dos Açores</t>
  </si>
  <si>
    <t>Tribunal de Contas – Sede</t>
  </si>
  <si>
    <t>Comissão de Recrutamento e Seleção para a Administração Pública – CRESAP</t>
  </si>
  <si>
    <t>Ação Governativa – Ministério dos Negócios Estrageiros</t>
  </si>
  <si>
    <t>Camões – Instituto da Cooperação e da Língua, I.P.</t>
  </si>
  <si>
    <t>Ação Governativa do Ministério das Finanças</t>
  </si>
  <si>
    <t>Agência de Gestão da Tesouraria e da Dívida Pública – IGCP, E.P.E.</t>
  </si>
  <si>
    <t>CONSEST – Promoção Imobiliária, S.A.</t>
  </si>
  <si>
    <t>ESTAMO – Participações Imobiliárias, S.A.</t>
  </si>
  <si>
    <t>FRME – Fundo para a Revitalização e Modernização do Tecido Empresarial, SGPS, S.A.</t>
  </si>
  <si>
    <t>Parpública – Participações Públicas, SGPS, S.A.</t>
  </si>
  <si>
    <t>SAGESECUR – Estudos, Desenvolvimento e Participações em Projetos de Investimento Valores Mobiliários, S.A.</t>
  </si>
  <si>
    <t>EXTRA – Explosivos da Trafaria, S.A.</t>
  </si>
  <si>
    <t>IDD – Portugal Defence, S.A.</t>
  </si>
  <si>
    <t>Inspeção-Geral de Defesa Nacional</t>
  </si>
  <si>
    <t>Fundo para a Modernização da Justiça</t>
  </si>
  <si>
    <t>Tribunal Central Administrativo – Centro</t>
  </si>
  <si>
    <t>Tribunal Central Administrativo – Norte</t>
  </si>
  <si>
    <t>Tribunal Central Administrativo – Sul</t>
  </si>
  <si>
    <t>Ação Governativa – Ministério da Administração Interna</t>
  </si>
  <si>
    <t>SIRESP – Gestão de Redes Digitais de Segurança e Emergência, S.A.</t>
  </si>
  <si>
    <t>Escola Portuguesa de Cabo Verde – CELP</t>
  </si>
  <si>
    <t>Escola Portuguesa de Díli – CELP – Ruy Cinatti</t>
  </si>
  <si>
    <t>Escola Portuguesa de Luanda – Centro de Ensino e Língua Portuguesa</t>
  </si>
  <si>
    <t>Escola Portuguesa de S. Tomé e Príncipe – CELP</t>
  </si>
  <si>
    <t>Ação Governativa – Ministério da Educação, Ciência e Inovação (MECI)</t>
  </si>
  <si>
    <t>Agência Espacial Portuguesa – Portugal SPACE</t>
  </si>
  <si>
    <t>AUP – Associação das Universidades Portuguesas</t>
  </si>
  <si>
    <t>IMAR – Instituto do Mar</t>
  </si>
  <si>
    <t>Instituto Politécnico do Cávado e do Ave – Fundação Pública</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</si>
  <si>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</si>
  <si>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</si>
  <si>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</si>
  <si>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</si>
  <si>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</si>
  <si>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</si>
  <si>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</si>
  <si>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</si>
  <si>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</si>
  <si>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</si>
  <si>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</si>
  <si>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</si>
  <si>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</si>
  <si>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</si>
  <si>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</si>
  <si>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</si>
  <si>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</si>
  <si>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</si>
  <si>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</si>
  <si>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</si>
  <si>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</si>
  <si>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</si>
  <si>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</si>
  <si>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</si>
  <si>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</si>
  <si>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</si>
  <si>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</si>
  <si>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</si>
  <si>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</si>
  <si>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</si>
  <si>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</si>
  <si>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</si>
  <si>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</si>
  <si>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</si>
  <si>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</si>
  <si>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</si>
  <si>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</si>
  <si>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</si>
  <si>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</si>
  <si>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</si>
  <si>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</si>
  <si>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</si>
  <si>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</si>
  <si>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de Aveiro – Fundação Pública</t>
  </si>
  <si>
    <t>Universidade de Lisboa – Reitoria</t>
  </si>
  <si>
    <t>Universidade do Minho – Fundação Pública</t>
  </si>
  <si>
    <t>Universidade do Porto – Fundação Pública</t>
  </si>
  <si>
    <t>Universidade Nova de Lisboa – Fundação Pública</t>
  </si>
  <si>
    <t>Ação Governativa – Ministério da Saúde</t>
  </si>
  <si>
    <t>EAS – Empresa Ambiente na Saúde, Tratamento de Resíduos Hospitalares Unipessoal, Lda.</t>
  </si>
  <si>
    <t>INFARMED – Autoridade Nacional do Medicamento e Produtos de Saúde, I.P.</t>
  </si>
  <si>
    <t>Instituto Português de Oncologia – Coimbra, E.P.E.</t>
  </si>
  <si>
    <t>Instituto Português de Oncologia – Lisboa, E.P.E.</t>
  </si>
  <si>
    <t>Instituto Português de Oncologia – Porto, E.P.E.</t>
  </si>
  <si>
    <t>SUCH – Serviço de Utilização Comum dos Hospitais</t>
  </si>
  <si>
    <t>Unidade Local de Saúde da Região de Aveiro, E.P.E.</t>
  </si>
  <si>
    <t>Unidade Local de Saúde da Região de Leiria, E.P.E.</t>
  </si>
  <si>
    <t>CP – Comboios de Portugal, E.P.E.</t>
  </si>
  <si>
    <t>IHRU – Instituto da Habitação e da Reabilitação Urbana, I.P.</t>
  </si>
  <si>
    <t>Instituto dos Mercados Públicos, do Imobiliário e da Construção, I.P.</t>
  </si>
  <si>
    <t>Metro – Mondego, S.A.</t>
  </si>
  <si>
    <t>Transtejo – Transportes Tejo, S.A.</t>
  </si>
  <si>
    <t>TREM – Aluguer de Material Circulante, A.C.E.</t>
  </si>
  <si>
    <t>TREM II – Aluguer de Material Circulante, A.C.E.</t>
  </si>
  <si>
    <t>Ação Governativa – Ministério da Economia</t>
  </si>
  <si>
    <t>AICEP – Agência para o Investimento e Comércio Externo de Portugal, E.P.E.</t>
  </si>
  <si>
    <t>ENATUR – Empresa Nacional de Turismo, S.A.</t>
  </si>
  <si>
    <t>Fundo de Apoio ao Financiamento à Inovação – FINOVA</t>
  </si>
  <si>
    <t>IAPMEI – Agência para a Competitividade e Inovação, I.P.</t>
  </si>
  <si>
    <t>Ação Governativa – Ministério do Trabalho, Solidariedade e Segurança Social</t>
  </si>
  <si>
    <t>Ação Governativa – Ministério do Ambiente e Energia</t>
  </si>
  <si>
    <t>AVEIROPOLIS – Sociedade para o Desenvolvimento do Programa Polis em Aveiro, S.A.</t>
  </si>
  <si>
    <t>Costa Polis – Sociedade para o Desenvolvimento do Programa Polis na Costa da Caparica, S.A.</t>
  </si>
  <si>
    <t>Autoridade para a Prevenção e Combate à Violência no Desporto</t>
  </si>
  <si>
    <t>Gabinetes dos Membros do Governo do Ministério da Juventude e Desporto</t>
  </si>
  <si>
    <t>Ação Governativa – Ministério da Agricultura e Pescas</t>
  </si>
  <si>
    <t>EDIA – Empresa de Desenvolvimento e Infraestruturas do Alqueva, S.A.</t>
  </si>
  <si>
    <t>Estrutura de Missão para a Gestão do Plano Estratégico da Política Agrícola Comum de Portugal no Continente</t>
  </si>
  <si>
    <t>Gabinete de Planeamento e Políticas</t>
  </si>
  <si>
    <t>Cinemateca Portuguesa – Museu do Cinema, I.P.</t>
  </si>
  <si>
    <t>Côa Parque – Fundação para a Salvaguarda e Valorização do Vale do Côa</t>
  </si>
  <si>
    <t>OPART – Organismo de Produção Artística, E.P.E.</t>
  </si>
  <si>
    <t>Direção-Geral das Autarquias Locais</t>
  </si>
  <si>
    <t>Gabinetes dos Membros do Governo – Coesão Territorial</t>
  </si>
  <si>
    <t xml:space="preserve">Pagamento do princípio de onerosidade dos imóveis afetos às atividades operacionais, pela Direção-Geral de Recursos da Defesa Nacional, relativo a anos anteriores e anos futuros: </t>
  </si>
  <si>
    <t>Directorate General for National Defence Resources - Payments made, as a financial compensation for the use of public buildings, but which refers to past or future years.</t>
  </si>
  <si>
    <t>2026</t>
  </si>
  <si>
    <t>Para as entidades identificadas considera-se na execução orçamental uma estimativa de execução para os meses em falta, a qual corresponde a um duodécimo do orçamento aprovado abatido dos cativos previstos na lei do OE2026 (Lei n.º 73-A/2025​, de 30 de dezembro).</t>
  </si>
  <si>
    <t>For the entities above identified it is being used an estimate for the months without report, which corresponds to one twelfth of the approved budget excluding frozen allocations stated in the State Buget Law for 2026 (Law nr. 73-A/2025 of December 30th).</t>
  </si>
  <si>
    <t>Banif, S.A.; Biblioteca Lúcio Craveiro da Silva; Fundação para o Desenvolvimento das Ciências Económicas, Financeiras e Empresariais; Instituto Nacional de Engenharia Biomédica; Z.E.A. - Sociedade Agrícola, Unipessoal, Lda.</t>
  </si>
  <si>
    <t>Mecanismo Nacional para a Monitorização da Implementação da Convenção sobre os Direitos das Pessoas com. Deficiência</t>
  </si>
  <si>
    <t xml:space="preserve">Entidade Orçamental </t>
  </si>
  <si>
    <t xml:space="preserve">Entidade do Tesouro e Finanças </t>
  </si>
  <si>
    <t>Fundo de apoio à Concentração e Consolidação de Empresas</t>
  </si>
  <si>
    <t>Agência para a Reforma Tecnológica do Estado, I.P.</t>
  </si>
  <si>
    <t>Gabinetes dos Membros do Governo do Ministério da Reforma do Estado</t>
  </si>
  <si>
    <t xml:space="preserve">FERCONSULT - Consultoria, Estudos e Projetos de Engenharia de Transportes S.A.  </t>
  </si>
  <si>
    <t xml:space="preserve">Fundo de Compensação do Serviço Universal de Comunicações Eletrónicas  </t>
  </si>
  <si>
    <t>Biblioteca Lúcio Craveiro da Silva</t>
  </si>
  <si>
    <t>Z.E.A. – Sociedade Agrícola, Unipessoal, Lda.</t>
  </si>
  <si>
    <t>Centro de Competências para a Economia Social (CCES)</t>
  </si>
  <si>
    <t>Centro de Formação para a Transição Energética</t>
  </si>
  <si>
    <t>Centro de Formação Profissional da Indústria da Construção Civil e Obras Públicas</t>
  </si>
  <si>
    <t>Santa Casa Global, Unipessoal, Lda.</t>
  </si>
  <si>
    <t>Agência para o Clima, I.P.</t>
  </si>
  <si>
    <t xml:space="preserve">Riaviva e Litoral Ria de Aveiro, S.A.   </t>
  </si>
  <si>
    <t>(2)</t>
  </si>
  <si>
    <r>
      <t xml:space="preserve">Wil – Projetos Turísticos, S.A. </t>
    </r>
    <r>
      <rPr>
        <b/>
        <sz val="8"/>
        <color rgb="FF000000"/>
        <rFont val="Calibri"/>
        <family val="2"/>
        <scheme val="minor"/>
      </rPr>
      <t>e)</t>
    </r>
  </si>
  <si>
    <r>
      <t>Autoridades de Segurança Alimentar e Económica</t>
    </r>
    <r>
      <rPr>
        <b/>
        <sz val="8"/>
        <color rgb="FF000000"/>
        <rFont val="Calibri"/>
        <family val="2"/>
        <scheme val="minor"/>
      </rPr>
      <t xml:space="preserve"> f)</t>
    </r>
  </si>
  <si>
    <r>
      <t xml:space="preserve">Direção-Geral da Economia </t>
    </r>
    <r>
      <rPr>
        <b/>
        <sz val="8"/>
        <color rgb="FF000000"/>
        <rFont val="Calibri"/>
        <family val="2"/>
        <scheme val="minor"/>
      </rPr>
      <t>f)</t>
    </r>
  </si>
  <si>
    <r>
      <t>Direção Geral do Consumidor</t>
    </r>
    <r>
      <rPr>
        <b/>
        <sz val="8"/>
        <color rgb="FF000000"/>
        <rFont val="Calibri"/>
        <family val="2"/>
        <scheme val="minor"/>
      </rPr>
      <t xml:space="preserve"> f)</t>
    </r>
  </si>
  <si>
    <r>
      <t xml:space="preserve">Gestão Administrativa e Financeira do Ministério da Economia </t>
    </r>
    <r>
      <rPr>
        <b/>
        <sz val="8"/>
        <color rgb="FF000000"/>
        <rFont val="Calibri"/>
        <family val="2"/>
        <scheme val="minor"/>
      </rPr>
      <t>f)</t>
    </r>
  </si>
  <si>
    <r>
      <t xml:space="preserve">Direção-Geral de Recursos Humanos da Defesa Nacional </t>
    </r>
    <r>
      <rPr>
        <b/>
        <sz val="8"/>
        <color rgb="FF000000"/>
        <rFont val="Calibri"/>
        <family val="2"/>
        <scheme val="minor"/>
      </rPr>
      <t>j)</t>
    </r>
  </si>
  <si>
    <r>
      <t xml:space="preserve">Agência para a Gestão do Sistema Educativo, I.P. </t>
    </r>
    <r>
      <rPr>
        <b/>
        <sz val="8"/>
        <color rgb="FF000000"/>
        <rFont val="Calibri"/>
        <family val="2"/>
        <scheme val="minor"/>
      </rPr>
      <t>g)</t>
    </r>
  </si>
  <si>
    <r>
      <t xml:space="preserve">Direção-Geral de Estudos, Planeamento e Avaliação </t>
    </r>
    <r>
      <rPr>
        <b/>
        <sz val="8"/>
        <color rgb="FF000000"/>
        <rFont val="Calibri"/>
        <family val="2"/>
        <scheme val="minor"/>
      </rPr>
      <t>h)</t>
    </r>
  </si>
  <si>
    <r>
      <t>Instituto de Educação, Qualidade e Avaliação, I.P.</t>
    </r>
    <r>
      <rPr>
        <b/>
        <sz val="8"/>
        <color rgb="FF000000"/>
        <rFont val="Calibri"/>
        <family val="2"/>
        <scheme val="minor"/>
      </rPr>
      <t xml:space="preserve"> i)</t>
    </r>
  </si>
  <si>
    <r>
      <t xml:space="preserve">Escola Superior de Enfermagem da Universidade de Lisboa </t>
    </r>
    <r>
      <rPr>
        <b/>
        <sz val="8"/>
        <color rgb="FF000000"/>
        <rFont val="Calibri"/>
        <family val="2"/>
        <scheme val="minor"/>
      </rPr>
      <t>d)</t>
    </r>
  </si>
  <si>
    <r>
      <t>Fundação ULISSES - Fundação para o Desenvolvimento da Gestão</t>
    </r>
    <r>
      <rPr>
        <b/>
        <sz val="8"/>
        <color rgb="FF000000"/>
        <rFont val="Calibri"/>
        <family val="2"/>
        <scheme val="minor"/>
      </rPr>
      <t xml:space="preserve"> b)</t>
    </r>
  </si>
  <si>
    <r>
      <t>Instituto para o Ensino Superior, I.P.</t>
    </r>
    <r>
      <rPr>
        <b/>
        <sz val="8"/>
        <color rgb="FF000000"/>
        <rFont val="Calibri"/>
        <family val="2"/>
        <scheme val="minor"/>
      </rPr>
      <t xml:space="preserve"> c)</t>
    </r>
  </si>
  <si>
    <r>
      <t xml:space="preserve">Vianapolis, Sociedade para o Desenvolvimento do Programa Polis em Viana do Castelo, S.A. </t>
    </r>
    <r>
      <rPr>
        <b/>
        <sz val="8"/>
        <color rgb="FF000000"/>
        <rFont val="Calibri"/>
        <family val="2"/>
        <scheme val="minor"/>
      </rPr>
      <t xml:space="preserve">a) </t>
    </r>
    <r>
      <rPr>
        <sz val="8"/>
        <color rgb="FF000000"/>
        <rFont val="Calibri"/>
        <family val="2"/>
        <scheme val="minor"/>
      </rPr>
      <t xml:space="preserve">  </t>
    </r>
  </si>
  <si>
    <t>PO02 — Governação</t>
  </si>
  <si>
    <t>PO03 — Representação Externa</t>
  </si>
  <si>
    <t>PO04 — Finanças</t>
  </si>
  <si>
    <t>PO05 — Gestão da Dívida Pública</t>
  </si>
  <si>
    <t>PO06 — Economia</t>
  </si>
  <si>
    <t>PO07 — Coesão Territorial</t>
  </si>
  <si>
    <t>PO08 — Reforma do Estado</t>
  </si>
  <si>
    <t>PO09 — Defesa</t>
  </si>
  <si>
    <t>PO10 — Infraestruturas e Habitação</t>
  </si>
  <si>
    <t>PO11 — Justiça</t>
  </si>
  <si>
    <t>PO12 — Segurança Interna</t>
  </si>
  <si>
    <t>PO13 — Educação</t>
  </si>
  <si>
    <t>PO14 — Ensino Superior, Ciência e Inovação</t>
  </si>
  <si>
    <t>PO15 — Saúde</t>
  </si>
  <si>
    <t>PO16 — Trabalho, Solidariedade e Segurança Social</t>
  </si>
  <si>
    <t>PO17 — Ambiente e Energia</t>
  </si>
  <si>
    <t>PO18 — Cultura</t>
  </si>
  <si>
    <t>PO19 — Juventude e Desporto</t>
  </si>
  <si>
    <t>PO20 — Agricultura e Mar</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</si>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</sst>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12">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8"/>
      <color rgb="FF000000"/>
      <name val="Calibri"/>
      <family val="2"/>
    </font>
    <font>
      <b/>
      <sz val="9"/>
      <color rgb="FF00527E"/>
      <name val="Calibri"/>
      <family val="2"/>
      <scheme val="minor"/>
    </font>
    <font>
      <b/>
      <sz val="8"/>
      <color theme="1"/>
      <name val="Calibri"/>
      <family val="2"/>
      <scheme val="minor"/>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
      <sz val="10"/>
      <color rgb="FFFF0000"/>
      <name val="Calibri"/>
      <family val="2"/>
    </font>
    <font>
      <sz val="8"/>
      <color rgb="FFFFFFFF"/>
      <name val="Calibri"/>
      <family val="2"/>
    </font>
    <font>
      <sz val="10"/>
      <color rgb="FFFFFFFF"/>
      <name val="Calibri"/>
      <family val="2"/>
    </font>
    <font>
      <sz val="11"/>
      <color rgb="FFFFFFFF"/>
      <name val="Calibri"/>
      <family val="2"/>
      <scheme val="minor"/>
    </font>
    <font>
      <sz val="10"/>
      <color theme="0"/>
      <name val="Arial"/>
      <family val="2"/>
    </font>
    <font>
      <b/>
      <sz val="11"/>
      <color rgb="FF01245E"/>
      <name val="Dubai"/>
      <family val="2"/>
    </font>
    <font>
      <b/>
      <sz val="9"/>
      <color rgb="FF005BBF"/>
      <name val="Dubai"/>
      <family val="2"/>
    </font>
    <font>
      <b/>
      <sz val="16"/>
      <color rgb="FF01245E"/>
      <name val="Dubai"/>
      <family val="2"/>
    </font>
    <font>
      <b/>
      <sz val="14"/>
      <color rgb="FF005BBF"/>
      <name val="Dubai"/>
      <family val="2"/>
    </font>
    <font>
      <b/>
      <sz val="8"/>
      <name val="Aptos Narrow"/>
      <family val="2"/>
    </font>
  </fonts>
  <fills count="1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00"/>
        <bgColor indexed="64"/>
      </patternFill>
    </fill>
    <fill>
      <patternFill patternType="solid">
        <fgColor rgb="FFFFFFFF"/>
        <bgColor indexed="64"/>
      </patternFill>
    </fill>
  </fills>
  <borders count="112">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
      <left style="thin">
        <color rgb="FFFFFFFF"/>
      </left>
      <right style="thin">
        <color theme="0"/>
      </right>
      <top style="thin">
        <color rgb="FFFFFFFF"/>
      </top>
      <bottom style="thin">
        <color theme="0"/>
      </bottom>
      <diagonal/>
    </border>
    <border>
      <left style="thin">
        <color rgb="FFFFFFFF"/>
      </left>
      <right style="thin">
        <color theme="0"/>
      </right>
      <top/>
      <bottom style="thin">
        <color rgb="FFFFFFFF"/>
      </bottom>
      <diagonal/>
    </border>
    <border>
      <left style="thin">
        <color theme="0"/>
      </left>
      <right style="thin">
        <color theme="0"/>
      </right>
      <top/>
      <bottom style="thin">
        <color theme="0"/>
      </bottom>
      <diagonal/>
    </border>
    <border>
      <left style="thin">
        <color rgb="FFFFFFFF"/>
      </left>
      <right style="thin">
        <color rgb="FFFFFFFF"/>
      </right>
      <top/>
      <bottom style="thin">
        <color theme="0"/>
      </bottom>
      <diagonal/>
    </border>
  </borders>
  <cellStyleXfs count="9847">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6" fillId="5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2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181" fontId="19" fillId="0" borderId="1">
      <alignment horizontal="center" vertical="center"/>
    </xf>
    <xf numFmtId="0" fontId="20" fillId="36" borderId="0" applyNumberFormat="0" applyBorder="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0" fontId="21" fillId="0" borderId="0" applyNumberFormat="0" applyFill="0" applyBorder="0" applyAlignment="0" applyProtection="0"/>
    <xf numFmtId="0" fontId="22" fillId="0" borderId="2" applyNumberFormat="0" applyFill="0" applyAlignment="0" applyProtection="0"/>
    <xf numFmtId="0" fontId="22" fillId="0" borderId="2"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0" fontId="25" fillId="0" borderId="4"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0" fontId="28" fillId="0" borderId="6"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0" fontId="28"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65" fontId="80"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1" fillId="41" borderId="9" applyNumberFormat="0" applyAlignment="0" applyProtection="0"/>
    <xf numFmtId="0" fontId="31" fillId="41" borderId="9" applyNumberFormat="0" applyAlignment="0" applyProtection="0"/>
    <xf numFmtId="0" fontId="81" fillId="55" borderId="28" applyNumberFormat="0" applyAlignment="0" applyProtection="0"/>
    <xf numFmtId="0" fontId="32" fillId="13" borderId="9" applyNumberFormat="0" applyAlignment="0" applyProtection="0"/>
    <xf numFmtId="0" fontId="32" fillId="13" borderId="9" applyNumberFormat="0" applyAlignment="0" applyProtection="0"/>
    <xf numFmtId="180" fontId="82" fillId="0" borderId="29" applyNumberFormat="0" applyFill="0" applyAlignment="0" applyProtection="0"/>
    <xf numFmtId="180" fontId="82" fillId="0" borderId="29" applyNumberFormat="0" applyFill="0" applyAlignment="0" applyProtection="0"/>
    <xf numFmtId="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0" fontId="35" fillId="26" borderId="11" applyNumberFormat="0" applyAlignment="0" applyProtection="0"/>
    <xf numFmtId="165" fontId="36"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3" fontId="1" fillId="0" borderId="0" applyFill="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4" fillId="56"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3" fillId="56" borderId="0" applyNumberFormat="0" applyBorder="0" applyAlignment="0" applyProtection="0"/>
    <xf numFmtId="190" fontId="36" fillId="0" borderId="0" applyFill="0" applyBorder="0" applyAlignment="0" applyProtection="0"/>
    <xf numFmtId="184" fontId="1" fillId="0" borderId="0" applyFont="0" applyFill="0" applyBorder="0" applyAlignment="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2" fontId="1" fillId="0" borderId="0" applyFill="0" applyBorder="0" applyAlignment="0" applyProtection="0"/>
    <xf numFmtId="193" fontId="36" fillId="0" borderId="0" applyFill="0" applyBorder="0" applyAlignment="0" applyProtection="0"/>
    <xf numFmtId="17" fontId="39" fillId="0" borderId="0" applyFill="0" applyBorder="0">
      <alignment horizontal="right"/>
    </xf>
    <xf numFmtId="181" fontId="40" fillId="0" borderId="12" applyBorder="0">
      <alignment vertical="center"/>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180" fontId="85" fillId="57" borderId="28" applyNumberFormat="0" applyAlignment="0" applyProtection="0"/>
    <xf numFmtId="180" fontId="85" fillId="57" borderId="28" applyNumberFormat="0" applyAlignment="0" applyProtection="0"/>
    <xf numFmtId="0" fontId="86" fillId="57" borderId="28"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0" fontId="43" fillId="7" borderId="9" applyNumberFormat="0" applyAlignment="0" applyProtection="0"/>
    <xf numFmtId="0" fontId="43" fillId="7" borderId="9"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4" fillId="47" borderId="13" applyNumberFormat="0"/>
    <xf numFmtId="0" fontId="45" fillId="0" borderId="0" applyNumberFormat="0" applyFill="0" applyBorder="0" applyAlignment="0" applyProtection="0"/>
    <xf numFmtId="181" fontId="7" fillId="40" borderId="14" applyNumberFormat="0">
      <alignment vertical="center"/>
    </xf>
    <xf numFmtId="2" fontId="36" fillId="0" borderId="0" applyFill="0" applyBorder="0" applyAlignment="0" applyProtection="0"/>
    <xf numFmtId="0" fontId="37" fillId="4" borderId="0" applyNumberFormat="0" applyBorder="0" applyAlignment="0" applyProtection="0"/>
    <xf numFmtId="38" fontId="2" fillId="40" borderId="0" applyNumberFormat="0" applyFont="0" applyBorder="0" applyAlignment="0">
      <protection hidden="1"/>
    </xf>
    <xf numFmtId="181" fontId="46" fillId="40" borderId="15" applyNumberFormat="0">
      <alignment vertical="center"/>
    </xf>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xf numFmtId="0" fontId="89" fillId="0" borderId="0" applyNumberFormat="0" applyFill="0" applyBorder="0" applyAlignment="0" applyProtection="0"/>
    <xf numFmtId="0" fontId="49"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2" fillId="7" borderId="9" applyNumberFormat="0" applyAlignment="0" applyProtection="0"/>
    <xf numFmtId="182" fontId="51" fillId="48" borderId="16" applyNumberFormat="0">
      <alignment vertical="center"/>
    </xf>
    <xf numFmtId="0" fontId="42"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3"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1" fillId="37" borderId="17" applyNumberFormat="0">
      <alignment vertical="center"/>
      <protection locked="0"/>
    </xf>
    <xf numFmtId="181" fontId="52" fillId="0" borderId="0" applyNumberFormat="0" applyBorder="0">
      <alignment horizontal="left" vertical="top"/>
    </xf>
    <xf numFmtId="0" fontId="53" fillId="49" borderId="0" applyNumberFormat="0" applyBorder="0" applyAlignment="0" applyProtection="0"/>
    <xf numFmtId="0" fontId="90" fillId="58"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203" fontId="54"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5" fillId="0" borderId="0"/>
    <xf numFmtId="174" fontId="1" fillId="0" borderId="0"/>
    <xf numFmtId="180" fontId="1" fillId="0" borderId="0"/>
    <xf numFmtId="0" fontId="75" fillId="0" borderId="0"/>
    <xf numFmtId="0" fontId="75" fillId="0" borderId="0"/>
    <xf numFmtId="0" fontId="1" fillId="0" borderId="0"/>
    <xf numFmtId="0" fontId="75"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6" fillId="0" borderId="0"/>
    <xf numFmtId="0" fontId="1" fillId="0" borderId="0"/>
    <xf numFmtId="1" fontId="55"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3" fillId="0" borderId="0"/>
    <xf numFmtId="0" fontId="3" fillId="0" borderId="0"/>
    <xf numFmtId="0" fontId="3" fillId="0" borderId="0"/>
    <xf numFmtId="0" fontId="1" fillId="0" borderId="0"/>
    <xf numFmtId="0" fontId="1" fillId="0" borderId="0"/>
    <xf numFmtId="0" fontId="75" fillId="0" borderId="0"/>
    <xf numFmtId="203" fontId="56" fillId="0" borderId="0"/>
    <xf numFmtId="203" fontId="56" fillId="0" borderId="0"/>
    <xf numFmtId="203" fontId="56" fillId="0" borderId="0"/>
    <xf numFmtId="0" fontId="75" fillId="0" borderId="0"/>
    <xf numFmtId="0" fontId="75"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7" fillId="0" borderId="0"/>
    <xf numFmtId="0" fontId="1" fillId="0" borderId="0"/>
    <xf numFmtId="0" fontId="1" fillId="0" borderId="0"/>
    <xf numFmtId="0" fontId="1" fillId="0" borderId="0"/>
    <xf numFmtId="0" fontId="1" fillId="0" borderId="0"/>
    <xf numFmtId="0" fontId="3" fillId="0" borderId="0"/>
    <xf numFmtId="0" fontId="75" fillId="0" borderId="0"/>
    <xf numFmtId="0" fontId="15" fillId="0" borderId="0"/>
    <xf numFmtId="0" fontId="57"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75" fillId="0" borderId="0"/>
    <xf numFmtId="0" fontId="75" fillId="0" borderId="0"/>
    <xf numFmtId="0" fontId="75" fillId="0" borderId="0"/>
    <xf numFmtId="0" fontId="1" fillId="0" borderId="0"/>
    <xf numFmtId="182"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6" fillId="0" borderId="0"/>
    <xf numFmtId="177" fontId="56" fillId="0" borderId="0"/>
    <xf numFmtId="177" fontId="56" fillId="0" borderId="0"/>
    <xf numFmtId="177" fontId="56" fillId="0" borderId="0"/>
    <xf numFmtId="177" fontId="56" fillId="0" borderId="0"/>
    <xf numFmtId="0" fontId="75" fillId="0" borderId="0"/>
    <xf numFmtId="0" fontId="92"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3" fillId="0" borderId="0"/>
    <xf numFmtId="0" fontId="1" fillId="0" borderId="0"/>
    <xf numFmtId="177" fontId="56" fillId="0" borderId="0"/>
    <xf numFmtId="177" fontId="56" fillId="0" borderId="0"/>
    <xf numFmtId="177"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57" fillId="0" borderId="0"/>
    <xf numFmtId="0" fontId="75" fillId="0" borderId="0"/>
    <xf numFmtId="0" fontId="93" fillId="0" borderId="0"/>
    <xf numFmtId="0" fontId="94" fillId="0" borderId="0"/>
    <xf numFmtId="0" fontId="75" fillId="0" borderId="0"/>
    <xf numFmtId="0" fontId="1" fillId="0" borderId="0"/>
    <xf numFmtId="180" fontId="1" fillId="0" borderId="0"/>
    <xf numFmtId="180" fontId="1"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1" fillId="0" borderId="0"/>
    <xf numFmtId="0" fontId="15" fillId="0" borderId="0"/>
    <xf numFmtId="0" fontId="75" fillId="0" borderId="0"/>
    <xf numFmtId="0" fontId="7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3" fillId="0" borderId="0"/>
    <xf numFmtId="0" fontId="3" fillId="0" borderId="0"/>
    <xf numFmtId="0" fontId="75" fillId="0" borderId="0"/>
    <xf numFmtId="0" fontId="75" fillId="0" borderId="0"/>
    <xf numFmtId="0" fontId="75" fillId="0" borderId="0"/>
    <xf numFmtId="0" fontId="75" fillId="0" borderId="0"/>
    <xf numFmtId="0" fontId="3"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 fillId="0" borderId="0"/>
    <xf numFmtId="0" fontId="3" fillId="0" borderId="0"/>
    <xf numFmtId="0" fontId="57" fillId="0" borderId="0"/>
    <xf numFmtId="0" fontId="1" fillId="0" borderId="0"/>
    <xf numFmtId="197" fontId="39" fillId="0" borderId="0" applyNumberFormat="0" applyFill="0" applyBorder="0" applyAlignment="0" applyProtection="0"/>
    <xf numFmtId="165" fontId="58" fillId="0" borderId="0"/>
    <xf numFmtId="180" fontId="75" fillId="59" borderId="30" applyNumberFormat="0" applyFont="0" applyAlignment="0" applyProtection="0"/>
    <xf numFmtId="180" fontId="75"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5" fillId="60" borderId="31">
      <alignment horizontal="center" vertical="center" wrapText="1" readingOrder="1"/>
    </xf>
    <xf numFmtId="0" fontId="96" fillId="61" borderId="32">
      <alignment horizontal="left" vertical="center" wrapText="1" indent="1" readingOrder="1"/>
    </xf>
    <xf numFmtId="3" fontId="97" fillId="61" borderId="33">
      <alignment horizontal="right" vertical="center" indent="1"/>
    </xf>
    <xf numFmtId="165" fontId="97" fillId="61" borderId="33">
      <alignment horizontal="right" vertical="center" indent="1"/>
    </xf>
    <xf numFmtId="0" fontId="98" fillId="0" borderId="34">
      <alignment horizontal="left" vertical="center" indent="1"/>
    </xf>
    <xf numFmtId="3" fontId="98" fillId="0" borderId="35">
      <alignment horizontal="right" vertical="center" indent="1"/>
    </xf>
    <xf numFmtId="0" fontId="99" fillId="0" borderId="36"/>
    <xf numFmtId="0" fontId="100" fillId="62" borderId="0">
      <alignment vertical="center"/>
    </xf>
    <xf numFmtId="0" fontId="101" fillId="0" borderId="0">
      <alignment horizontal="center" vertical="top" wrapText="1"/>
    </xf>
    <xf numFmtId="0" fontId="99" fillId="62" borderId="0"/>
    <xf numFmtId="0" fontId="59" fillId="0" borderId="19" applyNumberFormat="0" applyFill="0" applyBorder="0" applyProtection="0">
      <alignment vertical="top" wrapText="1"/>
    </xf>
    <xf numFmtId="0" fontId="60" fillId="41" borderId="14" applyNumberFormat="0" applyAlignment="0" applyProtection="0"/>
    <xf numFmtId="0" fontId="60"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07" fontId="2" fillId="0" borderId="0" applyFont="0" applyFill="0" applyBorder="0" applyAlignment="0" applyProtection="0"/>
    <xf numFmtId="181" fontId="36" fillId="0" borderId="0" applyFont="0" applyFill="0" applyBorder="0" applyAlignment="0" applyProtection="0">
      <alignment horizontal="right"/>
    </xf>
    <xf numFmtId="197" fontId="52" fillId="0" borderId="0" applyNumberFormat="0" applyFill="0" applyBorder="0" applyAlignment="0" applyProtection="0">
      <alignment horizontal="left"/>
    </xf>
    <xf numFmtId="0" fontId="39" fillId="51" borderId="21" applyNumberFormat="0" applyFont="0" applyBorder="0" applyAlignment="0">
      <alignment vertical="top" wrapText="1"/>
    </xf>
    <xf numFmtId="0" fontId="62" fillId="13" borderId="14" applyNumberFormat="0" applyAlignment="0" applyProtection="0"/>
    <xf numFmtId="0" fontId="60" fillId="13" borderId="14" applyNumberFormat="0" applyAlignment="0" applyProtection="0"/>
    <xf numFmtId="0" fontId="60" fillId="13" borderId="14" applyNumberFormat="0" applyAlignment="0" applyProtection="0"/>
    <xf numFmtId="4" fontId="14" fillId="52" borderId="14" applyProtection="0">
      <alignment horizontal="right" vertical="center"/>
    </xf>
    <xf numFmtId="0" fontId="63"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2" fillId="0" borderId="0" applyNumberFormat="0" applyFill="0" applyBorder="0" applyAlignment="0" applyProtection="0"/>
    <xf numFmtId="180" fontId="102" fillId="0" borderId="0" applyNumberFormat="0" applyFill="0" applyBorder="0" applyAlignment="0" applyProtection="0"/>
    <xf numFmtId="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0" fontId="4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68" fillId="53" borderId="0" applyNumberFormat="0">
      <alignment vertical="center"/>
    </xf>
    <xf numFmtId="182" fontId="69" fillId="0" borderId="0" applyNumberFormat="0">
      <alignment vertical="center"/>
    </xf>
    <xf numFmtId="182" fontId="70" fillId="0" borderId="0" applyNumberFormat="0">
      <alignment vertical="center"/>
    </xf>
    <xf numFmtId="181" fontId="71" fillId="0" borderId="0">
      <alignment vertical="center"/>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2" fillId="0" borderId="22"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6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3" fillId="43" borderId="11" applyNumberFormat="0" applyAlignment="0" applyProtection="0"/>
    <xf numFmtId="0" fontId="35" fillId="43" borderId="11" applyNumberFormat="0" applyAlignment="0" applyProtection="0"/>
    <xf numFmtId="0" fontId="35" fillId="43" borderId="11" applyNumberFormat="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4"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1"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4"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0" fillId="90" borderId="14" applyNumberFormat="0" applyProtection="0">
      <alignment horizontal="left" vertical="center" indent="1"/>
    </xf>
    <xf numFmtId="4" fontId="151" fillId="40" borderId="14" applyNumberFormat="0" applyProtection="0">
      <alignment horizontal="right" vertical="center"/>
    </xf>
    <xf numFmtId="0" fontId="153" fillId="91" borderId="98">
      <alignment horizontal="right" vertic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5"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96"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97"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158"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96" applyNumberFormat="0" applyAlignment="0" applyProtection="0"/>
    <xf numFmtId="217" fontId="159" fillId="0" borderId="0" applyFont="0" applyFill="0" applyBorder="0" applyAlignment="0" applyProtection="0"/>
    <xf numFmtId="44" fontId="160"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77"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5" applyNumberFormat="0" applyAlignment="0" applyProtection="0"/>
    <xf numFmtId="9" fontId="1"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 fillId="0" borderId="0" applyFont="0" applyFill="0" applyBorder="0" applyAlignment="0" applyProtection="0"/>
    <xf numFmtId="9" fontId="159" fillId="0" borderId="0" applyFont="0" applyFill="0" applyBorder="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217" fontId="161" fillId="0" borderId="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164" fontId="1" fillId="0" borderId="0" applyFont="0" applyFill="0" applyBorder="0" applyAlignment="0" applyProtection="0"/>
    <xf numFmtId="217" fontId="36" fillId="0" borderId="0"/>
    <xf numFmtId="217" fontId="36" fillId="0" borderId="0"/>
    <xf numFmtId="217" fontId="149" fillId="0" borderId="97"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164" fontId="1" fillId="0" borderId="0" applyFont="0" applyFill="0" applyBorder="0" applyAlignment="0" applyProtection="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9" fontId="1" fillId="0" borderId="0" applyFont="0" applyFill="0" applyBorder="0" applyAlignment="0" applyProtection="0"/>
    <xf numFmtId="217" fontId="75" fillId="69" borderId="0" applyNumberFormat="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217" fontId="64" fillId="0" borderId="0" applyNumberFormat="0" applyFill="0" applyBorder="0" applyAlignment="0" applyProtection="0"/>
    <xf numFmtId="164" fontId="75" fillId="0" borderId="0" applyFont="0" applyFill="0" applyBorder="0" applyAlignment="0" applyProtection="0"/>
    <xf numFmtId="217" fontId="75" fillId="0" borderId="0"/>
    <xf numFmtId="217" fontId="42" fillId="7" borderId="9" applyNumberFormat="0" applyAlignment="0" applyProtection="0"/>
    <xf numFmtId="217" fontId="152"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156" fillId="0" borderId="0" applyNumberFormat="0" applyFill="0" applyBorder="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33" fillId="0" borderId="10" applyNumberFormat="0" applyFill="0" applyAlignment="0" applyProtection="0"/>
    <xf numFmtId="217" fontId="1" fillId="0" borderId="0"/>
    <xf numFmtId="217" fontId="164"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28" fillId="0" borderId="0" applyNumberFormat="0" applyFill="0" applyBorder="0" applyAlignment="0" applyProtection="0"/>
    <xf numFmtId="217" fontId="28" fillId="0" borderId="6" applyNumberFormat="0" applyFill="0" applyAlignment="0" applyProtection="0"/>
    <xf numFmtId="217" fontId="25" fillId="0" borderId="4" applyNumberFormat="0" applyFill="0" applyAlignment="0" applyProtection="0"/>
    <xf numFmtId="217" fontId="22" fillId="0" borderId="2" applyNumberFormat="0" applyFill="0" applyAlignment="0" applyProtection="0"/>
    <xf numFmtId="217" fontId="37" fillId="4" borderId="0" applyNumberFormat="0" applyBorder="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5" fillId="0" borderId="0" applyNumberFormat="0" applyFill="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67"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57" fillId="0" borderId="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2" fontId="130" fillId="0" borderId="0"/>
    <xf numFmtId="217" fontId="130" fillId="92" borderId="0"/>
    <xf numFmtId="217" fontId="164" fillId="0" borderId="0"/>
    <xf numFmtId="217" fontId="130" fillId="0" borderId="0"/>
    <xf numFmtId="217" fontId="130" fillId="0" borderId="0"/>
    <xf numFmtId="217" fontId="163" fillId="0" borderId="0">
      <alignment horizontal="center" textRotation="90"/>
    </xf>
    <xf numFmtId="217" fontId="163" fillId="0" borderId="0">
      <alignment horizontal="center"/>
    </xf>
    <xf numFmtId="217" fontId="162" fillId="0" borderId="99"/>
    <xf numFmtId="212" fontId="130" fillId="0" borderId="0"/>
    <xf numFmtId="217" fontId="130" fillId="92" borderId="0"/>
    <xf numFmtId="217" fontId="130" fillId="92" borderId="0"/>
    <xf numFmtId="217" fontId="130" fillId="0" borderId="0"/>
    <xf numFmtId="217" fontId="1" fillId="0" borderId="0">
      <alignment wrapText="1"/>
    </xf>
    <xf numFmtId="217" fontId="156" fillId="0" borderId="0"/>
    <xf numFmtId="217" fontId="156" fillId="0" borderId="0" applyNumberFormat="0" applyFill="0" applyBorder="0" applyAlignment="0" applyProtection="0"/>
    <xf numFmtId="217" fontId="75" fillId="0" borderId="0"/>
    <xf numFmtId="217" fontId="75" fillId="0" borderId="0"/>
    <xf numFmtId="217" fontId="1" fillId="0" borderId="0"/>
    <xf numFmtId="217" fontId="159"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xf numFmtId="217" fontId="1" fillId="0" borderId="0">
      <alignment wrapText="1"/>
    </xf>
    <xf numFmtId="217" fontId="75" fillId="0" borderId="0"/>
    <xf numFmtId="217" fontId="75" fillId="0" borderId="0"/>
    <xf numFmtId="217" fontId="1" fillId="0" borderId="0"/>
    <xf numFmtId="217" fontId="157" fillId="0" borderId="0"/>
    <xf numFmtId="217" fontId="1" fillId="0" borderId="0"/>
    <xf numFmtId="217" fontId="156" fillId="0" borderId="0"/>
    <xf numFmtId="217" fontId="75" fillId="0" borderId="0"/>
    <xf numFmtId="217" fontId="75" fillId="0" borderId="0"/>
    <xf numFmtId="217" fontId="1" fillId="0" borderId="0"/>
    <xf numFmtId="217" fontId="157"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1" fillId="0" borderId="0"/>
    <xf numFmtId="164" fontId="75" fillId="0" borderId="0" applyFont="0" applyFill="0" applyBorder="0" applyAlignment="0" applyProtection="0"/>
    <xf numFmtId="217" fontId="75" fillId="0" borderId="0"/>
    <xf numFmtId="9" fontId="75" fillId="0" borderId="0" applyFont="0" applyFill="0" applyBorder="0" applyAlignment="0" applyProtection="0"/>
    <xf numFmtId="9" fontId="57"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9" fontId="1"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164" fontId="166"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08" fontId="1" fillId="0" borderId="0" applyFont="0" applyFill="0" applyBorder="0" applyAlignment="0" applyProtection="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1" fillId="0" borderId="0"/>
    <xf numFmtId="9" fontId="75" fillId="0" borderId="0" applyFont="0" applyFill="0" applyBorder="0" applyAlignment="0" applyProtection="0"/>
    <xf numFmtId="9" fontId="75"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9" fontId="166"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8" fontId="170" fillId="0" borderId="0">
      <protection locked="0"/>
    </xf>
    <xf numFmtId="218" fontId="170" fillId="0" borderId="0">
      <protection locked="0"/>
    </xf>
    <xf numFmtId="218" fontId="170" fillId="0" borderId="0">
      <protection locked="0"/>
    </xf>
    <xf numFmtId="219" fontId="170" fillId="0" borderId="0">
      <protection locked="0"/>
    </xf>
    <xf numFmtId="219" fontId="170" fillId="0" borderId="0">
      <protection locked="0"/>
    </xf>
    <xf numFmtId="219" fontId="170" fillId="0" borderId="0">
      <protection locked="0"/>
    </xf>
    <xf numFmtId="219" fontId="170" fillId="0" borderId="0">
      <protection locked="0"/>
    </xf>
    <xf numFmtId="220" fontId="170" fillId="0" borderId="0">
      <protection locked="0"/>
    </xf>
    <xf numFmtId="220" fontId="170" fillId="0" borderId="0">
      <protection locked="0"/>
    </xf>
    <xf numFmtId="192" fontId="1" fillId="0" borderId="0" applyFont="0" applyFill="0" applyBorder="0" applyAlignment="0" applyProtection="0"/>
    <xf numFmtId="220" fontId="170" fillId="0" borderId="0">
      <protection locked="0"/>
    </xf>
    <xf numFmtId="221" fontId="170" fillId="0" borderId="0">
      <protection locked="0"/>
    </xf>
    <xf numFmtId="221" fontId="170" fillId="0" borderId="0">
      <protection locked="0"/>
    </xf>
    <xf numFmtId="221" fontId="170" fillId="0" borderId="0">
      <protection locked="0"/>
    </xf>
    <xf numFmtId="221" fontId="170" fillId="0" borderId="0">
      <protection locked="0"/>
    </xf>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22" fontId="1" fillId="0" borderId="0" applyFon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23" fontId="170" fillId="0" borderId="0">
      <protection locked="0"/>
    </xf>
    <xf numFmtId="223" fontId="170" fillId="0" borderId="0">
      <protection locked="0"/>
    </xf>
    <xf numFmtId="223" fontId="170" fillId="0" borderId="0">
      <protection locked="0"/>
    </xf>
    <xf numFmtId="223" fontId="170" fillId="0" borderId="0">
      <protection locked="0"/>
    </xf>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0"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44" fontId="15" fillId="0" borderId="0" applyFont="0" applyFill="0" applyBorder="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3"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15"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24" fontId="170" fillId="0" borderId="0">
      <protection locked="0"/>
    </xf>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0" fillId="0" borderId="0">
      <protection locked="0"/>
    </xf>
    <xf numFmtId="9" fontId="15"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8" fontId="57" fillId="0" borderId="0" applyFont="0" applyFill="0" applyBorder="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169" fontId="1" fillId="0" borderId="0" applyFont="0" applyFill="0" applyBorder="0" applyAlignment="0" applyProtection="0"/>
    <xf numFmtId="43" fontId="74" fillId="0" borderId="0" applyFont="0" applyFill="0" applyBorder="0" applyAlignment="0" applyProtection="0"/>
    <xf numFmtId="177" fontId="1" fillId="0" borderId="0" applyFont="0" applyFill="0" applyBorder="0" applyAlignment="0" applyProtection="0"/>
    <xf numFmtId="164" fontId="15" fillId="0" borderId="0" applyFont="0" applyFill="0" applyBorder="0" applyAlignment="0" applyProtection="0"/>
    <xf numFmtId="164" fontId="57" fillId="0" borderId="0" applyFont="0" applyFill="0" applyBorder="0" applyAlignment="0" applyProtection="0"/>
    <xf numFmtId="43" fontId="74" fillId="0" borderId="0" applyFont="0" applyFill="0" applyBorder="0" applyAlignment="0" applyProtection="0"/>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4" fontId="1" fillId="0" borderId="0" applyFont="0" applyFill="0" applyBorder="0" applyAlignment="0" applyProtection="0"/>
    <xf numFmtId="4" fontId="16" fillId="52" borderId="14" applyNumberFormat="0" applyProtection="0">
      <alignment horizontal="right" vertical="center"/>
    </xf>
    <xf numFmtId="9" fontId="75"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6" fillId="0" borderId="0"/>
    <xf numFmtId="217" fontId="36" fillId="0" borderId="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5"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96"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97"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59" borderId="30" applyNumberFormat="0" applyFont="0" applyAlignment="0" applyProtection="0"/>
    <xf numFmtId="217" fontId="75"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1" fillId="0" borderId="0"/>
    <xf numFmtId="217" fontId="1" fillId="0" borderId="0" applyFont="0" applyFill="0" applyBorder="0" applyAlignment="0" applyProtection="0"/>
    <xf numFmtId="217" fontId="36" fillId="0" borderId="0"/>
    <xf numFmtId="217" fontId="75" fillId="59" borderId="30" applyNumberFormat="0" applyFont="0" applyAlignment="0" applyProtection="0"/>
    <xf numFmtId="217" fontId="75" fillId="0" borderId="0"/>
    <xf numFmtId="217" fontId="36" fillId="0" borderId="0"/>
    <xf numFmtId="217" fontId="36" fillId="0" borderId="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1" fillId="0" borderId="0" applyFont="0" applyFill="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4" fontId="14" fillId="52" borderId="14" applyProtection="0">
      <alignment horizontal="right" vertical="center"/>
    </xf>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75" fillId="0" borderId="0"/>
    <xf numFmtId="217" fontId="75" fillId="0" borderId="0"/>
    <xf numFmtId="217" fontId="75" fillId="0" borderId="0"/>
    <xf numFmtId="217" fontId="36" fillId="0" borderId="0"/>
    <xf numFmtId="217" fontId="36" fillId="0" borderId="0"/>
    <xf numFmtId="164" fontId="1" fillId="0" borderId="0" applyFont="0" applyFill="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59" borderId="30" applyNumberFormat="0" applyFont="0" applyAlignment="0" applyProtection="0"/>
    <xf numFmtId="9" fontId="1" fillId="0" borderId="0" applyFont="0" applyFill="0" applyBorder="0" applyAlignment="0" applyProtection="0"/>
    <xf numFmtId="217" fontId="75" fillId="0" borderId="0"/>
    <xf numFmtId="217" fontId="36" fillId="0" borderId="0"/>
    <xf numFmtId="217" fontId="1" fillId="0" borderId="0" applyFont="0" applyFill="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44" fontId="57" fillId="0" borderId="0" applyFont="0" applyFill="0" applyBorder="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9" fontId="1" fillId="0" borderId="0" applyFont="0" applyFill="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217" fontId="36" fillId="0" borderId="0"/>
    <xf numFmtId="217" fontId="1" fillId="0" borderId="0"/>
    <xf numFmtId="0" fontId="75"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143" fillId="70" borderId="0" applyNumberFormat="0" applyBorder="0" applyAlignment="0" applyProtection="0"/>
    <xf numFmtId="0" fontId="143" fillId="70" borderId="0" applyNumberFormat="0" applyBorder="0" applyAlignment="0" applyProtection="0"/>
    <xf numFmtId="0" fontId="143" fillId="74" borderId="0" applyNumberFormat="0" applyBorder="0" applyAlignment="0" applyProtection="0"/>
    <xf numFmtId="0" fontId="143" fillId="74" borderId="0" applyNumberFormat="0" applyBorder="0" applyAlignment="0" applyProtection="0"/>
    <xf numFmtId="0" fontId="143" fillId="77" borderId="0" applyNumberFormat="0" applyBorder="0" applyAlignment="0" applyProtection="0"/>
    <xf numFmtId="0" fontId="143" fillId="77" borderId="0" applyNumberFormat="0" applyBorder="0" applyAlignment="0" applyProtection="0"/>
    <xf numFmtId="0" fontId="143" fillId="81" borderId="0" applyNumberFormat="0" applyBorder="0" applyAlignment="0" applyProtection="0"/>
    <xf numFmtId="0" fontId="143" fillId="81" borderId="0" applyNumberFormat="0" applyBorder="0" applyAlignment="0" applyProtection="0"/>
    <xf numFmtId="0" fontId="143" fillId="85" borderId="0" applyNumberFormat="0" applyBorder="0" applyAlignment="0" applyProtection="0"/>
    <xf numFmtId="0" fontId="143" fillId="85" borderId="0" applyNumberFormat="0" applyBorder="0" applyAlignment="0" applyProtection="0"/>
    <xf numFmtId="0" fontId="143" fillId="89" borderId="0" applyNumberFormat="0" applyBorder="0" applyAlignment="0" applyProtection="0"/>
    <xf numFmtId="0" fontId="143" fillId="89" borderId="0" applyNumberFormat="0" applyBorder="0" applyAlignment="0" applyProtection="0"/>
    <xf numFmtId="0" fontId="143" fillId="67" borderId="0" applyNumberFormat="0" applyBorder="0" applyAlignment="0" applyProtection="0"/>
    <xf numFmtId="0" fontId="143" fillId="67" borderId="0" applyNumberFormat="0" applyBorder="0" applyAlignment="0" applyProtection="0"/>
    <xf numFmtId="0" fontId="143" fillId="71"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4" fillId="65" borderId="0" applyNumberFormat="0" applyBorder="0" applyAlignment="0" applyProtection="0"/>
    <xf numFmtId="0" fontId="144" fillId="65" borderId="0" applyNumberFormat="0" applyBorder="0" applyAlignment="0" applyProtection="0"/>
    <xf numFmtId="0" fontId="22" fillId="0" borderId="2" applyNumberFormat="0" applyFill="0" applyAlignment="0" applyProtection="0"/>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46" fillId="55" borderId="28" applyNumberFormat="0" applyAlignment="0" applyProtection="0"/>
    <xf numFmtId="0" fontId="146" fillId="55" borderId="28" applyNumberFormat="0" applyAlignment="0" applyProtection="0"/>
    <xf numFmtId="0" fontId="167" fillId="0" borderId="0"/>
    <xf numFmtId="0" fontId="33" fillId="0" borderId="10" applyNumberFormat="0" applyFill="0" applyAlignment="0" applyProtection="0"/>
    <xf numFmtId="0" fontId="147" fillId="66" borderId="96" applyNumberFormat="0" applyAlignment="0" applyProtection="0"/>
    <xf numFmtId="0" fontId="147" fillId="66" borderId="96" applyNumberFormat="0" applyAlignment="0" applyProtection="0"/>
    <xf numFmtId="0" fontId="37" fillId="4" borderId="0" applyNumberFormat="0" applyBorder="0" applyAlignment="0" applyProtection="0"/>
    <xf numFmtId="0" fontId="42"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5" fillId="0" borderId="0"/>
    <xf numFmtId="0" fontId="148" fillId="0" borderId="0" applyNumberFormat="0" applyFill="0" applyBorder="0" applyAlignment="0" applyProtection="0"/>
    <xf numFmtId="0" fontId="148" fillId="0" borderId="0" applyNumberFormat="0" applyFill="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7" fillId="0" borderId="24" applyNumberFormat="0" applyFill="0" applyAlignment="0" applyProtection="0"/>
    <xf numFmtId="0" fontId="77" fillId="0" borderId="24" applyNumberFormat="0" applyFill="0" applyAlignment="0" applyProtection="0"/>
    <xf numFmtId="0" fontId="78" fillId="0" borderId="25"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68" fillId="0" borderId="0" applyNumberFormat="0" applyFill="0" applyBorder="0" applyAlignment="0" applyProtection="0">
      <alignment vertical="top"/>
      <protection locked="0"/>
    </xf>
    <xf numFmtId="0" fontId="85" fillId="57" borderId="28" applyNumberFormat="0" applyAlignment="0" applyProtection="0"/>
    <xf numFmtId="0" fontId="85" fillId="57" borderId="28" applyNumberFormat="0" applyAlignment="0" applyProtection="0"/>
    <xf numFmtId="0" fontId="82" fillId="0" borderId="29" applyNumberFormat="0" applyFill="0" applyAlignment="0" applyProtection="0"/>
    <xf numFmtId="0" fontId="82" fillId="0" borderId="29" applyNumberFormat="0" applyFill="0" applyAlignment="0" applyProtection="0"/>
    <xf numFmtId="0" fontId="155" fillId="58" borderId="0" applyNumberFormat="0" applyBorder="0" applyAlignment="0" applyProtection="0"/>
    <xf numFmtId="0" fontId="155"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7" fillId="0" borderId="0"/>
    <xf numFmtId="0" fontId="75" fillId="0" borderId="0"/>
    <xf numFmtId="0" fontId="75" fillId="0" borderId="0"/>
    <xf numFmtId="0" fontId="75" fillId="0" borderId="0"/>
    <xf numFmtId="214" fontId="1" fillId="0" borderId="0"/>
    <xf numFmtId="216" fontId="1" fillId="0" borderId="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6" fillId="0" borderId="0"/>
    <xf numFmtId="0" fontId="156" fillId="0" borderId="0"/>
    <xf numFmtId="0" fontId="156" fillId="0" borderId="0"/>
    <xf numFmtId="0" fontId="156" fillId="0" borderId="0" applyNumberFormat="0" applyFill="0" applyBorder="0" applyAlignment="0" applyProtection="0"/>
    <xf numFmtId="0" fontId="1" fillId="0" borderId="0"/>
    <xf numFmtId="0" fontId="75" fillId="0" borderId="0"/>
    <xf numFmtId="0" fontId="75" fillId="0" borderId="0"/>
    <xf numFmtId="0" fontId="1" fillId="0" borderId="0"/>
    <xf numFmtId="0" fontId="156" fillId="0" borderId="0"/>
    <xf numFmtId="0" fontId="1" fillId="0" borderId="0"/>
    <xf numFmtId="214" fontId="1" fillId="0" borderId="0"/>
    <xf numFmtId="0" fontId="159"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75"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9" fillId="0" borderId="0"/>
    <xf numFmtId="0" fontId="75" fillId="0" borderId="0"/>
    <xf numFmtId="0" fontId="75" fillId="0" borderId="0"/>
    <xf numFmtId="0" fontId="75" fillId="0" borderId="0"/>
    <xf numFmtId="0" fontId="75" fillId="0" borderId="0"/>
    <xf numFmtId="0" fontId="156" fillId="0" borderId="0"/>
    <xf numFmtId="0" fontId="75" fillId="0" borderId="0"/>
    <xf numFmtId="0" fontId="75" fillId="0" borderId="0"/>
    <xf numFmtId="0" fontId="1" fillId="0" borderId="0"/>
    <xf numFmtId="0" fontId="1" fillId="0" borderId="0"/>
    <xf numFmtId="0" fontId="75" fillId="0" borderId="0"/>
    <xf numFmtId="0" fontId="75" fillId="0" borderId="0"/>
    <xf numFmtId="0" fontId="75" fillId="0" borderId="0"/>
    <xf numFmtId="0" fontId="75" fillId="0" borderId="0"/>
    <xf numFmtId="214" fontId="1" fillId="0" borderId="0"/>
    <xf numFmtId="0" fontId="75" fillId="0" borderId="0"/>
    <xf numFmtId="0" fontId="75" fillId="0" borderId="0"/>
    <xf numFmtId="0" fontId="156" fillId="0" borderId="0"/>
    <xf numFmtId="0" fontId="1" fillId="0" borderId="0"/>
    <xf numFmtId="0" fontId="1" fillId="0" borderId="0"/>
    <xf numFmtId="0" fontId="1" fillId="0" borderId="0"/>
    <xf numFmtId="0" fontId="1" fillId="0" borderId="0"/>
    <xf numFmtId="0" fontId="1" fillId="0" borderId="0"/>
    <xf numFmtId="0" fontId="159" fillId="0" borderId="0"/>
    <xf numFmtId="0" fontId="75" fillId="0" borderId="0"/>
    <xf numFmtId="0" fontId="1" fillId="0" borderId="0"/>
    <xf numFmtId="0" fontId="75" fillId="0" borderId="0"/>
    <xf numFmtId="0" fontId="1" fillId="0" borderId="0"/>
    <xf numFmtId="0" fontId="1" fillId="0" borderId="0">
      <alignment wrapText="1"/>
    </xf>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57" fillId="0" borderId="0"/>
    <xf numFmtId="215" fontId="1" fillId="0" borderId="0"/>
    <xf numFmtId="0" fontId="156" fillId="0" borderId="0"/>
    <xf numFmtId="0" fontId="1" fillId="0" borderId="0"/>
    <xf numFmtId="0" fontId="1" fillId="0" borderId="0"/>
    <xf numFmtId="0" fontId="1" fillId="0" borderId="0"/>
    <xf numFmtId="0" fontId="75" fillId="0" borderId="0"/>
    <xf numFmtId="0" fontId="75" fillId="0" borderId="0"/>
    <xf numFmtId="0" fontId="157" fillId="0" borderId="0"/>
    <xf numFmtId="0" fontId="1" fillId="0" borderId="0"/>
    <xf numFmtId="0" fontId="1" fillId="0" borderId="0"/>
    <xf numFmtId="0" fontId="1" fillId="0" borderId="0"/>
    <xf numFmtId="0" fontId="156" fillId="0" borderId="0"/>
    <xf numFmtId="0" fontId="1" fillId="0" borderId="0"/>
    <xf numFmtId="0" fontId="75" fillId="0" borderId="0"/>
    <xf numFmtId="0" fontId="75" fillId="0" borderId="0"/>
    <xf numFmtId="0" fontId="156" fillId="0" borderId="0"/>
    <xf numFmtId="194" fontId="1" fillId="0" borderId="0"/>
    <xf numFmtId="0" fontId="75" fillId="0" borderId="0"/>
    <xf numFmtId="194" fontId="1" fillId="0" borderId="0"/>
    <xf numFmtId="0" fontId="1" fillId="0" borderId="0"/>
    <xf numFmtId="194" fontId="1" fillId="0" borderId="0"/>
    <xf numFmtId="194"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1" fillId="0" borderId="0"/>
    <xf numFmtId="0" fontId="1" fillId="0" borderId="0"/>
    <xf numFmtId="0" fontId="161"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5" fillId="59" borderId="30" applyNumberFormat="0" applyFont="0" applyAlignment="0" applyProtection="0"/>
    <xf numFmtId="0" fontId="75" fillId="59" borderId="30" applyNumberFormat="0" applyFont="0" applyAlignment="0" applyProtection="0"/>
    <xf numFmtId="0" fontId="145" fillId="55" borderId="95" applyNumberFormat="0" applyAlignment="0" applyProtection="0"/>
    <xf numFmtId="0" fontId="145" fillId="55" borderId="95"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58" fillId="0" borderId="0">
      <alignment wrapText="1"/>
    </xf>
    <xf numFmtId="0" fontId="6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 fillId="0" borderId="0"/>
    <xf numFmtId="0" fontId="1"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3" fillId="82" borderId="0" applyNumberFormat="0" applyBorder="0" applyAlignment="0" applyProtection="0"/>
    <xf numFmtId="0" fontId="143" fillId="78" borderId="0" applyNumberFormat="0" applyBorder="0" applyAlignment="0" applyProtection="0"/>
    <xf numFmtId="0" fontId="143" fillId="75" borderId="0" applyNumberFormat="0" applyBorder="0" applyAlignment="0" applyProtection="0"/>
    <xf numFmtId="0" fontId="143" fillId="71" borderId="0" applyNumberFormat="0" applyBorder="0" applyAlignment="0" applyProtection="0"/>
    <xf numFmtId="0" fontId="143" fillId="67"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59" fillId="0" borderId="0"/>
    <xf numFmtId="0" fontId="75" fillId="0" borderId="0"/>
    <xf numFmtId="194" fontId="94" fillId="0" borderId="0"/>
    <xf numFmtId="194" fontId="1" fillId="0" borderId="0"/>
    <xf numFmtId="0" fontId="143" fillId="71" borderId="0" applyNumberFormat="0" applyBorder="0" applyAlignment="0" applyProtection="0"/>
    <xf numFmtId="0" fontId="143" fillId="86" borderId="0" applyNumberFormat="0" applyBorder="0" applyAlignment="0" applyProtection="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67" borderId="0" applyNumberFormat="0" applyBorder="0" applyAlignment="0" applyProtection="0"/>
    <xf numFmtId="0" fontId="143" fillId="78"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82"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4"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85" fillId="57" borderId="28" applyNumberFormat="0" applyAlignment="0" applyProtection="0"/>
    <xf numFmtId="0" fontId="82" fillId="0" borderId="29" applyNumberFormat="0" applyFill="0" applyAlignment="0" applyProtection="0"/>
    <xf numFmtId="0" fontId="102" fillId="0" borderId="0" applyNumberFormat="0" applyFill="0" applyBorder="0" applyAlignment="0" applyProtection="0"/>
    <xf numFmtId="0" fontId="149" fillId="0" borderId="97" applyNumberFormat="0" applyFill="0" applyAlignment="0" applyProtection="0"/>
    <xf numFmtId="0" fontId="75" fillId="0" borderId="0"/>
    <xf numFmtId="0" fontId="16" fillId="0" borderId="0">
      <alignment vertical="top"/>
    </xf>
    <xf numFmtId="0" fontId="1"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0" fillId="36"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169" fillId="0" borderId="12" applyNumberFormat="0" applyBorder="0" applyProtection="0">
      <alignment horizontal="center"/>
    </xf>
    <xf numFmtId="0" fontId="169" fillId="0" borderId="12" applyNumberFormat="0" applyBorder="0" applyProtection="0">
      <alignment horizontal="center"/>
    </xf>
    <xf numFmtId="0" fontId="31" fillId="41"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31" fillId="41" borderId="9" applyNumberFormat="0" applyAlignment="0" applyProtection="0"/>
    <xf numFmtId="0" fontId="31" fillId="41" borderId="9" applyNumberFormat="0" applyAlignment="0" applyProtection="0"/>
    <xf numFmtId="0" fontId="31" fillId="41" borderId="9" applyNumberFormat="0" applyAlignment="0" applyProtection="0"/>
    <xf numFmtId="0" fontId="35" fillId="26"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28"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2" fillId="0" borderId="2" applyNumberFormat="0" applyFill="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5" fillId="0" borderId="4" applyNumberFormat="0" applyFill="0" applyAlignment="0" applyProtection="0"/>
    <xf numFmtId="0" fontId="171" fillId="0" borderId="100"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17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3" fillId="34"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3" fillId="34" borderId="9" applyNumberFormat="0" applyAlignment="0" applyProtection="0"/>
    <xf numFmtId="0" fontId="43" fillId="34" borderId="9" applyNumberFormat="0" applyAlignment="0" applyProtection="0"/>
    <xf numFmtId="0" fontId="43" fillId="34" borderId="9" applyNumberFormat="0" applyAlignment="0" applyProtection="0"/>
    <xf numFmtId="0" fontId="172"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53" fillId="49"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3" fillId="0" borderId="0"/>
    <xf numFmtId="0" fontId="75" fillId="0" borderId="0"/>
    <xf numFmtId="0" fontId="75" fillId="0" borderId="0"/>
    <xf numFmtId="0" fontId="75" fillId="0" borderId="0"/>
    <xf numFmtId="0" fontId="156" fillId="0" borderId="0"/>
    <xf numFmtId="0" fontId="75"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5" fillId="0" borderId="0"/>
    <xf numFmtId="0" fontId="75" fillId="0" borderId="0"/>
    <xf numFmtId="0" fontId="1" fillId="0" borderId="0"/>
    <xf numFmtId="0" fontId="1" fillId="0" borderId="0"/>
    <xf numFmtId="0" fontId="1" fillId="0" borderId="0"/>
    <xf numFmtId="0" fontId="1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143" fillId="75" borderId="0" applyNumberFormat="0" applyBorder="0" applyAlignment="0" applyProtection="0"/>
    <xf numFmtId="0" fontId="63" fillId="0" borderId="0" applyNumberFormat="0" applyFill="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170" fillId="0" borderId="101">
      <protection locked="0"/>
    </xf>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5" fillId="0" borderId="0"/>
    <xf numFmtId="195" fontId="1" fillId="0" borderId="0" applyFont="0" applyFill="0" applyBorder="0" applyAlignment="0" applyProtection="0"/>
    <xf numFmtId="0" fontId="36" fillId="0" borderId="0"/>
    <xf numFmtId="0" fontId="36" fillId="0" borderId="0"/>
    <xf numFmtId="0" fontId="36" fillId="0" borderId="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144" fillId="65" borderId="0" applyNumberFormat="0" applyBorder="0" applyAlignment="0" applyProtection="0"/>
    <xf numFmtId="0" fontId="155" fillId="58" borderId="0" applyNumberFormat="0" applyBorder="0" applyAlignment="0" applyProtection="0"/>
    <xf numFmtId="0" fontId="85" fillId="57" borderId="28" applyNumberFormat="0" applyAlignment="0" applyProtection="0"/>
    <xf numFmtId="0" fontId="145" fillId="55" borderId="95" applyNumberFormat="0" applyAlignment="0" applyProtection="0"/>
    <xf numFmtId="0" fontId="146" fillId="55" borderId="28" applyNumberFormat="0" applyAlignment="0" applyProtection="0"/>
    <xf numFmtId="0" fontId="82" fillId="0" borderId="29" applyNumberFormat="0" applyFill="0" applyAlignment="0" applyProtection="0"/>
    <xf numFmtId="0" fontId="147" fillId="66" borderId="96" applyNumberFormat="0" applyAlignment="0" applyProtection="0"/>
    <xf numFmtId="0" fontId="102" fillId="0" borderId="0" applyNumberFormat="0" applyFill="0" applyBorder="0" applyAlignment="0" applyProtection="0"/>
    <xf numFmtId="0" fontId="148" fillId="0" borderId="0" applyNumberFormat="0" applyFill="0" applyBorder="0" applyAlignment="0" applyProtection="0"/>
    <xf numFmtId="0" fontId="149" fillId="0" borderId="97" applyNumberFormat="0" applyFill="0" applyAlignment="0" applyProtection="0"/>
    <xf numFmtId="0" fontId="143" fillId="67" borderId="0" applyNumberFormat="0" applyBorder="0" applyAlignment="0" applyProtection="0"/>
    <xf numFmtId="0" fontId="143" fillId="70" borderId="0" applyNumberFormat="0" applyBorder="0" applyAlignment="0" applyProtection="0"/>
    <xf numFmtId="0" fontId="143"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143" fillId="74" borderId="0" applyNumberFormat="0" applyBorder="0" applyAlignment="0" applyProtection="0"/>
    <xf numFmtId="0" fontId="143" fillId="75"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43" fillId="77" borderId="0" applyNumberFormat="0" applyBorder="0" applyAlignment="0" applyProtection="0"/>
    <xf numFmtId="0" fontId="143" fillId="7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43" fillId="81" borderId="0" applyNumberFormat="0" applyBorder="0" applyAlignment="0" applyProtection="0"/>
    <xf numFmtId="0" fontId="143" fillId="82"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143" fillId="85" borderId="0" applyNumberFormat="0" applyBorder="0" applyAlignment="0" applyProtection="0"/>
    <xf numFmtId="0" fontId="143" fillId="86"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43" fillId="89" borderId="0" applyNumberFormat="0" applyBorder="0" applyAlignment="0" applyProtection="0"/>
    <xf numFmtId="0" fontId="75" fillId="59" borderId="30" applyNumberFormat="0" applyFont="0" applyAlignment="0" applyProtection="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36" fillId="0" borderId="0"/>
    <xf numFmtId="0" fontId="36" fillId="0" borderId="0"/>
    <xf numFmtId="0" fontId="36" fillId="0" borderId="0"/>
    <xf numFmtId="0" fontId="36"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1"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75"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6" fillId="0" borderId="0"/>
    <xf numFmtId="0" fontId="36" fillId="0" borderId="0"/>
    <xf numFmtId="0" fontId="36" fillId="0" borderId="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36" fillId="0" borderId="0"/>
    <xf numFmtId="0" fontId="1" fillId="0" borderId="0"/>
    <xf numFmtId="0" fontId="1" fillId="0" borderId="0"/>
    <xf numFmtId="0" fontId="1" fillId="0" borderId="0"/>
    <xf numFmtId="0" fontId="36" fillId="0" borderId="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54" borderId="0" applyNumberFormat="0" applyBorder="0" applyAlignment="0" applyProtection="0"/>
    <xf numFmtId="0" fontId="75" fillId="84" borderId="0" applyNumberFormat="0" applyBorder="0" applyAlignment="0" applyProtection="0"/>
    <xf numFmtId="0" fontId="75" fillId="83" borderId="0" applyNumberFormat="0" applyBorder="0" applyAlignment="0" applyProtection="0"/>
    <xf numFmtId="0" fontId="75" fillId="80" borderId="0" applyNumberFormat="0" applyBorder="0" applyAlignment="0" applyProtection="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59" borderId="30" applyNumberFormat="0" applyFont="0" applyAlignment="0" applyProtection="0"/>
    <xf numFmtId="0" fontId="75" fillId="76"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36" fillId="0" borderId="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 fillId="0" borderId="0"/>
    <xf numFmtId="0" fontId="75" fillId="6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 fillId="0" borderId="0"/>
    <xf numFmtId="0" fontId="75" fillId="59" borderId="30" applyNumberFormat="0" applyFont="0" applyAlignment="0" applyProtection="0"/>
    <xf numFmtId="0" fontId="75" fillId="83"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0" borderId="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0" borderId="0"/>
    <xf numFmtId="0" fontId="75" fillId="0" borderId="0"/>
    <xf numFmtId="0" fontId="36"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73" borderId="0" applyNumberFormat="0" applyBorder="0" applyAlignment="0" applyProtection="0"/>
    <xf numFmtId="0" fontId="36" fillId="0" borderId="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7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1" fillId="0" borderId="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83" borderId="0" applyNumberFormat="0" applyBorder="0" applyAlignment="0" applyProtection="0"/>
    <xf numFmtId="0" fontId="75" fillId="84" borderId="0" applyNumberFormat="0" applyBorder="0" applyAlignment="0" applyProtection="0"/>
    <xf numFmtId="195" fontId="1" fillId="0" borderId="0" applyFont="0" applyFill="0" applyBorder="0" applyAlignment="0" applyProtection="0"/>
    <xf numFmtId="0" fontId="1" fillId="0" borderId="0"/>
    <xf numFmtId="0" fontId="75" fillId="88" borderId="0" applyNumberFormat="0" applyBorder="0" applyAlignment="0" applyProtection="0"/>
    <xf numFmtId="0" fontId="1" fillId="0" borderId="0"/>
    <xf numFmtId="0" fontId="75" fillId="84"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80" borderId="0" applyNumberFormat="0" applyBorder="0" applyAlignment="0" applyProtection="0"/>
    <xf numFmtId="0" fontId="1" fillId="0" borderId="0"/>
    <xf numFmtId="0" fontId="1" fillId="0" borderId="0"/>
    <xf numFmtId="0" fontId="75" fillId="84" borderId="0" applyNumberFormat="0" applyBorder="0" applyAlignment="0" applyProtection="0"/>
    <xf numFmtId="0" fontId="75" fillId="0" borderId="0"/>
    <xf numFmtId="0" fontId="75" fillId="87" borderId="0" applyNumberFormat="0" applyBorder="0" applyAlignment="0" applyProtection="0"/>
    <xf numFmtId="0" fontId="1"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3" borderId="0" applyNumberFormat="0" applyBorder="0" applyAlignment="0" applyProtection="0"/>
    <xf numFmtId="0" fontId="75" fillId="68" borderId="0" applyNumberFormat="0" applyBorder="0" applyAlignment="0" applyProtection="0"/>
    <xf numFmtId="0" fontId="1" fillId="0" borderId="0"/>
    <xf numFmtId="0" fontId="1" fillId="0" borderId="0"/>
    <xf numFmtId="0" fontId="36" fillId="0" borderId="0"/>
    <xf numFmtId="0" fontId="1" fillId="0" borderId="0"/>
    <xf numFmtId="0" fontId="1" fillId="0" borderId="0"/>
    <xf numFmtId="0" fontId="75" fillId="0" borderId="0"/>
    <xf numFmtId="0" fontId="1" fillId="0" borderId="0"/>
    <xf numFmtId="0" fontId="75" fillId="79" borderId="0" applyNumberFormat="0" applyBorder="0" applyAlignment="0" applyProtection="0"/>
    <xf numFmtId="0" fontId="75" fillId="0" borderId="0"/>
    <xf numFmtId="0" fontId="1" fillId="0" borderId="0"/>
    <xf numFmtId="0" fontId="36" fillId="0" borderId="0"/>
    <xf numFmtId="0" fontId="36" fillId="0" borderId="0"/>
    <xf numFmtId="0" fontId="1" fillId="0" borderId="0"/>
    <xf numFmtId="0" fontId="1" fillId="0" borderId="0"/>
    <xf numFmtId="0" fontId="75" fillId="80" borderId="0" applyNumberFormat="0" applyBorder="0" applyAlignment="0" applyProtection="0"/>
    <xf numFmtId="0" fontId="75" fillId="69"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79" borderId="0" applyNumberFormat="0" applyBorder="0" applyAlignment="0" applyProtection="0"/>
    <xf numFmtId="0" fontId="75" fillId="59" borderId="30" applyNumberFormat="0" applyFont="0" applyAlignment="0" applyProtection="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83" borderId="0" applyNumberFormat="0" applyBorder="0" applyAlignment="0" applyProtection="0"/>
    <xf numFmtId="0" fontId="75" fillId="54" borderId="0" applyNumberFormat="0" applyBorder="0" applyAlignment="0" applyProtection="0"/>
    <xf numFmtId="0" fontId="75" fillId="0" borderId="0"/>
    <xf numFmtId="0" fontId="75" fillId="59" borderId="30" applyNumberFormat="0" applyFont="0" applyAlignment="0" applyProtection="0"/>
    <xf numFmtId="0" fontId="1" fillId="0" borderId="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1" fillId="0" borderId="0"/>
    <xf numFmtId="0" fontId="75" fillId="76"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73"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83" borderId="0" applyNumberFormat="0" applyBorder="0" applyAlignment="0" applyProtection="0"/>
    <xf numFmtId="0" fontId="1" fillId="0" borderId="0"/>
    <xf numFmtId="0" fontId="1" fillId="0" borderId="0"/>
    <xf numFmtId="0" fontId="75" fillId="69" borderId="0" applyNumberFormat="0" applyBorder="0" applyAlignment="0" applyProtection="0"/>
    <xf numFmtId="0" fontId="75" fillId="72" borderId="0" applyNumberFormat="0" applyBorder="0" applyAlignment="0" applyProtection="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8" borderId="0" applyNumberFormat="0" applyBorder="0" applyAlignment="0" applyProtection="0"/>
    <xf numFmtId="0" fontId="75" fillId="0" borderId="0"/>
    <xf numFmtId="0" fontId="1" fillId="0" borderId="0"/>
    <xf numFmtId="0" fontId="1" fillId="0" borderId="0"/>
    <xf numFmtId="0" fontId="36" fillId="0" borderId="0"/>
    <xf numFmtId="0" fontId="1" fillId="0" borderId="0"/>
    <xf numFmtId="0" fontId="1" fillId="0" borderId="0"/>
    <xf numFmtId="0" fontId="75" fillId="87" borderId="0" applyNumberFormat="0" applyBorder="0" applyAlignment="0" applyProtection="0"/>
    <xf numFmtId="0" fontId="1" fillId="0" borderId="0"/>
    <xf numFmtId="0" fontId="75" fillId="80" borderId="0" applyNumberFormat="0" applyBorder="0" applyAlignment="0" applyProtection="0"/>
    <xf numFmtId="0" fontId="1" fillId="0" borderId="0"/>
    <xf numFmtId="0" fontId="75" fillId="0" borderId="0"/>
    <xf numFmtId="0" fontId="1" fillId="0" borderId="0"/>
    <xf numFmtId="0" fontId="1" fillId="0" borderId="0"/>
    <xf numFmtId="0" fontId="75" fillId="8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75" fillId="73"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1" fillId="0" borderId="0"/>
    <xf numFmtId="0" fontId="75" fillId="80" borderId="0" applyNumberFormat="0" applyBorder="0" applyAlignment="0" applyProtection="0"/>
    <xf numFmtId="0" fontId="75" fillId="59" borderId="30" applyNumberFormat="0" applyFont="0" applyAlignment="0" applyProtection="0"/>
    <xf numFmtId="0" fontId="75" fillId="76" borderId="0" applyNumberFormat="0" applyBorder="0" applyAlignment="0" applyProtection="0"/>
    <xf numFmtId="0" fontId="1"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54"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80" borderId="0" applyNumberFormat="0" applyBorder="0" applyAlignment="0" applyProtection="0"/>
    <xf numFmtId="0" fontId="1" fillId="0" borderId="0"/>
    <xf numFmtId="0" fontId="75" fillId="54" borderId="0" applyNumberFormat="0" applyBorder="0" applyAlignment="0" applyProtection="0"/>
    <xf numFmtId="0" fontId="1" fillId="0" borderId="0"/>
    <xf numFmtId="0" fontId="75" fillId="72" borderId="0" applyNumberFormat="0" applyBorder="0" applyAlignment="0" applyProtection="0"/>
    <xf numFmtId="0" fontId="75" fillId="0" borderId="0"/>
    <xf numFmtId="0" fontId="1" fillId="0" borderId="0"/>
    <xf numFmtId="0" fontId="75" fillId="76"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73" borderId="0" applyNumberFormat="0" applyBorder="0" applyAlignment="0" applyProtection="0"/>
    <xf numFmtId="0" fontId="75" fillId="0" borderId="0"/>
    <xf numFmtId="0" fontId="75" fillId="87" borderId="0" applyNumberFormat="0" applyBorder="0" applyAlignment="0" applyProtection="0"/>
    <xf numFmtId="0" fontId="75" fillId="0" borderId="0"/>
    <xf numFmtId="0" fontId="75" fillId="0" borderId="0"/>
    <xf numFmtId="0" fontId="75" fillId="0" borderId="0"/>
    <xf numFmtId="0" fontId="36" fillId="0" borderId="0"/>
    <xf numFmtId="0" fontId="36" fillId="0" borderId="0"/>
    <xf numFmtId="0" fontId="75" fillId="68" borderId="0" applyNumberFormat="0" applyBorder="0" applyAlignment="0" applyProtection="0"/>
    <xf numFmtId="0" fontId="75" fillId="68" borderId="0" applyNumberFormat="0" applyBorder="0" applyAlignment="0" applyProtection="0"/>
    <xf numFmtId="0" fontId="1" fillId="0" borderId="0"/>
    <xf numFmtId="0" fontId="75" fillId="84" borderId="0" applyNumberFormat="0" applyBorder="0" applyAlignment="0" applyProtection="0"/>
    <xf numFmtId="0" fontId="75" fillId="84" borderId="0" applyNumberFormat="0" applyBorder="0" applyAlignment="0" applyProtection="0"/>
    <xf numFmtId="0" fontId="1" fillId="0" borderId="0"/>
    <xf numFmtId="0" fontId="75" fillId="69"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72"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1" fillId="0" borderId="0"/>
    <xf numFmtId="0" fontId="75" fillId="0" borderId="0"/>
    <xf numFmtId="0" fontId="75" fillId="87"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75" fillId="79"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76" borderId="0" applyNumberFormat="0" applyBorder="0" applyAlignment="0" applyProtection="0"/>
    <xf numFmtId="0" fontId="75" fillId="84"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1" fillId="0" borderId="0"/>
    <xf numFmtId="0" fontId="75" fillId="0" borderId="0"/>
    <xf numFmtId="0" fontId="75" fillId="54"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1" fillId="0" borderId="0"/>
    <xf numFmtId="0" fontId="36" fillId="0" borderId="0"/>
    <xf numFmtId="0" fontId="36" fillId="0" borderId="0"/>
    <xf numFmtId="0" fontId="75" fillId="0" borderId="0"/>
    <xf numFmtId="0" fontId="75" fillId="59" borderId="30" applyNumberFormat="0" applyFont="0" applyAlignment="0" applyProtection="0"/>
    <xf numFmtId="0" fontId="75" fillId="76" borderId="0" applyNumberFormat="0" applyBorder="0" applyAlignment="0" applyProtection="0"/>
    <xf numFmtId="195" fontId="1" fillId="0" borderId="0" applyFont="0" applyFill="0" applyBorder="0" applyAlignment="0" applyProtection="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36" fillId="0" borderId="0"/>
    <xf numFmtId="0" fontId="75" fillId="73" borderId="0" applyNumberFormat="0" applyBorder="0" applyAlignment="0" applyProtection="0"/>
    <xf numFmtId="0" fontId="75" fillId="84" borderId="0" applyNumberFormat="0" applyBorder="0" applyAlignment="0" applyProtection="0"/>
    <xf numFmtId="0" fontId="75" fillId="0" borderId="0"/>
    <xf numFmtId="0" fontId="75" fillId="69"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83" borderId="0" applyNumberFormat="0" applyBorder="0" applyAlignment="0" applyProtection="0"/>
    <xf numFmtId="0" fontId="75" fillId="0" borderId="0"/>
    <xf numFmtId="0" fontId="75" fillId="68" borderId="0" applyNumberFormat="0" applyBorder="0" applyAlignment="0" applyProtection="0"/>
    <xf numFmtId="0" fontId="1" fillId="0" borderId="0"/>
    <xf numFmtId="0" fontId="75" fillId="0" borderId="0"/>
    <xf numFmtId="0" fontId="75" fillId="0" borderId="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72"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84" borderId="0" applyNumberFormat="0" applyBorder="0" applyAlignment="0" applyProtection="0"/>
    <xf numFmtId="0" fontId="75" fillId="54" borderId="0" applyNumberFormat="0" applyBorder="0" applyAlignment="0" applyProtection="0"/>
    <xf numFmtId="0" fontId="75" fillId="88" borderId="0" applyNumberFormat="0" applyBorder="0" applyAlignment="0" applyProtection="0"/>
    <xf numFmtId="0" fontId="75" fillId="80"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1" fillId="0" borderId="0"/>
    <xf numFmtId="0" fontId="36" fillId="0" borderId="0"/>
    <xf numFmtId="0" fontId="75" fillId="79"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applyNumberFormat="0" applyFill="0" applyBorder="0" applyAlignment="0" applyProtection="0"/>
    <xf numFmtId="0" fontId="75" fillId="0" borderId="0"/>
    <xf numFmtId="0" fontId="75" fillId="0" borderId="0"/>
    <xf numFmtId="0" fontId="18" fillId="20"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75" fillId="0" borderId="0"/>
    <xf numFmtId="0" fontId="18" fillId="20" borderId="0" applyNumberFormat="0" applyBorder="0" applyAlignment="0" applyProtection="0"/>
    <xf numFmtId="0" fontId="75" fillId="0" borderId="0"/>
    <xf numFmtId="0" fontId="75" fillId="0" borderId="0"/>
    <xf numFmtId="0" fontId="18" fillId="31" borderId="0" applyNumberFormat="0" applyBorder="0" applyAlignment="0" applyProtection="0"/>
    <xf numFmtId="0" fontId="18" fillId="3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applyNumberFormat="0" applyFill="0" applyBorder="0" applyAlignment="0" applyProtection="0"/>
    <xf numFmtId="0" fontId="75" fillId="83" borderId="0" applyNumberFormat="0" applyBorder="0" applyAlignment="0" applyProtection="0"/>
    <xf numFmtId="0" fontId="18" fillId="33" borderId="0" applyNumberFormat="0" applyBorder="0" applyAlignment="0" applyProtection="0"/>
    <xf numFmtId="0" fontId="36" fillId="0" borderId="0"/>
    <xf numFmtId="0" fontId="18" fillId="31" borderId="0" applyNumberFormat="0" applyBorder="0" applyAlignment="0" applyProtection="0"/>
    <xf numFmtId="0" fontId="18" fillId="20"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75" fillId="0" borderId="0"/>
    <xf numFmtId="0" fontId="75" fillId="79" borderId="0" applyNumberFormat="0" applyBorder="0" applyAlignment="0" applyProtection="0"/>
    <xf numFmtId="0" fontId="75" fillId="0" borderId="0"/>
    <xf numFmtId="0" fontId="1" fillId="0" borderId="0"/>
    <xf numFmtId="195" fontId="1" fillId="0" borderId="0" applyFont="0" applyFill="0" applyBorder="0" applyAlignment="0" applyProtection="0"/>
    <xf numFmtId="0" fontId="75" fillId="0" borderId="0"/>
    <xf numFmtId="0" fontId="75" fillId="0" borderId="0"/>
    <xf numFmtId="0" fontId="75" fillId="0" borderId="0" applyNumberFormat="0" applyFill="0" applyBorder="0" applyAlignment="0" applyProtection="0"/>
    <xf numFmtId="0" fontId="36" fillId="0" borderId="0"/>
    <xf numFmtId="0" fontId="75" fillId="73"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0" borderId="0" applyNumberFormat="0" applyFill="0" applyBorder="0" applyAlignment="0" applyProtection="0"/>
    <xf numFmtId="0" fontId="36" fillId="0" borderId="0"/>
    <xf numFmtId="0" fontId="75" fillId="0" borderId="0"/>
    <xf numFmtId="0" fontId="75" fillId="0" borderId="0"/>
    <xf numFmtId="0" fontId="75" fillId="87" borderId="0" applyNumberFormat="0" applyBorder="0" applyAlignment="0" applyProtection="0"/>
    <xf numFmtId="0" fontId="75" fillId="0" borderId="0"/>
    <xf numFmtId="0" fontId="75" fillId="0" borderId="0"/>
    <xf numFmtId="0" fontId="57" fillId="0" borderId="0"/>
    <xf numFmtId="0" fontId="75" fillId="0" borderId="0"/>
    <xf numFmtId="0" fontId="75" fillId="0" borderId="0"/>
    <xf numFmtId="0" fontId="75" fillId="72" borderId="0" applyNumberFormat="0" applyBorder="0" applyAlignment="0" applyProtection="0"/>
    <xf numFmtId="0" fontId="75" fillId="0" borderId="0" applyNumberFormat="0" applyFill="0" applyBorder="0" applyAlignment="0" applyProtection="0"/>
    <xf numFmtId="195" fontId="1" fillId="0" borderId="0" applyFont="0" applyFill="0" applyBorder="0" applyAlignment="0" applyProtection="0"/>
    <xf numFmtId="225" fontId="57" fillId="0" borderId="0" applyFont="0" applyFill="0" applyBorder="0" applyAlignment="0" applyProtection="0"/>
    <xf numFmtId="0" fontId="1" fillId="0" borderId="0" applyNumberFormat="0" applyFill="0" applyBorder="0" applyAlignment="0" applyProtection="0"/>
    <xf numFmtId="0" fontId="75" fillId="76" borderId="0" applyNumberFormat="0" applyBorder="0" applyAlignment="0" applyProtection="0"/>
    <xf numFmtId="0" fontId="36" fillId="0" borderId="0"/>
    <xf numFmtId="0" fontId="75" fillId="0" borderId="0"/>
    <xf numFmtId="0" fontId="75" fillId="0" borderId="0"/>
    <xf numFmtId="0" fontId="75" fillId="0" borderId="0" applyNumberFormat="0" applyFill="0" applyBorder="0" applyAlignment="0" applyProtection="0"/>
    <xf numFmtId="0" fontId="161" fillId="0" borderId="0"/>
    <xf numFmtId="0" fontId="36" fillId="0" borderId="0"/>
    <xf numFmtId="0" fontId="75" fillId="0" borderId="0"/>
    <xf numFmtId="0" fontId="75" fillId="0" borderId="0"/>
    <xf numFmtId="0" fontId="75" fillId="59" borderId="30" applyNumberFormat="0" applyFont="0" applyAlignment="0" applyProtection="0"/>
    <xf numFmtId="0" fontId="1" fillId="0" borderId="0"/>
    <xf numFmtId="0" fontId="75" fillId="0" borderId="0"/>
    <xf numFmtId="0" fontId="75" fillId="0" borderId="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69" borderId="0" applyNumberFormat="0" applyBorder="0" applyAlignment="0" applyProtection="0"/>
    <xf numFmtId="0" fontId="75" fillId="0" borderId="0"/>
    <xf numFmtId="0" fontId="36" fillId="0" borderId="0"/>
    <xf numFmtId="0" fontId="75" fillId="0" borderId="0"/>
    <xf numFmtId="0" fontId="75" fillId="0" borderId="0" applyNumberFormat="0" applyFill="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4" borderId="0" applyNumberFormat="0" applyBorder="0" applyAlignment="0" applyProtection="0"/>
    <xf numFmtId="0" fontId="75" fillId="0" borderId="0"/>
    <xf numFmtId="0" fontId="75" fillId="5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36" fillId="0" borderId="0"/>
    <xf numFmtId="195" fontId="1" fillId="0" borderId="0" applyFont="0" applyFill="0" applyBorder="0" applyAlignment="0" applyProtection="0"/>
    <xf numFmtId="0" fontId="78" fillId="0" borderId="25" applyNumberFormat="0" applyFill="0" applyAlignment="0" applyProtection="0"/>
    <xf numFmtId="0" fontId="169" fillId="0" borderId="12" applyNumberFormat="0" applyBorder="0" applyProtection="0">
      <alignment horizontal="center"/>
    </xf>
    <xf numFmtId="4" fontId="14" fillId="93" borderId="14" applyNumberFormat="0" applyProtection="0">
      <alignment vertical="center"/>
    </xf>
    <xf numFmtId="4" fontId="151" fillId="40" borderId="14" applyNumberFormat="0" applyProtection="0">
      <alignment vertical="center"/>
    </xf>
    <xf numFmtId="4" fontId="16" fillId="48" borderId="14" applyNumberFormat="0" applyProtection="0">
      <alignment horizontal="left" vertical="center" indent="1"/>
    </xf>
    <xf numFmtId="4" fontId="150" fillId="93" borderId="14" applyNumberFormat="0" applyProtection="0">
      <alignment horizontal="center" vertical="center"/>
    </xf>
    <xf numFmtId="0" fontId="174" fillId="93" borderId="14" applyNumberFormat="0" applyProtection="0">
      <alignment horizontal="right" vertical="center" indent="1"/>
    </xf>
    <xf numFmtId="4" fontId="16" fillId="94" borderId="14" applyNumberFormat="0" applyProtection="0">
      <alignment horizontal="right" vertical="center"/>
    </xf>
    <xf numFmtId="4" fontId="16" fillId="95" borderId="14" applyNumberFormat="0" applyProtection="0">
      <alignment horizontal="right" vertical="center"/>
    </xf>
    <xf numFmtId="4" fontId="16" fillId="96" borderId="14" applyNumberFormat="0" applyProtection="0">
      <alignment horizontal="right" vertical="center"/>
    </xf>
    <xf numFmtId="4" fontId="16" fillId="47" borderId="14" applyNumberFormat="0" applyProtection="0">
      <alignment horizontal="right" vertical="center"/>
    </xf>
    <xf numFmtId="4" fontId="16" fillId="97" borderId="14" applyNumberFormat="0" applyProtection="0">
      <alignment horizontal="right" vertical="center"/>
    </xf>
    <xf numFmtId="4" fontId="16" fillId="98" borderId="14" applyNumberFormat="0" applyProtection="0">
      <alignment horizontal="right" vertical="center"/>
    </xf>
    <xf numFmtId="4" fontId="16" fillId="99" borderId="14" applyNumberFormat="0" applyProtection="0">
      <alignment horizontal="right" vertical="center"/>
    </xf>
    <xf numFmtId="4" fontId="16" fillId="100" borderId="14" applyNumberFormat="0" applyProtection="0">
      <alignment horizontal="right" vertical="center"/>
    </xf>
    <xf numFmtId="4" fontId="16" fillId="101" borderId="14" applyNumberFormat="0" applyProtection="0">
      <alignment horizontal="right" vertical="center"/>
    </xf>
    <xf numFmtId="4" fontId="41" fillId="102" borderId="14" applyNumberFormat="0" applyProtection="0">
      <alignment horizontal="left" vertical="center" indent="1"/>
    </xf>
    <xf numFmtId="4" fontId="16" fillId="52" borderId="102" applyNumberFormat="0" applyProtection="0">
      <alignment horizontal="left" vertical="center" indent="1"/>
    </xf>
    <xf numFmtId="4" fontId="175" fillId="103" borderId="0" applyNumberFormat="0" applyProtection="0">
      <alignment horizontal="left" vertical="center" indent="1"/>
    </xf>
    <xf numFmtId="0" fontId="176" fillId="93" borderId="14" applyNumberFormat="0" applyProtection="0">
      <alignment horizontal="left" vertical="center" indent="1"/>
    </xf>
    <xf numFmtId="4" fontId="177" fillId="52" borderId="14" applyNumberFormat="0" applyProtection="0">
      <alignment horizontal="left" vertical="center" indent="1"/>
    </xf>
    <xf numFmtId="4" fontId="178"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6" fillId="38" borderId="14" applyNumberFormat="0" applyProtection="0">
      <alignment vertical="center"/>
    </xf>
    <xf numFmtId="4" fontId="179" fillId="38" borderId="14" applyNumberFormat="0" applyProtection="0">
      <alignment vertical="center"/>
    </xf>
    <xf numFmtId="4" fontId="16" fillId="38" borderId="14" applyNumberFormat="0" applyProtection="0">
      <alignment horizontal="left" vertical="center" indent="1"/>
    </xf>
    <xf numFmtId="4" fontId="16" fillId="38" borderId="14" applyNumberFormat="0" applyProtection="0">
      <alignment horizontal="left" vertical="center" indent="1"/>
    </xf>
    <xf numFmtId="0" fontId="1" fillId="93" borderId="14" applyNumberFormat="0" applyProtection="0">
      <alignment horizontal="left" vertical="center" indent="1"/>
    </xf>
    <xf numFmtId="0" fontId="174" fillId="93" borderId="14" applyNumberFormat="0" applyProtection="0">
      <alignment horizontal="center" vertical="center"/>
    </xf>
    <xf numFmtId="0" fontId="180" fillId="0" borderId="0">
      <alignment vertical="center"/>
    </xf>
    <xf numFmtId="4" fontId="65" fillId="52" borderId="14" applyNumberFormat="0" applyProtection="0">
      <alignment horizontal="right" vertical="center"/>
    </xf>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78" fillId="0" borderId="25" applyNumberFormat="0" applyFill="0" applyAlignment="0" applyProtection="0"/>
    <xf numFmtId="0" fontId="143" fillId="82" borderId="0" applyNumberFormat="0" applyBorder="0" applyAlignment="0" applyProtection="0"/>
    <xf numFmtId="0" fontId="143" fillId="75" borderId="0" applyNumberFormat="0" applyBorder="0" applyAlignment="0" applyProtection="0"/>
    <xf numFmtId="0" fontId="169" fillId="0" borderId="12" applyNumberFormat="0" applyBorder="0" applyProtection="0">
      <alignment horizont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5"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96"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97"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96" applyNumberFormat="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5" applyNumberFormat="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49" fillId="0" borderId="97"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217" fontId="75" fillId="69"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164" fontId="75" fillId="0" borderId="0" applyFont="0" applyFill="0" applyBorder="0" applyAlignment="0" applyProtection="0"/>
    <xf numFmtId="217" fontId="75" fillId="0" borderId="0"/>
    <xf numFmtId="217" fontId="152"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67" fillId="0" borderId="0"/>
    <xf numFmtId="217" fontId="1" fillId="0" borderId="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7" fontId="130" fillId="0" borderId="0"/>
    <xf numFmtId="217" fontId="1" fillId="0" borderId="0">
      <alignment wrapText="1"/>
    </xf>
    <xf numFmtId="217" fontId="75" fillId="0" borderId="0"/>
    <xf numFmtId="217" fontId="1"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alignment wrapText="1"/>
    </xf>
    <xf numFmtId="217" fontId="75" fillId="0" borderId="0"/>
    <xf numFmtId="217" fontId="75" fillId="0" borderId="0"/>
    <xf numFmtId="217" fontId="1" fillId="0" borderId="0"/>
    <xf numFmtId="217" fontId="1" fillId="0" borderId="0"/>
    <xf numFmtId="217" fontId="156" fillId="0" borderId="0"/>
    <xf numFmtId="217" fontId="75" fillId="0" borderId="0"/>
    <xf numFmtId="217" fontId="75"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0"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0" fontId="78" fillId="0" borderId="25" applyNumberFormat="0" applyFill="0" applyAlignment="0" applyProtection="0"/>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170" fillId="0" borderId="101">
      <protection locked="0"/>
    </xf>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 fontId="16" fillId="52" borderId="14" applyNumberFormat="0" applyProtection="0">
      <alignment horizontal="right" vertical="center"/>
    </xf>
    <xf numFmtId="9" fontId="75" fillId="0" borderId="0" applyFont="0" applyFill="0" applyBorder="0" applyAlignment="0" applyProtection="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5"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96"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97"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1" fillId="0" borderId="0"/>
    <xf numFmtId="217" fontId="75" fillId="0" borderId="0"/>
    <xf numFmtId="217" fontId="36"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0" fontId="169" fillId="0" borderId="12" applyNumberFormat="0" applyBorder="0" applyProtection="0">
      <alignment horizontal="center"/>
    </xf>
    <xf numFmtId="0" fontId="143" fillId="86" borderId="0" applyNumberFormat="0" applyBorder="0" applyAlignment="0" applyProtection="0"/>
    <xf numFmtId="0" fontId="143" fillId="78" borderId="0" applyNumberFormat="0" applyBorder="0" applyAlignment="0" applyProtection="0"/>
    <xf numFmtId="0" fontId="143" fillId="71" borderId="0" applyNumberFormat="0" applyBorder="0" applyAlignment="0" applyProtection="0"/>
    <xf numFmtId="0" fontId="1" fillId="0" borderId="0"/>
    <xf numFmtId="0" fontId="143" fillId="67" borderId="0" applyNumberFormat="0" applyBorder="0" applyAlignment="0" applyProtection="0"/>
    <xf numFmtId="217" fontId="75"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230" fontId="181" fillId="105" borderId="103">
      <alignment vertical="center"/>
    </xf>
    <xf numFmtId="4" fontId="14" fillId="93" borderId="14" applyNumberFormat="0" applyProtection="0">
      <alignment vertical="center"/>
    </xf>
    <xf numFmtId="230" fontId="182" fillId="106" borderId="103">
      <alignment vertical="center"/>
    </xf>
    <xf numFmtId="4" fontId="151" fillId="40" borderId="14" applyNumberFormat="0" applyProtection="0">
      <alignment vertical="center"/>
    </xf>
    <xf numFmtId="230" fontId="183" fillId="107" borderId="103">
      <alignment horizontal="left" vertical="center" indent="1"/>
    </xf>
    <xf numFmtId="4" fontId="16" fillId="48" borderId="14" applyNumberFormat="0" applyProtection="0">
      <alignment horizontal="left" vertical="center" indent="1"/>
    </xf>
    <xf numFmtId="230" fontId="184" fillId="105" borderId="103">
      <alignment horizontal="center" vertical="center"/>
    </xf>
    <xf numFmtId="4" fontId="150" fillId="93" borderId="14" applyNumberFormat="0" applyProtection="0">
      <alignment horizontal="center" vertical="center"/>
    </xf>
    <xf numFmtId="230" fontId="185" fillId="105" borderId="103">
      <alignment horizontal="right" vertical="center"/>
    </xf>
    <xf numFmtId="0" fontId="174" fillId="93" borderId="14" applyNumberFormat="0" applyProtection="0">
      <alignment horizontal="right" vertical="center" indent="1"/>
    </xf>
    <xf numFmtId="230" fontId="183" fillId="108" borderId="103">
      <alignment horizontal="right" vertical="center"/>
    </xf>
    <xf numFmtId="4" fontId="16" fillId="94" borderId="14" applyNumberFormat="0" applyProtection="0">
      <alignment horizontal="right" vertical="center"/>
    </xf>
    <xf numFmtId="230" fontId="183" fillId="109" borderId="103">
      <alignment horizontal="right" vertical="center"/>
    </xf>
    <xf numFmtId="4" fontId="16" fillId="95" borderId="14" applyNumberFormat="0" applyProtection="0">
      <alignment horizontal="right" vertical="center"/>
    </xf>
    <xf numFmtId="230" fontId="183" fillId="110" borderId="103">
      <alignment horizontal="right" vertical="center"/>
    </xf>
    <xf numFmtId="4" fontId="16" fillId="96" borderId="14" applyNumberFormat="0" applyProtection="0">
      <alignment horizontal="right" vertical="center"/>
    </xf>
    <xf numFmtId="230" fontId="183" fillId="111" borderId="103">
      <alignment horizontal="right" vertical="center"/>
    </xf>
    <xf numFmtId="4" fontId="16" fillId="47" borderId="14" applyNumberFormat="0" applyProtection="0">
      <alignment horizontal="right" vertical="center"/>
    </xf>
    <xf numFmtId="230" fontId="183" fillId="112" borderId="103">
      <alignment horizontal="right" vertical="center"/>
    </xf>
    <xf numFmtId="4" fontId="16" fillId="97" borderId="14" applyNumberFormat="0" applyProtection="0">
      <alignment horizontal="right" vertical="center"/>
    </xf>
    <xf numFmtId="230" fontId="183" fillId="113" borderId="103">
      <alignment horizontal="right" vertical="center"/>
    </xf>
    <xf numFmtId="4" fontId="16" fillId="98" borderId="14" applyNumberFormat="0" applyProtection="0">
      <alignment horizontal="right" vertical="center"/>
    </xf>
    <xf numFmtId="230" fontId="183" fillId="114" borderId="103">
      <alignment horizontal="right" vertical="center"/>
    </xf>
    <xf numFmtId="4" fontId="16" fillId="99" borderId="14" applyNumberFormat="0" applyProtection="0">
      <alignment horizontal="right" vertical="center"/>
    </xf>
    <xf numFmtId="230" fontId="183" fillId="115" borderId="103">
      <alignment horizontal="right" vertical="center"/>
    </xf>
    <xf numFmtId="4" fontId="16" fillId="100" borderId="14" applyNumberFormat="0" applyProtection="0">
      <alignment horizontal="right" vertical="center"/>
    </xf>
    <xf numFmtId="230" fontId="183" fillId="116" borderId="103">
      <alignment horizontal="right" vertical="center"/>
    </xf>
    <xf numFmtId="4" fontId="16" fillId="101" borderId="14" applyNumberFormat="0" applyProtection="0">
      <alignment horizontal="right" vertical="center"/>
    </xf>
    <xf numFmtId="230" fontId="186" fillId="117" borderId="103">
      <alignment horizontal="left" vertical="center" indent="1"/>
    </xf>
    <xf numFmtId="4" fontId="41" fillId="102" borderId="14" applyNumberFormat="0" applyProtection="0">
      <alignment horizontal="left" vertical="center" indent="1"/>
    </xf>
    <xf numFmtId="230" fontId="183" fillId="118" borderId="104">
      <alignment horizontal="left" vertical="center" indent="1"/>
    </xf>
    <xf numFmtId="230" fontId="187" fillId="119" borderId="0">
      <alignment horizontal="left" vertical="center" indent="1"/>
    </xf>
    <xf numFmtId="230" fontId="188" fillId="105" borderId="103">
      <alignment horizontal="left" vertical="center" indent="1"/>
    </xf>
    <xf numFmtId="0" fontId="176" fillId="93" borderId="14" applyNumberFormat="0" applyProtection="0">
      <alignment horizontal="left" vertical="center" indent="1"/>
    </xf>
    <xf numFmtId="230" fontId="189" fillId="118" borderId="103">
      <alignment horizontal="left" vertical="center" indent="1"/>
    </xf>
    <xf numFmtId="4" fontId="177" fillId="52" borderId="14" applyNumberFormat="0" applyProtection="0">
      <alignment horizontal="left" vertical="center" indent="1"/>
    </xf>
    <xf numFmtId="230" fontId="190" fillId="120" borderId="103">
      <alignment horizontal="left" vertical="center" indent="1"/>
    </xf>
    <xf numFmtId="4" fontId="178" fillId="90" borderId="14" applyNumberFormat="0" applyProtection="0">
      <alignment horizontal="left" vertical="center" indent="1"/>
    </xf>
    <xf numFmtId="230" fontId="184" fillId="120" borderId="103">
      <alignment horizontal="left" vertical="center" indent="1"/>
    </xf>
    <xf numFmtId="0" fontId="150" fillId="90" borderId="14" applyNumberFormat="0" applyProtection="0">
      <alignment horizontal="left" vertical="center" indent="1"/>
    </xf>
    <xf numFmtId="0" fontId="150" fillId="90" borderId="14" applyNumberFormat="0" applyProtection="0">
      <alignment horizontal="left" vertical="center" indent="1"/>
    </xf>
    <xf numFmtId="230" fontId="191" fillId="120" borderId="103">
      <alignment horizontal="left" vertical="center" indent="1"/>
    </xf>
    <xf numFmtId="0" fontId="1" fillId="90" borderId="14" applyNumberFormat="0" applyProtection="0">
      <alignment horizontal="left" vertical="center" indent="1"/>
    </xf>
    <xf numFmtId="230" fontId="192" fillId="121" borderId="103">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1" fillId="106" borderId="103">
      <alignment horizontal="left" vertical="center" indent="1"/>
    </xf>
    <xf numFmtId="0" fontId="1" fillId="40" borderId="14" applyNumberFormat="0" applyProtection="0">
      <alignment horizontal="left" vertical="center" indent="1"/>
    </xf>
    <xf numFmtId="230" fontId="191" fillId="105" borderId="103">
      <alignment horizontal="left" vertical="center" indent="1"/>
    </xf>
    <xf numFmtId="0" fontId="1" fillId="93" borderId="14" applyNumberFormat="0" applyProtection="0">
      <alignment horizontal="left" vertical="center" indent="1"/>
    </xf>
    <xf numFmtId="230" fontId="191" fillId="105" borderId="103">
      <alignment horizontal="left" vertical="center" indent="1"/>
    </xf>
    <xf numFmtId="0" fontId="1" fillId="93" borderId="14" applyNumberFormat="0" applyProtection="0">
      <alignment horizontal="left" vertical="center" indent="1"/>
    </xf>
    <xf numFmtId="230" fontId="183" fillId="122" borderId="103">
      <alignment vertical="center"/>
    </xf>
    <xf numFmtId="4" fontId="16" fillId="38" borderId="14" applyNumberFormat="0" applyProtection="0">
      <alignment vertical="center"/>
    </xf>
    <xf numFmtId="230" fontId="193" fillId="122" borderId="103">
      <alignment vertical="center"/>
    </xf>
    <xf numFmtId="4" fontId="179" fillId="38" borderId="14" applyNumberFormat="0" applyProtection="0">
      <alignment vertical="center"/>
    </xf>
    <xf numFmtId="230" fontId="183" fillId="122" borderId="103">
      <alignment horizontal="left" vertical="center" indent="1"/>
    </xf>
    <xf numFmtId="4" fontId="16" fillId="38" borderId="14" applyNumberFormat="0" applyProtection="0">
      <alignment horizontal="left" vertical="center" indent="1"/>
    </xf>
    <xf numFmtId="230" fontId="183" fillId="122" borderId="103">
      <alignment horizontal="left" vertical="center" indent="1"/>
    </xf>
    <xf numFmtId="4" fontId="16" fillId="38" borderId="14" applyNumberFormat="0" applyProtection="0">
      <alignment horizontal="left" vertical="center" indent="1"/>
    </xf>
    <xf numFmtId="230" fontId="182" fillId="106" borderId="103">
      <alignment horizontal="right" vertical="center"/>
    </xf>
    <xf numFmtId="4" fontId="151" fillId="40" borderId="14" applyNumberFormat="0" applyProtection="0">
      <alignment horizontal="right" vertical="center"/>
    </xf>
    <xf numFmtId="230" fontId="191" fillId="105" borderId="103">
      <alignment horizontal="left" vertical="center" indent="1"/>
    </xf>
    <xf numFmtId="0" fontId="1" fillId="93" borderId="14" applyNumberFormat="0" applyProtection="0">
      <alignment horizontal="left" vertical="center" indent="1"/>
    </xf>
    <xf numFmtId="230" fontId="185" fillId="105" borderId="103">
      <alignment horizontal="center" vertical="center"/>
    </xf>
    <xf numFmtId="0" fontId="174" fillId="93" borderId="14" applyNumberFormat="0" applyProtection="0">
      <alignment horizontal="center" vertical="center"/>
    </xf>
    <xf numFmtId="230" fontId="194" fillId="0" borderId="0">
      <alignment vertical="center"/>
    </xf>
    <xf numFmtId="230" fontId="195" fillId="118" borderId="103">
      <alignment horizontal="right" vertical="center"/>
    </xf>
    <xf numFmtId="4" fontId="65" fillId="52" borderId="14" applyNumberFormat="0" applyProtection="0">
      <alignment horizontal="right" vertical="center"/>
    </xf>
    <xf numFmtId="43" fontId="75" fillId="0" borderId="0" applyFont="0" applyFill="0" applyBorder="0" applyAlignment="0" applyProtection="0"/>
    <xf numFmtId="164" fontId="75" fillId="0" borderId="0" applyFont="0" applyFill="0" applyBorder="0" applyAlignment="0" applyProtection="0"/>
    <xf numFmtId="217" fontId="78" fillId="0" borderId="25" applyNumberFormat="0" applyFill="0" applyAlignment="0" applyProtection="0"/>
    <xf numFmtId="232" fontId="181" fillId="118" borderId="103">
      <alignment horizontal="right" vertical="center"/>
    </xf>
    <xf numFmtId="230" fontId="196" fillId="0" borderId="0">
      <alignment horizontal="center" textRotation="90"/>
    </xf>
    <xf numFmtId="230" fontId="191" fillId="0" borderId="0"/>
    <xf numFmtId="230" fontId="196" fillId="0" borderId="0">
      <alignment horizontal="center"/>
    </xf>
    <xf numFmtId="231" fontId="197" fillId="0" borderId="0"/>
    <xf numFmtId="0" fontId="130" fillId="0" borderId="0"/>
    <xf numFmtId="230" fontId="197" fillId="0" borderId="0"/>
    <xf numFmtId="164" fontId="75" fillId="0" borderId="0" applyFont="0" applyFill="0" applyBorder="0" applyAlignment="0" applyProtection="0"/>
    <xf numFmtId="0" fontId="1" fillId="0" borderId="0"/>
    <xf numFmtId="43" fontId="75"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8"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5" fillId="0" borderId="0"/>
    <xf numFmtId="0" fontId="75" fillId="0" borderId="0"/>
    <xf numFmtId="0" fontId="75" fillId="0" borderId="0"/>
  </cellStyleXfs>
  <cellXfs count="465">
    <xf numFmtId="0" fontId="0" fillId="0" borderId="0" xfId="0"/>
    <xf numFmtId="0" fontId="103" fillId="62" borderId="0" xfId="762" applyFont="1">
      <alignment vertical="center"/>
    </xf>
    <xf numFmtId="0" fontId="100" fillId="62" borderId="0" xfId="762">
      <alignment vertical="center"/>
    </xf>
    <xf numFmtId="0" fontId="99" fillId="62" borderId="0" xfId="764"/>
    <xf numFmtId="165" fontId="99" fillId="0" borderId="35" xfId="760" applyNumberFormat="1" applyFont="1">
      <alignment horizontal="right" vertical="center" indent="1"/>
    </xf>
    <xf numFmtId="165" fontId="0" fillId="0" borderId="0" xfId="0" applyNumberFormat="1"/>
    <xf numFmtId="0" fontId="105" fillId="61" borderId="37" xfId="756" applyFont="1" applyBorder="1">
      <alignment horizontal="left" vertical="center" wrapText="1" indent="1" readingOrder="1"/>
    </xf>
    <xf numFmtId="165" fontId="106" fillId="61" borderId="38" xfId="757" applyNumberFormat="1" applyFont="1" applyBorder="1">
      <alignment horizontal="right" vertical="center" indent="1"/>
    </xf>
    <xf numFmtId="165" fontId="106" fillId="61" borderId="38" xfId="758" applyFont="1" applyBorder="1">
      <alignment horizontal="right" vertical="center" indent="1"/>
    </xf>
    <xf numFmtId="0" fontId="99" fillId="0" borderId="0" xfId="761" applyBorder="1"/>
    <xf numFmtId="0" fontId="98" fillId="62" borderId="0" xfId="495" applyFont="1" applyFill="1"/>
    <xf numFmtId="166" fontId="80" fillId="0" borderId="0" xfId="559" applyNumberFormat="1" applyFont="1" applyAlignment="1">
      <alignment horizontal="right"/>
    </xf>
    <xf numFmtId="0" fontId="97" fillId="0" borderId="0" xfId="469" applyFont="1"/>
    <xf numFmtId="166" fontId="80" fillId="0" borderId="0" xfId="469" quotePrefix="1" applyNumberFormat="1" applyFont="1" applyAlignment="1">
      <alignment horizontal="right"/>
    </xf>
    <xf numFmtId="0" fontId="107" fillId="62" borderId="0" xfId="495" applyFont="1" applyFill="1"/>
    <xf numFmtId="0" fontId="108" fillId="62" borderId="0" xfId="495" applyFont="1" applyFill="1"/>
    <xf numFmtId="166" fontId="108" fillId="0" borderId="0" xfId="559" applyNumberFormat="1" applyFont="1" applyAlignment="1">
      <alignment horizontal="right"/>
    </xf>
    <xf numFmtId="0" fontId="109" fillId="61" borderId="32" xfId="756" applyFont="1">
      <alignment horizontal="left" vertical="center" wrapText="1" indent="1" readingOrder="1"/>
    </xf>
    <xf numFmtId="165" fontId="106" fillId="61" borderId="33" xfId="757" applyNumberFormat="1" applyFont="1">
      <alignment horizontal="right" vertical="center" indent="1"/>
    </xf>
    <xf numFmtId="165" fontId="99" fillId="0" borderId="39" xfId="760" applyNumberFormat="1" applyFont="1" applyBorder="1">
      <alignment horizontal="right" vertical="center" indent="1"/>
    </xf>
    <xf numFmtId="0" fontId="1" fillId="62" borderId="0" xfId="495" applyFill="1"/>
    <xf numFmtId="165" fontId="110" fillId="0" borderId="0" xfId="488" applyNumberFormat="1" applyFont="1" applyAlignment="1">
      <alignment vertical="center"/>
    </xf>
    <xf numFmtId="0" fontId="104" fillId="63" borderId="40" xfId="755" applyFont="1" applyFill="1" applyBorder="1">
      <alignment horizontal="center" vertical="center" wrapText="1" readingOrder="1"/>
    </xf>
    <xf numFmtId="168" fontId="2" fillId="62" borderId="0" xfId="495" applyNumberFormat="1" applyFont="1" applyFill="1"/>
    <xf numFmtId="165" fontId="106" fillId="61" borderId="41" xfId="757" applyNumberFormat="1" applyFont="1" applyBorder="1">
      <alignment horizontal="right" vertical="center" indent="1"/>
    </xf>
    <xf numFmtId="165" fontId="106" fillId="61" borderId="42" xfId="757" applyNumberFormat="1" applyFont="1" applyBorder="1">
      <alignment horizontal="right" vertical="center" indent="1"/>
    </xf>
    <xf numFmtId="165" fontId="106" fillId="61" borderId="44" xfId="757" applyNumberFormat="1" applyFont="1" applyBorder="1">
      <alignment horizontal="right" vertical="center" indent="1"/>
    </xf>
    <xf numFmtId="165" fontId="108" fillId="0" borderId="0" xfId="515" applyNumberFormat="1" applyFont="1" applyAlignment="1" applyProtection="1">
      <alignment vertical="center"/>
      <protection locked="0"/>
    </xf>
    <xf numFmtId="164" fontId="108" fillId="0" borderId="0" xfId="939" applyFont="1" applyFill="1" applyAlignment="1" applyProtection="1">
      <alignment vertical="center"/>
      <protection locked="0"/>
    </xf>
    <xf numFmtId="0" fontId="105" fillId="61" borderId="32" xfId="756" applyFont="1">
      <alignment horizontal="left" vertical="center" wrapText="1" indent="1" readingOrder="1"/>
    </xf>
    <xf numFmtId="165" fontId="4" fillId="0" borderId="0" xfId="515" applyNumberFormat="1" applyFont="1" applyAlignment="1">
      <alignment vertical="center"/>
    </xf>
    <xf numFmtId="164" fontId="108" fillId="0" borderId="0" xfId="939" applyFont="1" applyFill="1" applyProtection="1">
      <protection locked="0"/>
    </xf>
    <xf numFmtId="0" fontId="75" fillId="0" borderId="0" xfId="709"/>
    <xf numFmtId="0" fontId="1" fillId="50" borderId="0" xfId="495" applyFill="1" applyAlignment="1">
      <alignment vertical="center"/>
    </xf>
    <xf numFmtId="0" fontId="113" fillId="0" borderId="0" xfId="423" applyFont="1" applyFill="1"/>
    <xf numFmtId="0" fontId="1" fillId="0" borderId="0" xfId="495" applyAlignment="1">
      <alignment vertical="center"/>
    </xf>
    <xf numFmtId="0" fontId="83" fillId="0" borderId="0" xfId="349" applyFill="1" applyAlignment="1">
      <alignment vertical="center"/>
    </xf>
    <xf numFmtId="165" fontId="114" fillId="62" borderId="48" xfId="141" applyNumberFormat="1" applyFont="1" applyFill="1" applyBorder="1" applyAlignment="1">
      <alignment horizontal="center" vertical="center" wrapText="1"/>
    </xf>
    <xf numFmtId="165" fontId="115"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2" applyNumberFormat="1" applyFont="1" applyFill="1" applyAlignment="1">
      <alignment vertical="center"/>
    </xf>
    <xf numFmtId="177" fontId="5" fillId="50" borderId="0" xfId="822" applyNumberFormat="1" applyFont="1" applyFill="1" applyAlignment="1">
      <alignment horizontal="right" vertical="center" wrapText="1"/>
    </xf>
    <xf numFmtId="165" fontId="5" fillId="62" borderId="0" xfId="660" applyNumberFormat="1" applyFont="1" applyFill="1" applyAlignment="1">
      <alignment vertical="center"/>
    </xf>
    <xf numFmtId="0" fontId="116" fillId="0" borderId="0" xfId="763" applyFont="1">
      <alignment horizontal="center" vertical="top" wrapText="1"/>
    </xf>
    <xf numFmtId="0" fontId="76" fillId="0" borderId="0" xfId="0" applyFont="1"/>
    <xf numFmtId="3" fontId="5" fillId="50" borderId="0" xfId="660" applyNumberFormat="1" applyFont="1" applyFill="1" applyAlignment="1">
      <alignment vertical="center"/>
    </xf>
    <xf numFmtId="165" fontId="108" fillId="0" borderId="0" xfId="488" applyNumberFormat="1" applyFont="1" applyAlignment="1" applyProtection="1">
      <alignment vertical="center"/>
      <protection locked="0"/>
    </xf>
    <xf numFmtId="0" fontId="117" fillId="0" borderId="0" xfId="488" applyFont="1" applyProtection="1">
      <protection locked="0"/>
    </xf>
    <xf numFmtId="0" fontId="108" fillId="0" borderId="0" xfId="488" applyFont="1" applyProtection="1">
      <protection locked="0"/>
    </xf>
    <xf numFmtId="0" fontId="6" fillId="0" borderId="0" xfId="580" applyFont="1"/>
    <xf numFmtId="165" fontId="6" fillId="0" borderId="0" xfId="580" applyNumberFormat="1" applyFont="1"/>
    <xf numFmtId="0" fontId="118" fillId="0" borderId="0" xfId="580" applyFont="1"/>
    <xf numFmtId="165" fontId="120" fillId="0" borderId="0" xfId="515" applyNumberFormat="1" applyFont="1" applyAlignment="1">
      <alignment vertical="center"/>
    </xf>
    <xf numFmtId="0" fontId="120" fillId="0" borderId="0" xfId="580" applyFont="1"/>
    <xf numFmtId="0" fontId="4" fillId="0" borderId="0" xfId="537" applyFont="1"/>
    <xf numFmtId="0" fontId="1" fillId="0" borderId="0" xfId="471"/>
    <xf numFmtId="164" fontId="107" fillId="0" borderId="0" xfId="939" applyFont="1" applyFill="1"/>
    <xf numFmtId="2" fontId="6" fillId="0" borderId="0" xfId="580" applyNumberFormat="1" applyFont="1" applyAlignment="1">
      <alignment vertical="justify" wrapText="1"/>
    </xf>
    <xf numFmtId="165" fontId="118" fillId="0" borderId="0" xfId="580" applyNumberFormat="1" applyFont="1" applyAlignment="1">
      <alignment vertical="center" wrapText="1"/>
    </xf>
    <xf numFmtId="0" fontId="121" fillId="0" borderId="0" xfId="580" applyFont="1" applyAlignment="1">
      <alignment horizontal="left" vertical="center" wrapText="1"/>
    </xf>
    <xf numFmtId="0" fontId="119" fillId="0" borderId="0" xfId="580" applyFont="1" applyAlignment="1">
      <alignment vertical="top" wrapText="1"/>
    </xf>
    <xf numFmtId="0" fontId="121"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99" fillId="0" borderId="0" xfId="580" applyFont="1" applyAlignment="1">
      <alignment vertical="top" wrapText="1"/>
    </xf>
    <xf numFmtId="169" fontId="120"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0"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0" fillId="0" borderId="0" xfId="559" applyNumberFormat="1" applyFont="1" applyAlignment="1">
      <alignment horizontal="right"/>
    </xf>
    <xf numFmtId="0" fontId="2" fillId="0" borderId="0" xfId="471" applyFont="1"/>
    <xf numFmtId="166" fontId="75" fillId="0" borderId="0" xfId="486" applyNumberFormat="1"/>
    <xf numFmtId="166" fontId="75" fillId="62" borderId="0" xfId="486" applyNumberFormat="1" applyFill="1"/>
    <xf numFmtId="174" fontId="75" fillId="62" borderId="0" xfId="963" applyNumberFormat="1" applyFont="1" applyFill="1"/>
    <xf numFmtId="174" fontId="1" fillId="62" borderId="0" xfId="963" applyNumberFormat="1" applyFont="1" applyFill="1"/>
    <xf numFmtId="0" fontId="1" fillId="62" borderId="0" xfId="471" applyFill="1"/>
    <xf numFmtId="0" fontId="10" fillId="0" borderId="0" xfId="471" applyFont="1"/>
    <xf numFmtId="0" fontId="10" fillId="62" borderId="0" xfId="471" applyFont="1" applyFill="1"/>
    <xf numFmtId="165" fontId="123" fillId="0" borderId="0" xfId="495" applyNumberFormat="1" applyFont="1" applyAlignment="1">
      <alignment horizontal="right" vertical="center"/>
    </xf>
    <xf numFmtId="0" fontId="99" fillId="0" borderId="0" xfId="0" applyFont="1"/>
    <xf numFmtId="165" fontId="4" fillId="0" borderId="0" xfId="495" applyNumberFormat="1" applyFont="1" applyAlignment="1">
      <alignment horizontal="left" vertical="center"/>
    </xf>
    <xf numFmtId="0" fontId="108"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4" fillId="62" borderId="0" xfId="679" applyFill="1"/>
    <xf numFmtId="0" fontId="105"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6" fillId="0" borderId="0" xfId="471" applyFont="1"/>
    <xf numFmtId="165" fontId="127" fillId="62" borderId="0" xfId="538" quotePrefix="1" applyNumberFormat="1" applyFont="1" applyFill="1" applyAlignment="1">
      <alignment vertical="top"/>
    </xf>
    <xf numFmtId="0" fontId="128" fillId="62" borderId="0" xfId="762"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27" fillId="0" borderId="0" xfId="471" applyNumberFormat="1" applyFont="1" applyAlignment="1">
      <alignment vertical="center"/>
    </xf>
    <xf numFmtId="165" fontId="127" fillId="0" borderId="0" xfId="471" quotePrefix="1" applyNumberFormat="1" applyFont="1" applyAlignment="1">
      <alignment vertical="center"/>
    </xf>
    <xf numFmtId="165" fontId="4" fillId="0" borderId="0" xfId="488" applyNumberFormat="1" applyFont="1" applyAlignment="1">
      <alignment vertical="center"/>
    </xf>
    <xf numFmtId="165" fontId="129" fillId="0" borderId="0" xfId="488" applyNumberFormat="1" applyFont="1" applyAlignment="1">
      <alignment horizontal="left" vertical="center"/>
    </xf>
    <xf numFmtId="0" fontId="130" fillId="0" borderId="0" xfId="471" applyFont="1"/>
    <xf numFmtId="165" fontId="131" fillId="0" borderId="0" xfId="488" applyNumberFormat="1" applyFont="1" applyAlignment="1">
      <alignment vertical="center"/>
    </xf>
    <xf numFmtId="165" fontId="124" fillId="0" borderId="0" xfId="488" applyNumberFormat="1" applyFont="1" applyAlignment="1">
      <alignment horizontal="right" vertical="center"/>
    </xf>
    <xf numFmtId="165" fontId="108" fillId="61" borderId="50" xfId="757" applyNumberFormat="1" applyFont="1" applyBorder="1">
      <alignment horizontal="right" vertical="center" indent="1"/>
    </xf>
    <xf numFmtId="165" fontId="106" fillId="61" borderId="50" xfId="757" applyNumberFormat="1" applyFont="1" applyBorder="1">
      <alignment horizontal="right" vertical="center" indent="1"/>
    </xf>
    <xf numFmtId="0" fontId="104" fillId="63" borderId="51" xfId="755" applyFont="1" applyFill="1" applyBorder="1" applyAlignment="1">
      <alignment vertical="center" wrapText="1" readingOrder="1"/>
    </xf>
    <xf numFmtId="0" fontId="4" fillId="0" borderId="0" xfId="488" applyFont="1" applyAlignment="1">
      <alignment vertical="center"/>
    </xf>
    <xf numFmtId="0" fontId="125" fillId="0" borderId="0" xfId="471" applyFont="1"/>
    <xf numFmtId="0" fontId="120" fillId="0" borderId="0" xfId="930" applyNumberFormat="1" applyFont="1" applyFill="1" applyAlignment="1">
      <alignment vertical="center"/>
    </xf>
    <xf numFmtId="165" fontId="13" fillId="0" borderId="0" xfId="711" applyNumberFormat="1" applyFont="1" applyAlignment="1">
      <alignment vertical="center"/>
    </xf>
    <xf numFmtId="0" fontId="99" fillId="0" borderId="0" xfId="761" applyBorder="1" applyAlignment="1">
      <alignment wrapText="1"/>
    </xf>
    <xf numFmtId="0" fontId="103" fillId="0" borderId="0" xfId="762" applyFont="1" applyFill="1">
      <alignment vertical="center"/>
    </xf>
    <xf numFmtId="0" fontId="100" fillId="0" borderId="0" xfId="762" applyFill="1">
      <alignment vertical="center"/>
    </xf>
    <xf numFmtId="0" fontId="99" fillId="0" borderId="0" xfId="764" applyFill="1"/>
    <xf numFmtId="0" fontId="104" fillId="63" borderId="52" xfId="755" applyFont="1" applyFill="1" applyBorder="1">
      <alignment horizontal="center" vertical="center" wrapText="1" readingOrder="1"/>
    </xf>
    <xf numFmtId="178" fontId="99" fillId="62" borderId="0" xfId="764" applyNumberFormat="1"/>
    <xf numFmtId="0" fontId="0" fillId="0" borderId="0" xfId="0" applyAlignment="1">
      <alignment horizontal="left" indent="1"/>
    </xf>
    <xf numFmtId="0" fontId="104" fillId="63" borderId="31" xfId="755" applyFont="1" applyFill="1">
      <alignment horizontal="center" vertical="center" wrapText="1" readingOrder="1"/>
    </xf>
    <xf numFmtId="0" fontId="99" fillId="0" borderId="34" xfId="759" applyFont="1" applyAlignment="1">
      <alignment horizontal="left" vertical="center" indent="2"/>
    </xf>
    <xf numFmtId="0" fontId="133" fillId="63" borderId="40" xfId="755" applyFont="1" applyFill="1" applyBorder="1">
      <alignment horizontal="center" vertical="center" wrapText="1" readingOrder="1"/>
    </xf>
    <xf numFmtId="0" fontId="104" fillId="63" borderId="55" xfId="755" applyFont="1" applyFill="1" applyBorder="1">
      <alignment horizontal="center" vertical="center" wrapText="1" readingOrder="1"/>
    </xf>
    <xf numFmtId="0" fontId="111"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0" applyFont="1" applyFill="1" applyAlignment="1">
      <alignment vertical="center"/>
    </xf>
    <xf numFmtId="165" fontId="134" fillId="0" borderId="35" xfId="760" applyNumberFormat="1" applyFont="1">
      <alignment horizontal="right" vertical="center" indent="1"/>
    </xf>
    <xf numFmtId="165" fontId="4" fillId="0" borderId="0" xfId="537" applyNumberFormat="1" applyFont="1" applyAlignment="1">
      <alignment vertical="top"/>
    </xf>
    <xf numFmtId="165" fontId="108" fillId="61" borderId="34" xfId="757" applyNumberFormat="1" applyFont="1" applyBorder="1">
      <alignment horizontal="right" vertical="center" indent="1"/>
    </xf>
    <xf numFmtId="0" fontId="98" fillId="62" borderId="0" xfId="536" applyFont="1" applyFill="1"/>
    <xf numFmtId="0" fontId="10" fillId="0" borderId="0" xfId="708" applyFont="1" applyAlignment="1">
      <alignment vertical="center"/>
    </xf>
    <xf numFmtId="0" fontId="99" fillId="62" borderId="0" xfId="536" applyFont="1" applyFill="1"/>
    <xf numFmtId="0" fontId="99" fillId="0" borderId="0" xfId="536" applyFont="1"/>
    <xf numFmtId="165" fontId="106"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129" fillId="0" borderId="0" xfId="488" applyFont="1" applyAlignment="1">
      <alignment horizontal="left" vertical="center"/>
    </xf>
    <xf numFmtId="0" fontId="99" fillId="0" borderId="0" xfId="0" applyFont="1" applyAlignment="1">
      <alignment horizontal="justify" vertical="center"/>
    </xf>
    <xf numFmtId="173" fontId="108" fillId="0" borderId="0" xfId="939" applyNumberFormat="1" applyFont="1" applyFill="1" applyProtection="1">
      <protection locked="0"/>
    </xf>
    <xf numFmtId="165" fontId="4" fillId="0" borderId="0" xfId="537" applyNumberFormat="1" applyFont="1" applyAlignment="1">
      <alignment vertical="center"/>
    </xf>
    <xf numFmtId="165" fontId="118" fillId="0" borderId="0" xfId="537" applyNumberFormat="1" applyFont="1" applyAlignment="1">
      <alignment vertical="center"/>
    </xf>
    <xf numFmtId="172" fontId="118" fillId="0" borderId="0" xfId="580" applyNumberFormat="1" applyFont="1"/>
    <xf numFmtId="165" fontId="80" fillId="0" borderId="0" xfId="538" applyNumberFormat="1" applyFont="1" applyAlignment="1">
      <alignment horizontal="left" vertical="top"/>
    </xf>
    <xf numFmtId="0" fontId="136" fillId="0" borderId="0" xfId="471" applyFont="1"/>
    <xf numFmtId="165" fontId="4" fillId="0" borderId="0" xfId="515" applyNumberFormat="1" applyFont="1" applyAlignment="1" applyProtection="1">
      <alignment vertical="center"/>
      <protection locked="0"/>
    </xf>
    <xf numFmtId="165" fontId="108" fillId="0" borderId="0" xfId="495" applyNumberFormat="1" applyFont="1" applyAlignment="1" applyProtection="1">
      <alignment vertical="center"/>
      <protection locked="0"/>
    </xf>
    <xf numFmtId="165" fontId="99" fillId="0" borderId="0" xfId="761" applyNumberFormat="1" applyBorder="1"/>
    <xf numFmtId="178" fontId="118" fillId="0" borderId="0" xfId="580" applyNumberFormat="1" applyFont="1" applyAlignment="1">
      <alignment vertical="center" wrapText="1"/>
    </xf>
    <xf numFmtId="178" fontId="118" fillId="0" borderId="0" xfId="580" applyNumberFormat="1" applyFont="1"/>
    <xf numFmtId="167" fontId="107" fillId="0" borderId="0" xfId="495" applyNumberFormat="1" applyFont="1"/>
    <xf numFmtId="167" fontId="99" fillId="0" borderId="0" xfId="495" applyNumberFormat="1" applyFont="1"/>
    <xf numFmtId="168" fontId="2" fillId="0" borderId="0" xfId="495" applyNumberFormat="1" applyFont="1"/>
    <xf numFmtId="165" fontId="2" fillId="0" borderId="0" xfId="471" applyNumberFormat="1" applyFont="1"/>
    <xf numFmtId="0" fontId="99" fillId="62" borderId="0" xfId="761" applyFill="1" applyBorder="1"/>
    <xf numFmtId="0" fontId="120" fillId="0" borderId="0" xfId="471" quotePrefix="1" applyFont="1" applyAlignment="1">
      <alignment wrapText="1"/>
    </xf>
    <xf numFmtId="179" fontId="2" fillId="0" borderId="0" xfId="471" applyNumberFormat="1" applyFont="1"/>
    <xf numFmtId="0" fontId="99" fillId="0" borderId="0" xfId="0" applyFont="1" applyAlignment="1">
      <alignment vertical="center" wrapText="1"/>
    </xf>
    <xf numFmtId="165" fontId="108" fillId="0" borderId="0" xfId="538" quotePrefix="1" applyNumberFormat="1" applyFont="1" applyAlignment="1">
      <alignment vertical="top"/>
    </xf>
    <xf numFmtId="0" fontId="104" fillId="63" borderId="59" xfId="755" applyFont="1" applyFill="1" applyBorder="1">
      <alignment horizontal="center" vertical="center" wrapText="1" readingOrder="1"/>
    </xf>
    <xf numFmtId="4" fontId="99" fillId="0" borderId="0" xfId="761" applyNumberFormat="1" applyBorder="1"/>
    <xf numFmtId="165" fontId="4" fillId="0" borderId="0" xfId="495" applyNumberFormat="1" applyFont="1"/>
    <xf numFmtId="165" fontId="106" fillId="61" borderId="62" xfId="757" applyNumberFormat="1" applyFont="1" applyBorder="1">
      <alignment horizontal="right" vertical="center" indent="1"/>
    </xf>
    <xf numFmtId="165" fontId="106" fillId="61" borderId="63" xfId="757" applyNumberFormat="1" applyFont="1" applyBorder="1" applyAlignment="1">
      <alignment vertical="center"/>
    </xf>
    <xf numFmtId="0" fontId="99" fillId="0" borderId="34" xfId="759" applyFont="1" applyAlignment="1">
      <alignment horizontal="left" vertical="center" indent="3"/>
    </xf>
    <xf numFmtId="0" fontId="99" fillId="0" borderId="56" xfId="759" applyFont="1" applyBorder="1" applyAlignment="1">
      <alignment horizontal="left" vertical="center" indent="2"/>
    </xf>
    <xf numFmtId="0" fontId="134" fillId="0" borderId="34" xfId="759" applyFont="1">
      <alignment horizontal="left" vertical="center" indent="1"/>
    </xf>
    <xf numFmtId="0" fontId="104" fillId="63" borderId="54" xfId="755" applyFont="1" applyFill="1" applyBorder="1">
      <alignment horizontal="center" vertical="center" wrapText="1" readingOrder="1"/>
    </xf>
    <xf numFmtId="0" fontId="104"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134" fillId="0" borderId="0" xfId="760" applyNumberFormat="1" applyFont="1" applyBorder="1">
      <alignment horizontal="right" vertical="center" indent="1"/>
    </xf>
    <xf numFmtId="165" fontId="99" fillId="0" borderId="0" xfId="760" applyNumberFormat="1" applyFont="1" applyBorder="1">
      <alignment horizontal="right" vertical="center" indent="1"/>
    </xf>
    <xf numFmtId="165" fontId="106" fillId="0" borderId="0" xfId="757" applyNumberFormat="1" applyFont="1" applyFill="1" applyBorder="1">
      <alignment horizontal="right" vertical="center" indent="1"/>
    </xf>
    <xf numFmtId="0" fontId="141" fillId="0" borderId="0" xfId="0" applyFont="1" applyAlignment="1">
      <alignment horizontal="left" vertical="center" indent="4"/>
    </xf>
    <xf numFmtId="0" fontId="75" fillId="0" borderId="0" xfId="709" applyAlignment="1">
      <alignment horizontal="left" vertical="center" indent="4"/>
    </xf>
    <xf numFmtId="0" fontId="142" fillId="0" borderId="0" xfId="0" applyFont="1" applyAlignment="1">
      <alignment horizontal="left" indent="4"/>
    </xf>
    <xf numFmtId="0" fontId="75" fillId="0" borderId="0" xfId="709" applyAlignment="1">
      <alignment horizontal="left" indent="4"/>
    </xf>
    <xf numFmtId="171" fontId="108" fillId="0" borderId="0" xfId="939" applyNumberFormat="1" applyFont="1" applyFill="1" applyAlignment="1" applyProtection="1">
      <alignment vertical="center"/>
      <protection locked="0"/>
    </xf>
    <xf numFmtId="165" fontId="108" fillId="61" borderId="92" xfId="757" applyNumberFormat="1" applyFont="1" applyBorder="1">
      <alignment horizontal="right" vertical="center" indent="1"/>
    </xf>
    <xf numFmtId="165" fontId="106" fillId="61" borderId="92" xfId="757" applyNumberFormat="1" applyFont="1" applyBorder="1">
      <alignment horizontal="right" vertical="center" indent="1"/>
    </xf>
    <xf numFmtId="0" fontId="143" fillId="0" borderId="0" xfId="0" applyFont="1"/>
    <xf numFmtId="0" fontId="0" fillId="62" borderId="0" xfId="0" applyFill="1"/>
    <xf numFmtId="0" fontId="108" fillId="62" borderId="0" xfId="471" applyFont="1" applyFill="1" applyAlignment="1">
      <alignment vertical="center" wrapText="1"/>
    </xf>
    <xf numFmtId="0" fontId="127" fillId="62" borderId="0" xfId="471" applyFont="1" applyFill="1" applyAlignment="1">
      <alignment vertical="center"/>
    </xf>
    <xf numFmtId="3" fontId="4" fillId="0" borderId="0" xfId="471" applyNumberFormat="1" applyFont="1" applyAlignment="1">
      <alignment vertical="center"/>
    </xf>
    <xf numFmtId="165" fontId="124" fillId="0" borderId="0" xfId="471" quotePrefix="1" applyNumberFormat="1" applyFont="1" applyAlignment="1">
      <alignment vertical="center"/>
    </xf>
    <xf numFmtId="0" fontId="99" fillId="0" borderId="34" xfId="759" applyFont="1" applyAlignment="1">
      <alignment horizontal="left" vertical="center"/>
    </xf>
    <xf numFmtId="3" fontId="99" fillId="0" borderId="35" xfId="760" applyFont="1">
      <alignment horizontal="right" vertical="center" indent="1"/>
    </xf>
    <xf numFmtId="165" fontId="112" fillId="0" borderId="0" xfId="471" applyNumberFormat="1" applyFont="1" applyAlignment="1">
      <alignment vertical="center"/>
    </xf>
    <xf numFmtId="0" fontId="124" fillId="0" borderId="0" xfId="471" quotePrefix="1" applyFont="1" applyAlignment="1">
      <alignment vertical="center"/>
    </xf>
    <xf numFmtId="0" fontId="124" fillId="0" borderId="0" xfId="471" applyFont="1" applyAlignment="1">
      <alignment vertical="center"/>
    </xf>
    <xf numFmtId="0" fontId="122" fillId="0" borderId="0" xfId="471" applyFont="1"/>
    <xf numFmtId="0" fontId="200" fillId="0" borderId="47" xfId="423" applyFont="1" applyBorder="1" applyAlignment="1">
      <alignment horizontal="justify"/>
    </xf>
    <xf numFmtId="0" fontId="135" fillId="0" borderId="0" xfId="0" applyFont="1" applyAlignment="1">
      <alignment horizontal="left" vertical="center" indent="1"/>
    </xf>
    <xf numFmtId="0" fontId="199" fillId="0" borderId="0" xfId="0" applyFont="1" applyAlignment="1">
      <alignment horizontal="left" vertical="center" indent="2"/>
    </xf>
    <xf numFmtId="0" fontId="99" fillId="0" borderId="48" xfId="0" applyFont="1" applyBorder="1" applyAlignment="1">
      <alignment horizontal="left" vertical="center" indent="2"/>
    </xf>
    <xf numFmtId="172" fontId="6" fillId="0" borderId="0" xfId="580" applyNumberFormat="1" applyFont="1"/>
    <xf numFmtId="2" fontId="6" fillId="0" borderId="0" xfId="583" applyNumberFormat="1" applyFont="1" applyAlignment="1">
      <alignment vertical="center" wrapText="1"/>
    </xf>
    <xf numFmtId="164" fontId="94" fillId="62" borderId="0" xfId="930" applyFont="1" applyFill="1"/>
    <xf numFmtId="165" fontId="10" fillId="0" borderId="0" xfId="471" applyNumberFormat="1" applyFont="1"/>
    <xf numFmtId="165" fontId="118" fillId="0" borderId="0" xfId="537" applyNumberFormat="1" applyFont="1" applyAlignment="1">
      <alignment vertical="top"/>
    </xf>
    <xf numFmtId="0" fontId="202" fillId="0" borderId="0" xfId="471" applyFont="1" applyAlignment="1">
      <alignment vertical="center"/>
    </xf>
    <xf numFmtId="0" fontId="202" fillId="0" borderId="0" xfId="471" applyFont="1" applyAlignment="1">
      <alignment horizontal="left" vertical="center"/>
    </xf>
    <xf numFmtId="165" fontId="118" fillId="0" borderId="0" xfId="515" applyNumberFormat="1" applyFont="1" applyAlignment="1">
      <alignment vertical="center"/>
    </xf>
    <xf numFmtId="165" fontId="118" fillId="0" borderId="0" xfId="488" applyNumberFormat="1" applyFont="1" applyAlignment="1">
      <alignment vertical="center"/>
    </xf>
    <xf numFmtId="164" fontId="118" fillId="0" borderId="0" xfId="930" applyFont="1" applyFill="1" applyAlignment="1">
      <alignment vertical="center"/>
    </xf>
    <xf numFmtId="0" fontId="102" fillId="0" borderId="0" xfId="0" applyFont="1"/>
    <xf numFmtId="0" fontId="203" fillId="0" borderId="0" xfId="580" applyFont="1"/>
    <xf numFmtId="164" fontId="203" fillId="0" borderId="0" xfId="930" applyFont="1" applyFill="1" applyAlignment="1">
      <alignment vertical="center"/>
    </xf>
    <xf numFmtId="164" fontId="204" fillId="0" borderId="0" xfId="930" applyFont="1" applyFill="1" applyAlignment="1">
      <alignment vertical="center"/>
    </xf>
    <xf numFmtId="164" fontId="204" fillId="0" borderId="0" xfId="930" applyFont="1" applyFill="1" applyAlignment="1">
      <alignment horizontal="left" vertical="center"/>
    </xf>
    <xf numFmtId="164" fontId="203" fillId="0" borderId="0" xfId="930" applyFont="1" applyFill="1" applyBorder="1" applyAlignment="1">
      <alignment vertical="center"/>
    </xf>
    <xf numFmtId="165" fontId="203" fillId="0" borderId="0" xfId="488" applyNumberFormat="1" applyFont="1" applyAlignment="1">
      <alignment vertical="center"/>
    </xf>
    <xf numFmtId="0" fontId="205" fillId="0" borderId="0" xfId="0" applyFont="1"/>
    <xf numFmtId="164" fontId="203" fillId="0" borderId="0" xfId="930" applyFont="1" applyFill="1" applyAlignment="1">
      <alignment horizontal="left" vertical="center"/>
    </xf>
    <xf numFmtId="0" fontId="203" fillId="0" borderId="0" xfId="488" applyFont="1" applyAlignment="1">
      <alignment vertical="center"/>
    </xf>
    <xf numFmtId="0" fontId="203" fillId="0" borderId="0" xfId="488" applyFont="1" applyAlignment="1">
      <alignment horizontal="left" vertical="center"/>
    </xf>
    <xf numFmtId="0" fontId="203" fillId="0" borderId="0" xfId="488" applyFont="1" applyAlignment="1">
      <alignment horizontal="right" vertical="center"/>
    </xf>
    <xf numFmtId="164" fontId="203" fillId="0" borderId="0" xfId="939" applyFont="1" applyFill="1" applyAlignment="1">
      <alignment vertical="center"/>
    </xf>
    <xf numFmtId="175" fontId="203" fillId="0" borderId="0" xfId="939" applyNumberFormat="1" applyFont="1" applyFill="1" applyAlignment="1">
      <alignment vertical="center"/>
    </xf>
    <xf numFmtId="165" fontId="203" fillId="0" borderId="0" xfId="488" applyNumberFormat="1" applyFont="1" applyAlignment="1">
      <alignment horizontal="left" vertical="center"/>
    </xf>
    <xf numFmtId="0" fontId="203" fillId="0" borderId="0" xfId="930" applyNumberFormat="1" applyFont="1" applyFill="1" applyAlignment="1">
      <alignment vertical="center"/>
    </xf>
    <xf numFmtId="0" fontId="105" fillId="61" borderId="108" xfId="756" applyFont="1" applyBorder="1">
      <alignment horizontal="left" vertical="center" wrapText="1" indent="1" readingOrder="1"/>
    </xf>
    <xf numFmtId="0" fontId="105" fillId="61" borderId="42" xfId="756" applyFont="1" applyBorder="1">
      <alignment horizontal="left" vertical="center" wrapText="1" indent="1" readingOrder="1"/>
    </xf>
    <xf numFmtId="165" fontId="4" fillId="0" borderId="0" xfId="515" applyNumberFormat="1" applyFont="1" applyAlignment="1">
      <alignment vertical="center" wrapText="1"/>
    </xf>
    <xf numFmtId="0" fontId="99" fillId="0" borderId="0" xfId="759" applyFont="1" applyBorder="1" applyAlignment="1">
      <alignment horizontal="left" vertical="center" indent="2"/>
    </xf>
    <xf numFmtId="0" fontId="109" fillId="61" borderId="109" xfId="756" applyFont="1" applyBorder="1" applyAlignment="1">
      <alignment horizontal="center" vertical="center" wrapText="1" readingOrder="1"/>
    </xf>
    <xf numFmtId="165" fontId="106" fillId="61" borderId="110" xfId="758" applyFont="1" applyBorder="1">
      <alignment horizontal="right" vertical="center" indent="1"/>
    </xf>
    <xf numFmtId="0" fontId="109" fillId="61" borderId="43" xfId="756" applyFont="1" applyBorder="1" applyAlignment="1">
      <alignment horizontal="center" vertical="center" wrapText="1" readingOrder="1"/>
    </xf>
    <xf numFmtId="165" fontId="106" fillId="61" borderId="44" xfId="758" applyFont="1" applyBorder="1">
      <alignment horizontal="right" vertical="center" indent="1"/>
    </xf>
    <xf numFmtId="0" fontId="105" fillId="0" borderId="0" xfId="756" applyFont="1" applyFill="1" applyBorder="1">
      <alignment horizontal="left" vertical="center" wrapText="1" indent="1" readingOrder="1"/>
    </xf>
    <xf numFmtId="0" fontId="99" fillId="0" borderId="0" xfId="759" applyFont="1" applyBorder="1" applyAlignment="1">
      <alignment horizontal="left" vertical="center" wrapText="1" indent="2"/>
    </xf>
    <xf numFmtId="0" fontId="133" fillId="63" borderId="31" xfId="755" quotePrefix="1" applyFont="1" applyFill="1">
      <alignment horizontal="center" vertical="center" wrapText="1" readingOrder="1"/>
    </xf>
    <xf numFmtId="0" fontId="133" fillId="63" borderId="31" xfId="755" applyFont="1" applyFill="1">
      <alignment horizontal="center" vertical="center" wrapText="1" readingOrder="1"/>
    </xf>
    <xf numFmtId="3" fontId="106" fillId="61" borderId="110" xfId="758" applyNumberFormat="1" applyFont="1" applyBorder="1" applyAlignment="1">
      <alignment horizontal="right" vertical="center"/>
    </xf>
    <xf numFmtId="3" fontId="106" fillId="61" borderId="44" xfId="758" applyNumberFormat="1" applyFont="1" applyBorder="1" applyAlignment="1">
      <alignment horizontal="right" vertical="center"/>
    </xf>
    <xf numFmtId="175" fontId="99" fillId="62" borderId="0" xfId="930" applyNumberFormat="1" applyFont="1" applyFill="1"/>
    <xf numFmtId="165" fontId="13" fillId="124" borderId="0" xfId="711" applyNumberFormat="1" applyFont="1" applyFill="1" applyAlignment="1">
      <alignment vertical="center"/>
    </xf>
    <xf numFmtId="0" fontId="9" fillId="0" borderId="0" xfId="580" applyFont="1" applyAlignment="1">
      <alignment horizontal="left" wrapText="1"/>
    </xf>
    <xf numFmtId="0" fontId="4" fillId="0" borderId="0" xfId="471" applyFont="1" applyAlignment="1">
      <alignment vertical="center"/>
    </xf>
    <xf numFmtId="0" fontId="129" fillId="0" borderId="0" xfId="471"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170" fontId="4" fillId="0" borderId="0" xfId="488" applyNumberFormat="1" applyFont="1" applyAlignment="1">
      <alignment vertical="center"/>
    </xf>
    <xf numFmtId="0" fontId="8" fillId="0" borderId="0" xfId="580" quotePrefix="1" applyFont="1" applyAlignment="1">
      <alignment horizontal="left" indent="1"/>
    </xf>
    <xf numFmtId="0" fontId="4" fillId="0" borderId="0" xfId="580" applyFont="1" applyAlignment="1">
      <alignment horizontal="left" indent="1"/>
    </xf>
    <xf numFmtId="165" fontId="108" fillId="0" borderId="0" xfId="628" quotePrefix="1" applyNumberFormat="1" applyFont="1" applyAlignment="1">
      <alignment horizontal="left" vertical="top" wrapText="1" indent="1"/>
    </xf>
    <xf numFmtId="0" fontId="206" fillId="0" borderId="0" xfId="471" applyFont="1"/>
    <xf numFmtId="165" fontId="206" fillId="0" borderId="0" xfId="471" applyNumberFormat="1" applyFont="1"/>
    <xf numFmtId="0" fontId="206" fillId="62" borderId="0" xfId="471" applyFont="1" applyFill="1"/>
    <xf numFmtId="165" fontId="206" fillId="62" borderId="0" xfId="471" applyNumberFormat="1" applyFont="1" applyFill="1"/>
    <xf numFmtId="0" fontId="6" fillId="0" borderId="0" xfId="580" applyFont="1" applyAlignment="1">
      <alignment horizontal="left" wrapText="1"/>
    </xf>
    <xf numFmtId="0" fontId="207" fillId="0" borderId="0" xfId="0" applyFont="1" applyAlignment="1">
      <alignment horizontal="left"/>
    </xf>
    <xf numFmtId="0" fontId="208" fillId="0" borderId="0" xfId="423" applyFont="1" applyFill="1" applyAlignment="1"/>
    <xf numFmtId="0" fontId="134" fillId="0" borderId="0" xfId="759" applyFont="1" applyBorder="1">
      <alignment horizontal="left" vertical="center" indent="1"/>
    </xf>
    <xf numFmtId="0" fontId="99" fillId="0" borderId="36" xfId="761"/>
    <xf numFmtId="165" fontId="108" fillId="0" borderId="35" xfId="760" applyNumberFormat="1" applyFont="1">
      <alignment horizontal="right" vertical="center" indent="1"/>
    </xf>
    <xf numFmtId="0" fontId="99" fillId="0" borderId="0" xfId="759" applyFont="1" applyBorder="1" applyAlignment="1">
      <alignment horizontal="left" vertical="center"/>
    </xf>
    <xf numFmtId="165" fontId="134" fillId="0" borderId="50" xfId="760" applyNumberFormat="1" applyFont="1" applyBorder="1">
      <alignment horizontal="right" vertical="center" indent="1"/>
    </xf>
    <xf numFmtId="165" fontId="4" fillId="0" borderId="50" xfId="515" applyNumberFormat="1" applyFont="1" applyBorder="1" applyAlignment="1">
      <alignment vertical="center"/>
    </xf>
    <xf numFmtId="165" fontId="99" fillId="0" borderId="50" xfId="760" applyNumberFormat="1" applyFont="1" applyBorder="1">
      <alignment horizontal="right" vertical="center" indent="1"/>
    </xf>
    <xf numFmtId="165" fontId="124"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7" xfId="515" applyNumberFormat="1" applyFont="1" applyBorder="1" applyAlignment="1">
      <alignment vertical="center"/>
    </xf>
    <xf numFmtId="165" fontId="99" fillId="0" borderId="57" xfId="760" applyNumberFormat="1" applyFont="1" applyBorder="1">
      <alignment horizontal="right" vertical="center" indent="1"/>
    </xf>
    <xf numFmtId="165" fontId="211" fillId="61" borderId="33" xfId="757" applyNumberFormat="1" applyFont="1">
      <alignment horizontal="right" vertical="center" indent="1"/>
    </xf>
    <xf numFmtId="165" fontId="112" fillId="0" borderId="48" xfId="471" applyNumberFormat="1" applyFont="1" applyBorder="1" applyAlignment="1">
      <alignment vertical="center"/>
    </xf>
    <xf numFmtId="0" fontId="99" fillId="0" borderId="93" xfId="759" applyFont="1" applyBorder="1" applyAlignment="1">
      <alignment horizontal="left" vertical="center"/>
    </xf>
    <xf numFmtId="3" fontId="99" fillId="0" borderId="49" xfId="760" applyFont="1" applyBorder="1">
      <alignment horizontal="right" vertical="center" indent="1"/>
    </xf>
    <xf numFmtId="0" fontId="137" fillId="0" borderId="34" xfId="759" applyFont="1" applyAlignment="1">
      <alignment horizontal="left" vertical="center" indent="3"/>
    </xf>
    <xf numFmtId="165" fontId="4" fillId="0" borderId="0" xfId="488" applyNumberFormat="1" applyFont="1" applyAlignment="1">
      <alignment horizontal="right" vertical="center" indent="1"/>
    </xf>
    <xf numFmtId="165" fontId="4" fillId="0" borderId="47" xfId="488" applyNumberFormat="1" applyFont="1" applyBorder="1" applyAlignment="1">
      <alignment horizontal="right" vertical="center" indent="1"/>
    </xf>
    <xf numFmtId="0" fontId="209" fillId="0" borderId="0" xfId="0" applyFont="1" applyAlignment="1">
      <alignment vertical="center"/>
    </xf>
    <xf numFmtId="213" fontId="104" fillId="63" borderId="40" xfId="755" quotePrefix="1" applyNumberFormat="1" applyFont="1" applyFill="1" applyBorder="1">
      <alignment horizontal="center" vertical="center" wrapText="1" readingOrder="1"/>
    </xf>
    <xf numFmtId="165" fontId="4" fillId="123" borderId="0" xfId="515" applyNumberFormat="1" applyFont="1" applyFill="1" applyAlignment="1">
      <alignment horizontal="right" vertical="center" indent="1"/>
    </xf>
    <xf numFmtId="165" fontId="4" fillId="123" borderId="0" xfId="488" applyNumberFormat="1" applyFont="1" applyFill="1" applyAlignment="1">
      <alignment horizontal="right" vertical="center" indent="1"/>
    </xf>
    <xf numFmtId="165" fontId="4" fillId="123" borderId="0" xfId="487" applyNumberFormat="1" applyFont="1" applyFill="1" applyAlignment="1">
      <alignment horizontal="right" vertical="center" indent="1"/>
    </xf>
    <xf numFmtId="165" fontId="4" fillId="123" borderId="0" xfId="488" applyNumberFormat="1" applyFont="1" applyFill="1" applyAlignment="1">
      <alignment vertical="center"/>
    </xf>
    <xf numFmtId="165" fontId="4" fillId="123" borderId="47" xfId="515" applyNumberFormat="1" applyFont="1" applyFill="1" applyBorder="1" applyAlignment="1">
      <alignment horizontal="right" vertical="center" indent="1"/>
    </xf>
    <xf numFmtId="165" fontId="4" fillId="123" borderId="47" xfId="488" applyNumberFormat="1" applyFont="1" applyFill="1" applyBorder="1" applyAlignment="1">
      <alignment horizontal="right" vertical="center" indent="1"/>
    </xf>
    <xf numFmtId="165" fontId="4" fillId="123" borderId="47" xfId="487" applyNumberFormat="1" applyFont="1" applyFill="1" applyBorder="1" applyAlignment="1">
      <alignment horizontal="right" vertical="center" indent="1"/>
    </xf>
    <xf numFmtId="0" fontId="99" fillId="0" borderId="34" xfId="759" applyFont="1">
      <alignment horizontal="left" vertical="center" indent="1"/>
    </xf>
    <xf numFmtId="165" fontId="4" fillId="0" borderId="0" xfId="515" applyNumberFormat="1" applyFont="1" applyAlignment="1">
      <alignment horizontal="right" vertical="center" indent="1"/>
    </xf>
    <xf numFmtId="165" fontId="4" fillId="0" borderId="0" xfId="487" applyNumberFormat="1" applyFont="1" applyAlignment="1">
      <alignment horizontal="right" vertical="center" indent="1"/>
    </xf>
    <xf numFmtId="165" fontId="4" fillId="0" borderId="0" xfId="488" applyNumberFormat="1" applyFont="1" applyAlignment="1">
      <alignment horizontal="left" vertical="center" indent="1"/>
    </xf>
    <xf numFmtId="165" fontId="4" fillId="0" borderId="47" xfId="487" applyNumberFormat="1" applyFont="1" applyBorder="1" applyAlignment="1">
      <alignment horizontal="right" vertical="center" indent="1"/>
    </xf>
    <xf numFmtId="165" fontId="4" fillId="0" borderId="47" xfId="488" applyNumberFormat="1" applyFont="1" applyBorder="1" applyAlignment="1">
      <alignment horizontal="left" vertical="center" wrapText="1" indent="1"/>
    </xf>
    <xf numFmtId="165" fontId="4" fillId="0" borderId="47" xfId="488" applyNumberFormat="1" applyFont="1" applyBorder="1" applyAlignment="1">
      <alignment vertical="center"/>
    </xf>
    <xf numFmtId="0" fontId="99" fillId="124" borderId="34" xfId="759" applyFont="1" applyFill="1" applyAlignment="1">
      <alignment horizontal="center" vertical="center"/>
    </xf>
    <xf numFmtId="0" fontId="99" fillId="124" borderId="34" xfId="759" applyFont="1" applyFill="1" applyAlignment="1">
      <alignment horizontal="left" vertical="center" wrapText="1"/>
    </xf>
    <xf numFmtId="3" fontId="99" fillId="124" borderId="35" xfId="760" applyFont="1" applyFill="1" applyAlignment="1">
      <alignment horizontal="right" vertical="center"/>
    </xf>
    <xf numFmtId="0" fontId="99" fillId="124" borderId="34" xfId="759" quotePrefix="1" applyFont="1" applyFill="1" applyAlignment="1">
      <alignment horizontal="left" vertical="center" wrapText="1"/>
    </xf>
    <xf numFmtId="168" fontId="99" fillId="0" borderId="0" xfId="761" applyNumberFormat="1" applyBorder="1"/>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165" fontId="4" fillId="0" borderId="47" xfId="515" applyNumberFormat="1" applyFont="1" applyBorder="1" applyAlignment="1">
      <alignment horizontal="right" vertical="center" indent="1"/>
    </xf>
    <xf numFmtId="0" fontId="99" fillId="0" borderId="0" xfId="0" applyFont="1" applyAlignment="1">
      <alignment horizontal="left" wrapText="1"/>
    </xf>
    <xf numFmtId="165" fontId="108" fillId="123" borderId="35" xfId="760" applyNumberFormat="1" applyFont="1" applyFill="1">
      <alignment horizontal="right" vertical="center" indent="1"/>
    </xf>
    <xf numFmtId="0" fontId="99" fillId="0" borderId="50" xfId="759" applyFont="1" applyBorder="1" applyAlignment="1">
      <alignment vertical="center"/>
    </xf>
    <xf numFmtId="165" fontId="4" fillId="0" borderId="35" xfId="0" applyNumberFormat="1" applyFont="1" applyBorder="1" applyAlignment="1">
      <alignment horizontal="right" vertical="center" indent="1"/>
    </xf>
    <xf numFmtId="0" fontId="99" fillId="0" borderId="34" xfId="759" applyFont="1" applyAlignment="1">
      <alignment horizontal="left" vertical="center" indent="4"/>
    </xf>
    <xf numFmtId="0" fontId="137" fillId="0" borderId="34" xfId="759" applyFont="1">
      <alignment horizontal="left" vertical="center" indent="1"/>
    </xf>
    <xf numFmtId="0" fontId="99" fillId="0" borderId="56" xfId="759" applyFont="1" applyBorder="1" applyAlignment="1">
      <alignment horizontal="left" vertical="center" indent="3"/>
    </xf>
    <xf numFmtId="165" fontId="108" fillId="0" borderId="39" xfId="760" applyNumberFormat="1" applyFont="1" applyBorder="1">
      <alignment horizontal="right" vertical="center" indent="1"/>
    </xf>
    <xf numFmtId="0" fontId="99" fillId="0" borderId="0" xfId="759" applyFont="1" applyBorder="1">
      <alignment horizontal="left" vertical="center" indent="1"/>
    </xf>
    <xf numFmtId="0" fontId="104" fillId="63" borderId="55" xfId="755" quotePrefix="1" applyFont="1" applyFill="1" applyBorder="1">
      <alignment horizontal="center" vertical="center" wrapText="1" readingOrder="1"/>
    </xf>
    <xf numFmtId="0" fontId="104" fillId="63" borderId="52" xfId="755" quotePrefix="1" applyFont="1" applyFill="1" applyBorder="1">
      <alignment horizontal="center" vertical="center" wrapText="1" readingOrder="1"/>
    </xf>
    <xf numFmtId="0" fontId="137" fillId="0" borderId="34" xfId="759" applyFont="1" applyAlignment="1">
      <alignment horizontal="left" vertical="center" indent="4"/>
    </xf>
    <xf numFmtId="0" fontId="99" fillId="0" borderId="56" xfId="760" applyNumberFormat="1" applyFont="1" applyBorder="1" applyAlignment="1">
      <alignment horizontal="left" vertical="center" indent="1"/>
    </xf>
    <xf numFmtId="0" fontId="99" fillId="0" borderId="34" xfId="759" applyFont="1" applyAlignment="1">
      <alignment horizontal="left" vertical="center" indent="5"/>
    </xf>
    <xf numFmtId="165" fontId="106" fillId="0" borderId="35" xfId="760" applyNumberFormat="1" applyFont="1">
      <alignment horizontal="right" vertical="center" indent="1"/>
    </xf>
    <xf numFmtId="0" fontId="199" fillId="0" borderId="0" xfId="0" applyFont="1" applyAlignment="1">
      <alignment wrapText="1"/>
    </xf>
    <xf numFmtId="0" fontId="99" fillId="62" borderId="34" xfId="759" applyFont="1" applyFill="1">
      <alignment horizontal="left" vertical="center" indent="1"/>
    </xf>
    <xf numFmtId="165" fontId="99" fillId="62" borderId="35" xfId="760" applyNumberFormat="1" applyFont="1" applyFill="1">
      <alignment horizontal="right" vertical="center" indent="1"/>
    </xf>
    <xf numFmtId="165" fontId="99" fillId="62" borderId="91" xfId="760" applyNumberFormat="1" applyFont="1" applyFill="1" applyBorder="1">
      <alignment horizontal="right" vertical="center" indent="1"/>
    </xf>
    <xf numFmtId="165" fontId="99" fillId="62" borderId="87" xfId="760" applyNumberFormat="1" applyFont="1" applyFill="1" applyBorder="1">
      <alignment horizontal="right" vertical="center" indent="1"/>
    </xf>
    <xf numFmtId="165" fontId="99" fillId="62" borderId="86" xfId="760" applyNumberFormat="1" applyFont="1" applyFill="1" applyBorder="1">
      <alignment horizontal="right" vertical="center" indent="1"/>
    </xf>
    <xf numFmtId="165" fontId="99" fillId="62" borderId="88" xfId="760" applyNumberFormat="1" applyFont="1" applyFill="1" applyBorder="1" applyAlignment="1">
      <alignment horizontal="left" vertical="center" indent="1"/>
    </xf>
    <xf numFmtId="165" fontId="99" fillId="62" borderId="50" xfId="760" applyNumberFormat="1" applyFont="1" applyFill="1" applyBorder="1">
      <alignment horizontal="right" vertical="center" indent="1"/>
    </xf>
    <xf numFmtId="165" fontId="99" fillId="62" borderId="89" xfId="760" applyNumberFormat="1" applyFont="1" applyFill="1" applyBorder="1" applyAlignment="1">
      <alignment horizontal="left" vertical="center" indent="1"/>
    </xf>
    <xf numFmtId="165" fontId="99" fillId="62" borderId="90" xfId="760" applyNumberFormat="1" applyFont="1" applyFill="1" applyBorder="1" applyAlignment="1">
      <alignment horizontal="left" vertical="center" indent="1"/>
    </xf>
    <xf numFmtId="165" fontId="99" fillId="62" borderId="92" xfId="760" applyNumberFormat="1" applyFont="1" applyFill="1" applyBorder="1">
      <alignment horizontal="right" vertical="center" indent="1"/>
    </xf>
    <xf numFmtId="165" fontId="201" fillId="0" borderId="35" xfId="760" applyNumberFormat="1" applyFont="1">
      <alignment horizontal="right" vertical="center" indent="1"/>
    </xf>
    <xf numFmtId="165" fontId="111" fillId="0" borderId="35" xfId="760" applyNumberFormat="1" applyFont="1">
      <alignment horizontal="right" vertical="center" indent="1"/>
    </xf>
    <xf numFmtId="0" fontId="99" fillId="0" borderId="34" xfId="759" applyFont="1" applyAlignment="1">
      <alignment horizontal="left" vertical="center" indent="6"/>
    </xf>
    <xf numFmtId="177" fontId="99" fillId="0" borderId="39" xfId="804" applyNumberFormat="1" applyFont="1" applyFill="1" applyBorder="1" applyAlignment="1">
      <alignment horizontal="right" vertical="center" indent="1"/>
    </xf>
    <xf numFmtId="165" fontId="99" fillId="0" borderId="60" xfId="760" applyNumberFormat="1" applyFont="1" applyBorder="1">
      <alignment horizontal="right" vertical="center" indent="1"/>
    </xf>
    <xf numFmtId="165" fontId="99" fillId="0" borderId="64" xfId="760" applyNumberFormat="1" applyFont="1" applyBorder="1">
      <alignment horizontal="right" vertical="center" indent="1"/>
    </xf>
    <xf numFmtId="0" fontId="99" fillId="0" borderId="34" xfId="759" applyFont="1" applyAlignment="1">
      <alignment horizontal="left" vertical="center" wrapText="1" indent="5"/>
    </xf>
    <xf numFmtId="165" fontId="108" fillId="62" borderId="0" xfId="538" quotePrefix="1" applyNumberFormat="1" applyFont="1" applyFill="1" applyAlignment="1">
      <alignment horizontal="left" vertical="top" wrapText="1"/>
    </xf>
    <xf numFmtId="0" fontId="99" fillId="0" borderId="34" xfId="759" applyFont="1" applyAlignment="1">
      <alignment horizontal="left" vertical="center" wrapText="1"/>
    </xf>
    <xf numFmtId="0" fontId="99" fillId="0" borderId="34" xfId="759" quotePrefix="1" applyFont="1" applyAlignment="1">
      <alignment horizontal="left" vertical="center" wrapText="1"/>
    </xf>
    <xf numFmtId="0" fontId="99" fillId="0" borderId="34" xfId="759" applyFont="1" applyAlignment="1">
      <alignment horizontal="left" vertical="center" wrapText="1" indent="3"/>
    </xf>
    <xf numFmtId="165" fontId="138" fillId="62" borderId="0" xfId="660" applyNumberFormat="1" applyFont="1" applyFill="1" applyAlignment="1">
      <alignment horizontal="left" wrapText="1"/>
    </xf>
    <xf numFmtId="176" fontId="113" fillId="0" borderId="0" xfId="495" applyNumberFormat="1" applyFont="1" applyAlignment="1">
      <alignment horizontal="center" vertical="center"/>
    </xf>
    <xf numFmtId="176" fontId="113" fillId="0" borderId="0" xfId="495" applyNumberFormat="1" applyFont="1" applyAlignment="1">
      <alignment horizontal="center" vertical="center" wrapText="1"/>
    </xf>
    <xf numFmtId="0" fontId="210" fillId="0" borderId="0" xfId="423" applyFont="1" applyFill="1" applyAlignment="1">
      <alignment horizontal="left" vertical="top"/>
    </xf>
    <xf numFmtId="0" fontId="99" fillId="0" borderId="0" xfId="761" applyBorder="1" applyAlignment="1">
      <alignment horizontal="left" wrapText="1"/>
    </xf>
    <xf numFmtId="0" fontId="99" fillId="62" borderId="0" xfId="764"/>
    <xf numFmtId="0" fontId="104" fillId="63" borderId="31" xfId="755" applyFont="1" applyFill="1">
      <alignment horizontal="center" vertical="center" wrapText="1" readingOrder="1"/>
    </xf>
    <xf numFmtId="0" fontId="99" fillId="0" borderId="0" xfId="764" applyFill="1" applyAlignment="1">
      <alignment horizontal="left" vertical="center" wrapText="1"/>
    </xf>
    <xf numFmtId="0" fontId="104" fillId="63" borderId="53" xfId="755" applyFont="1" applyFill="1" applyBorder="1">
      <alignment horizontal="center" vertical="center" wrapText="1" readingOrder="1"/>
    </xf>
    <xf numFmtId="0" fontId="104" fillId="63" borderId="0"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33" fillId="63" borderId="51" xfId="755" applyFont="1" applyFill="1" applyBorder="1">
      <alignment horizontal="center" vertical="center" wrapText="1" readingOrder="1"/>
    </xf>
    <xf numFmtId="0" fontId="133" fillId="63" borderId="70" xfId="755" applyFont="1" applyFill="1" applyBorder="1">
      <alignment horizontal="center" vertical="center" wrapText="1" readingOrder="1"/>
    </xf>
    <xf numFmtId="0" fontId="133" fillId="63" borderId="58" xfId="755" applyFont="1" applyFill="1" applyBorder="1">
      <alignment horizontal="center" vertical="center" wrapText="1" readingOrder="1"/>
    </xf>
    <xf numFmtId="0" fontId="133" fillId="63" borderId="45" xfId="755" applyFont="1" applyFill="1" applyBorder="1">
      <alignment horizontal="center" vertical="center" wrapText="1" readingOrder="1"/>
    </xf>
    <xf numFmtId="0" fontId="133" fillId="63" borderId="46" xfId="755" applyFont="1" applyFill="1" applyBorder="1">
      <alignment horizontal="center" vertical="center" wrapText="1" readingOrder="1"/>
    </xf>
    <xf numFmtId="165" fontId="111" fillId="0" borderId="0" xfId="488" applyNumberFormat="1" applyFont="1" applyAlignment="1">
      <alignment horizontal="left" vertical="top" wrapText="1"/>
    </xf>
    <xf numFmtId="0" fontId="99" fillId="0" borderId="0" xfId="759" applyFont="1" applyBorder="1" applyAlignment="1">
      <alignment horizontal="left" vertical="center" indent="2"/>
    </xf>
    <xf numFmtId="0" fontId="99" fillId="0" borderId="34" xfId="759" applyFont="1" applyAlignment="1">
      <alignment horizontal="left" vertical="center" indent="2"/>
    </xf>
    <xf numFmtId="0" fontId="104" fillId="63" borderId="54" xfId="755" applyFont="1" applyFill="1" applyBorder="1">
      <alignment horizontal="center" vertical="center" wrapText="1" readingOrder="1"/>
    </xf>
    <xf numFmtId="0" fontId="104" fillId="63" borderId="68" xfId="755" applyFont="1" applyFill="1" applyBorder="1">
      <alignment horizontal="center" vertical="center" wrapText="1" readingOrder="1"/>
    </xf>
    <xf numFmtId="0" fontId="104" fillId="63" borderId="69" xfId="755" applyFont="1" applyFill="1" applyBorder="1">
      <alignment horizontal="center" vertical="center" wrapText="1" readingOrder="1"/>
    </xf>
    <xf numFmtId="0" fontId="134" fillId="0" borderId="0" xfId="759" applyFont="1" applyBorder="1">
      <alignment horizontal="left" vertical="center" indent="1"/>
    </xf>
    <xf numFmtId="0" fontId="134" fillId="0" borderId="34" xfId="759" applyFont="1">
      <alignment horizontal="left" vertical="center" indent="1"/>
    </xf>
    <xf numFmtId="0" fontId="99" fillId="0" borderId="0" xfId="759" applyFont="1" applyBorder="1" applyAlignment="1">
      <alignment horizontal="left" vertical="center" indent="3"/>
    </xf>
    <xf numFmtId="0" fontId="99" fillId="0" borderId="34" xfId="759" applyFont="1" applyAlignment="1">
      <alignment horizontal="left" vertical="center" indent="3"/>
    </xf>
    <xf numFmtId="0" fontId="99" fillId="0" borderId="66" xfId="759" applyFont="1" applyBorder="1" applyAlignment="1">
      <alignment horizontal="left" vertical="center" indent="2"/>
    </xf>
    <xf numFmtId="0" fontId="99" fillId="0" borderId="67" xfId="759" applyFont="1" applyBorder="1" applyAlignment="1">
      <alignment horizontal="left" vertical="center" indent="2"/>
    </xf>
    <xf numFmtId="0" fontId="105" fillId="61" borderId="65" xfId="756" applyFont="1" applyBorder="1">
      <alignment horizontal="left" vertical="center" wrapText="1" indent="1" readingOrder="1"/>
    </xf>
    <xf numFmtId="0" fontId="105" fillId="61" borderId="41" xfId="756" applyFont="1" applyBorder="1">
      <alignment horizontal="left" vertical="center" wrapText="1" indent="1" readingOrder="1"/>
    </xf>
    <xf numFmtId="0" fontId="99" fillId="0" borderId="47" xfId="759" applyFont="1" applyBorder="1" applyAlignment="1">
      <alignment horizontal="left" vertical="center" indent="2"/>
    </xf>
    <xf numFmtId="0" fontId="99" fillId="0" borderId="56" xfId="759" applyFont="1" applyBorder="1" applyAlignment="1">
      <alignment horizontal="left" vertical="center" indent="2"/>
    </xf>
    <xf numFmtId="0" fontId="139" fillId="62" borderId="0" xfId="762" applyFont="1" applyAlignment="1">
      <alignment horizontal="center" vertical="center"/>
    </xf>
    <xf numFmtId="0" fontId="104" fillId="63" borderId="71" xfId="755" applyFont="1" applyFill="1" applyBorder="1">
      <alignment horizontal="center" vertical="center" wrapText="1" readingOrder="1"/>
    </xf>
    <xf numFmtId="0" fontId="104" fillId="63" borderId="72" xfId="755" applyFont="1" applyFill="1" applyBorder="1">
      <alignment horizontal="center" vertical="center" wrapText="1" readingOrder="1"/>
    </xf>
    <xf numFmtId="0" fontId="104" fillId="63" borderId="73" xfId="755" applyFont="1" applyFill="1" applyBorder="1">
      <alignment horizontal="center" vertical="center" wrapText="1" readingOrder="1"/>
    </xf>
    <xf numFmtId="0" fontId="104" fillId="63" borderId="45" xfId="755" applyFont="1" applyFill="1" applyBorder="1">
      <alignment horizontal="center" vertical="center" wrapText="1" readingOrder="1"/>
    </xf>
    <xf numFmtId="0" fontId="104" fillId="63" borderId="46" xfId="755" applyFont="1" applyFill="1" applyBorder="1">
      <alignment horizontal="center" vertical="center" wrapText="1" readingOrder="1"/>
    </xf>
    <xf numFmtId="0" fontId="104" fillId="63" borderId="51" xfId="755" applyFont="1" applyFill="1" applyBorder="1">
      <alignment horizontal="center" vertical="center" wrapText="1" readingOrder="1"/>
    </xf>
    <xf numFmtId="0" fontId="104" fillId="63" borderId="40" xfId="755" applyFont="1" applyFill="1" applyBorder="1">
      <alignment horizontal="center" vertical="center" wrapText="1" readingOrder="1"/>
    </xf>
    <xf numFmtId="0" fontId="104" fillId="63" borderId="58"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0" borderId="0" xfId="515" applyNumberFormat="1" applyFont="1" applyAlignment="1">
      <alignment horizontal="left" vertical="center" wrapText="1"/>
    </xf>
    <xf numFmtId="0" fontId="4" fillId="0" borderId="0" xfId="537" applyFont="1" applyAlignment="1">
      <alignment horizontal="left" vertical="center" wrapText="1"/>
    </xf>
    <xf numFmtId="0" fontId="103" fillId="62" borderId="0" xfId="762" applyFont="1" applyAlignment="1">
      <alignment horizontal="left" vertical="center" wrapText="1"/>
    </xf>
    <xf numFmtId="0" fontId="4" fillId="0" borderId="0" xfId="580" applyFont="1" applyAlignment="1">
      <alignment horizontal="left" wrapText="1"/>
    </xf>
    <xf numFmtId="165" fontId="120" fillId="0" borderId="0" xfId="515" applyNumberFormat="1" applyFont="1" applyAlignment="1">
      <alignment horizontal="left" vertical="center" wrapText="1"/>
    </xf>
    <xf numFmtId="165" fontId="118"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4" fillId="0" borderId="0" xfId="580" applyFont="1" applyAlignment="1">
      <alignment horizontal="left" vertical="center" wrapText="1"/>
    </xf>
    <xf numFmtId="0" fontId="120" fillId="0" borderId="0" xfId="593" quotePrefix="1" applyFont="1" applyAlignment="1">
      <alignment horizontal="left" vertical="top" wrapText="1"/>
    </xf>
    <xf numFmtId="0" fontId="120" fillId="0" borderId="0" xfId="593" applyFont="1" applyAlignment="1">
      <alignment horizontal="left" vertical="top" wrapText="1"/>
    </xf>
    <xf numFmtId="0" fontId="118" fillId="0" borderId="0" xfId="593" applyFont="1" applyAlignment="1">
      <alignment horizontal="left" wrapText="1"/>
    </xf>
    <xf numFmtId="0" fontId="118" fillId="0" borderId="0" xfId="593" quotePrefix="1" applyFont="1" applyAlignment="1">
      <alignment horizontal="left" vertical="top" wrapText="1"/>
    </xf>
    <xf numFmtId="0" fontId="118" fillId="0" borderId="0" xfId="593" applyFont="1" applyAlignment="1">
      <alignment horizontal="left" vertical="top" wrapText="1"/>
    </xf>
    <xf numFmtId="165" fontId="108" fillId="0" borderId="0" xfId="488" applyNumberFormat="1" applyFont="1" applyAlignment="1" applyProtection="1">
      <alignment vertical="center" wrapText="1"/>
      <protection locked="0"/>
    </xf>
    <xf numFmtId="165" fontId="108" fillId="0" borderId="0" xfId="488" applyNumberFormat="1" applyFont="1" applyAlignment="1" applyProtection="1">
      <alignment horizontal="left" vertical="center" wrapText="1"/>
      <protection locked="0"/>
    </xf>
    <xf numFmtId="0" fontId="104" fillId="63" borderId="55" xfId="755" applyFont="1" applyFill="1" applyBorder="1">
      <alignment horizontal="center" vertical="center" wrapText="1" readingOrder="1"/>
    </xf>
    <xf numFmtId="0" fontId="104" fillId="63" borderId="74" xfId="755" applyFont="1" applyFill="1" applyBorder="1">
      <alignment horizontal="center" vertical="center" wrapText="1" readingOrder="1"/>
    </xf>
    <xf numFmtId="0" fontId="104" fillId="63" borderId="75" xfId="755" applyFont="1" applyFill="1" applyBorder="1">
      <alignment horizontal="center" vertical="center" wrapText="1" readingOrder="1"/>
    </xf>
    <xf numFmtId="0" fontId="104" fillId="63" borderId="61" xfId="755" applyFont="1" applyFill="1" applyBorder="1">
      <alignment horizontal="center" vertical="center" wrapText="1" readingOrder="1"/>
    </xf>
    <xf numFmtId="0" fontId="104" fillId="63" borderId="76" xfId="755" applyFont="1" applyFill="1" applyBorder="1">
      <alignment horizontal="center" vertical="center" wrapText="1" readingOrder="1"/>
    </xf>
    <xf numFmtId="0" fontId="104" fillId="63" borderId="77" xfId="755" applyFont="1" applyFill="1" applyBorder="1">
      <alignment horizontal="center" vertical="center" wrapText="1" readingOrder="1"/>
    </xf>
    <xf numFmtId="0" fontId="104" fillId="63" borderId="78" xfId="755" applyFont="1" applyFill="1" applyBorder="1">
      <alignment horizontal="center" vertical="center" wrapText="1" readingOrder="1"/>
    </xf>
    <xf numFmtId="0" fontId="111" fillId="123" borderId="0" xfId="580" applyFont="1" applyFill="1" applyAlignment="1">
      <alignment horizontal="left" wrapText="1"/>
    </xf>
    <xf numFmtId="0" fontId="111" fillId="0" borderId="0" xfId="580" applyFont="1" applyAlignment="1">
      <alignment horizontal="left" wrapText="1"/>
    </xf>
    <xf numFmtId="0" fontId="140" fillId="0" borderId="0" xfId="580" applyFont="1" applyAlignment="1">
      <alignment horizontal="left" wrapText="1"/>
    </xf>
    <xf numFmtId="0" fontId="6" fillId="0" borderId="0" xfId="580" applyFont="1" applyAlignment="1">
      <alignment horizontal="left" vertical="center" wrapText="1" indent="1"/>
    </xf>
    <xf numFmtId="0" fontId="99" fillId="0" borderId="0" xfId="471" applyFont="1" applyAlignment="1">
      <alignment wrapText="1"/>
    </xf>
    <xf numFmtId="0" fontId="1" fillId="0" borderId="0" xfId="471" applyAlignment="1">
      <alignment wrapText="1"/>
    </xf>
    <xf numFmtId="0" fontId="108"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1" fillId="0" borderId="0" xfId="580" applyFont="1" applyAlignment="1">
      <alignment horizontal="left" vertical="top" wrapText="1"/>
    </xf>
    <xf numFmtId="0" fontId="140"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04" fillId="63" borderId="59" xfId="755" applyFont="1" applyFill="1" applyBorder="1">
      <alignment horizontal="center" vertical="center" wrapText="1" readingOrder="1"/>
    </xf>
    <xf numFmtId="0" fontId="104" fillId="63" borderId="81" xfId="755" applyFont="1" applyFill="1" applyBorder="1">
      <alignment horizontal="center" vertical="center" wrapText="1" readingOrder="1"/>
    </xf>
    <xf numFmtId="0" fontId="104" fillId="63" borderId="111" xfId="755" applyFont="1" applyFill="1" applyBorder="1">
      <alignment horizontal="center" vertical="center" wrapText="1" readingOrder="1"/>
    </xf>
    <xf numFmtId="0" fontId="104" fillId="63" borderId="84" xfId="755" applyFont="1" applyFill="1" applyBorder="1">
      <alignment horizontal="center" vertical="center" wrapText="1" readingOrder="1"/>
    </xf>
    <xf numFmtId="0" fontId="132" fillId="62" borderId="0" xfId="756" applyFont="1" applyFill="1" applyBorder="1" applyAlignment="1">
      <alignment horizontal="left" vertical="center" wrapText="1" readingOrder="1"/>
    </xf>
    <xf numFmtId="0" fontId="108" fillId="62" borderId="0" xfId="0" applyFont="1" applyFill="1" applyAlignment="1">
      <alignment horizontal="left" vertical="center" wrapText="1"/>
    </xf>
    <xf numFmtId="165" fontId="108" fillId="62" borderId="0" xfId="538" quotePrefix="1" applyNumberFormat="1" applyFont="1" applyFill="1" applyAlignment="1">
      <alignment horizontal="left" vertical="top" wrapText="1"/>
    </xf>
    <xf numFmtId="165" fontId="4" fillId="62" borderId="0" xfId="515" applyNumberFormat="1" applyFont="1" applyFill="1" applyAlignment="1">
      <alignment horizontal="left" vertical="center" wrapText="1"/>
    </xf>
    <xf numFmtId="165" fontId="108" fillId="62" borderId="0" xfId="538" applyNumberFormat="1" applyFont="1" applyFill="1" applyAlignment="1">
      <alignment horizontal="left" vertical="top" wrapText="1"/>
    </xf>
    <xf numFmtId="0" fontId="108" fillId="62" borderId="0" xfId="0" applyFont="1" applyFill="1" applyAlignment="1">
      <alignment horizontal="left" vertical="top" wrapText="1"/>
    </xf>
    <xf numFmtId="165" fontId="108" fillId="62" borderId="0" xfId="538" applyNumberFormat="1" applyFont="1" applyFill="1" applyAlignment="1">
      <alignment horizontal="left" vertical="top"/>
    </xf>
    <xf numFmtId="165" fontId="108" fillId="62" borderId="0" xfId="538" quotePrefix="1" applyNumberFormat="1" applyFont="1" applyFill="1" applyAlignment="1">
      <alignment horizontal="left" vertical="top"/>
    </xf>
    <xf numFmtId="0" fontId="104" fillId="63" borderId="105" xfId="755" applyFont="1" applyFill="1" applyBorder="1">
      <alignment horizontal="center" vertical="center" wrapText="1" readingOrder="1"/>
    </xf>
    <xf numFmtId="165" fontId="106" fillId="61" borderId="79" xfId="757" applyNumberFormat="1" applyFont="1" applyBorder="1" applyAlignment="1">
      <alignment horizontal="left" vertical="center" indent="1"/>
    </xf>
    <xf numFmtId="165" fontId="106" fillId="61" borderId="80" xfId="757" applyNumberFormat="1" applyFont="1" applyBorder="1" applyAlignment="1">
      <alignment horizontal="left" vertical="center" indent="1"/>
    </xf>
    <xf numFmtId="0" fontId="99" fillId="62" borderId="34" xfId="759" applyFont="1" applyFill="1" applyAlignment="1">
      <alignment horizontal="center" vertical="center" textRotation="90"/>
    </xf>
    <xf numFmtId="165" fontId="106" fillId="61" borderId="82" xfId="757" applyNumberFormat="1" applyFont="1" applyBorder="1" applyAlignment="1">
      <alignment horizontal="left" vertical="center" indent="1"/>
    </xf>
    <xf numFmtId="165" fontId="106" fillId="61" borderId="83" xfId="757" applyNumberFormat="1" applyFont="1" applyBorder="1" applyAlignment="1">
      <alignment horizontal="left" vertical="center" indent="1"/>
    </xf>
    <xf numFmtId="0" fontId="99" fillId="62" borderId="94" xfId="759" applyFont="1" applyFill="1" applyBorder="1" applyAlignment="1">
      <alignment horizontal="center" vertical="center" textRotation="90"/>
    </xf>
    <xf numFmtId="0" fontId="104" fillId="63" borderId="33" xfId="755" applyFont="1" applyFill="1" applyBorder="1">
      <alignment horizontal="center" vertical="center" wrapText="1" readingOrder="1"/>
    </xf>
    <xf numFmtId="0" fontId="104" fillId="63" borderId="106" xfId="755" applyFont="1" applyFill="1" applyBorder="1">
      <alignment horizontal="center" vertical="center" wrapText="1" readingOrder="1"/>
    </xf>
    <xf numFmtId="0" fontId="104" fillId="63" borderId="107" xfId="755" applyFont="1" applyFill="1" applyBorder="1">
      <alignment horizontal="center" vertical="center" wrapText="1" readingOrder="1"/>
    </xf>
    <xf numFmtId="165" fontId="127" fillId="0" borderId="0" xfId="471" applyNumberFormat="1" applyFont="1" applyAlignment="1">
      <alignment horizontal="left" vertical="top" wrapText="1"/>
    </xf>
    <xf numFmtId="165" fontId="108" fillId="0" borderId="0" xfId="471" applyNumberFormat="1" applyFont="1" applyAlignment="1">
      <alignment horizontal="left" vertical="center" wrapText="1"/>
    </xf>
    <xf numFmtId="165" fontId="108" fillId="0" borderId="0" xfId="471" applyNumberFormat="1" applyFont="1" applyAlignment="1">
      <alignment horizontal="left" vertical="center"/>
    </xf>
    <xf numFmtId="0" fontId="105" fillId="61" borderId="54" xfId="756" applyFont="1" applyBorder="1">
      <alignment horizontal="left" vertical="center" wrapText="1" indent="1" readingOrder="1"/>
    </xf>
    <xf numFmtId="0" fontId="105" fillId="61" borderId="68" xfId="756" applyFont="1" applyBorder="1">
      <alignment horizontal="left" vertical="center" wrapText="1" indent="1" readingOrder="1"/>
    </xf>
    <xf numFmtId="0" fontId="105" fillId="61" borderId="0" xfId="756" applyFont="1" applyBorder="1">
      <alignment horizontal="left" vertical="center" wrapText="1" indent="1" readingOrder="1"/>
    </xf>
    <xf numFmtId="0" fontId="137" fillId="0" borderId="0" xfId="759" applyFont="1" applyBorder="1">
      <alignment horizontal="left" vertical="center" indent="1"/>
    </xf>
    <xf numFmtId="0" fontId="4" fillId="0" borderId="0" xfId="471" quotePrefix="1" applyFont="1" applyAlignment="1">
      <alignment horizontal="left" vertical="center" wrapText="1"/>
    </xf>
    <xf numFmtId="0" fontId="99" fillId="0" borderId="47" xfId="759" applyFont="1" applyBorder="1" applyAlignment="1">
      <alignment horizontal="left" vertical="center" indent="3"/>
    </xf>
    <xf numFmtId="0" fontId="104" fillId="63" borderId="82" xfId="755" applyFont="1" applyFill="1" applyBorder="1">
      <alignment horizontal="center" vertical="center" wrapText="1" readingOrder="1"/>
    </xf>
    <xf numFmtId="0" fontId="104" fillId="63" borderId="66" xfId="755" applyFont="1" applyFill="1" applyBorder="1">
      <alignment horizontal="center" vertical="center" wrapText="1" readingOrder="1"/>
    </xf>
    <xf numFmtId="165" fontId="4" fillId="0" borderId="0" xfId="537" applyNumberFormat="1" applyFont="1" applyAlignment="1">
      <alignment horizontal="left" vertical="center" wrapText="1"/>
    </xf>
    <xf numFmtId="0" fontId="99" fillId="0" borderId="0" xfId="0" quotePrefix="1" applyFont="1" applyAlignment="1">
      <alignment horizontal="left" vertical="center" wrapText="1"/>
    </xf>
    <xf numFmtId="0" fontId="0" fillId="0" borderId="0" xfId="0" applyAlignment="1">
      <alignment horizontal="left" vertical="center" wrapText="1"/>
    </xf>
    <xf numFmtId="0" fontId="109" fillId="61" borderId="84" xfId="756" applyFont="1" applyBorder="1">
      <alignment horizontal="left" vertical="center" wrapText="1" indent="1" readingOrder="1"/>
    </xf>
    <xf numFmtId="0" fontId="109" fillId="61" borderId="66" xfId="756" applyFont="1" applyBorder="1">
      <alignment horizontal="left" vertical="center" wrapText="1" indent="1" readingOrder="1"/>
    </xf>
    <xf numFmtId="0" fontId="4" fillId="0" borderId="0" xfId="0" quotePrefix="1" applyFont="1" applyAlignment="1">
      <alignment horizontal="left" vertical="center" wrapText="1"/>
    </xf>
    <xf numFmtId="0" fontId="6" fillId="0" borderId="0" xfId="0" quotePrefix="1" applyFont="1" applyAlignment="1">
      <alignment horizontal="left" vertical="center" wrapText="1"/>
    </xf>
    <xf numFmtId="0" fontId="99" fillId="0" borderId="0" xfId="0" applyFont="1" applyAlignment="1">
      <alignment horizontal="left" vertical="center" wrapText="1"/>
    </xf>
    <xf numFmtId="0" fontId="109" fillId="61" borderId="85" xfId="756" applyFont="1" applyBorder="1">
      <alignment horizontal="left" vertical="center" wrapText="1" indent="1" readingOrder="1"/>
    </xf>
    <xf numFmtId="0" fontId="109" fillId="61" borderId="75" xfId="756" applyFont="1" applyBorder="1">
      <alignment horizontal="left" vertical="center" wrapText="1" indent="1" readingOrder="1"/>
    </xf>
    <xf numFmtId="0" fontId="133" fillId="63" borderId="58" xfId="755" quotePrefix="1" applyFont="1" applyFill="1" applyBorder="1">
      <alignment horizontal="center" vertical="center" wrapText="1" readingOrder="1"/>
    </xf>
    <xf numFmtId="0" fontId="133" fillId="63" borderId="45" xfId="755" quotePrefix="1" applyFont="1" applyFill="1" applyBorder="1">
      <alignment horizontal="center" vertical="center" wrapText="1" readingOrder="1"/>
    </xf>
    <xf numFmtId="0" fontId="133" fillId="63" borderId="46" xfId="755" quotePrefix="1" applyFont="1" applyFill="1" applyBorder="1">
      <alignment horizontal="center" vertical="center" wrapText="1" readingOrder="1"/>
    </xf>
    <xf numFmtId="0" fontId="133" fillId="63" borderId="40" xfId="755" quotePrefix="1" applyFont="1" applyFill="1" applyBorder="1">
      <alignment horizontal="center" vertical="center" wrapText="1" readingOrder="1"/>
    </xf>
    <xf numFmtId="0" fontId="133" fillId="63" borderId="111" xfId="755" quotePrefix="1" applyFont="1" applyFill="1" applyBorder="1">
      <alignment horizontal="center" vertical="center" wrapText="1" readingOrder="1"/>
    </xf>
    <xf numFmtId="0" fontId="133" fillId="63" borderId="51" xfId="755" quotePrefix="1" applyFont="1" applyFill="1" applyBorder="1">
      <alignment horizontal="center" vertical="center" wrapText="1" readingOrder="1"/>
    </xf>
    <xf numFmtId="0" fontId="133" fillId="63" borderId="70" xfId="755" quotePrefix="1" applyFont="1" applyFill="1" applyBorder="1">
      <alignment horizontal="center" vertical="center" wrapText="1" readingOrder="1"/>
    </xf>
    <xf numFmtId="165" fontId="4" fillId="0" borderId="0" xfId="515" applyNumberFormat="1" applyFont="1" applyAlignment="1">
      <alignment horizontal="left" wrapText="1"/>
    </xf>
  </cellXfs>
  <cellStyles count="9847">
    <cellStyle name=" 1" xfId="3075" xr:uid="{00000000-0005-0000-0000-000000000000}"/>
    <cellStyle name=" 1 2" xfId="4726" xr:uid="{00000000-0005-0000-0000-000001000000}"/>
    <cellStyle name=" 1 3" xfId="8131"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7"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7" xr:uid="{00000000-0005-0000-0000-00000D000000}"/>
    <cellStyle name="% 2 2" xfId="10" xr:uid="{00000000-0005-0000-0000-00000E000000}"/>
    <cellStyle name="% 2 2 2" xfId="3889" xr:uid="{00000000-0005-0000-0000-00000F000000}"/>
    <cellStyle name="% 2 2 3" xfId="7837" xr:uid="{00000000-0005-0000-0000-000010000000}"/>
    <cellStyle name="% 2 2 4" xfId="2620" xr:uid="{00000000-0005-0000-0000-000011000000}"/>
    <cellStyle name="% 2 3" xfId="11" xr:uid="{00000000-0005-0000-0000-000012000000}"/>
    <cellStyle name="% 2 3 2" xfId="3614" xr:uid="{00000000-0005-0000-0000-000013000000}"/>
    <cellStyle name="% 2 3 3" xfId="5239" xr:uid="{00000000-0005-0000-0000-000014000000}"/>
    <cellStyle name="% 2 3 4" xfId="7838" xr:uid="{00000000-0005-0000-0000-000015000000}"/>
    <cellStyle name="% 2 3 5" xfId="2621" xr:uid="{00000000-0005-0000-0000-000016000000}"/>
    <cellStyle name="% 2 4" xfId="12" xr:uid="{00000000-0005-0000-0000-000017000000}"/>
    <cellStyle name="% 2 4 2" xfId="3888" xr:uid="{00000000-0005-0000-0000-000018000000}"/>
    <cellStyle name="% 2 5" xfId="13" xr:uid="{00000000-0005-0000-0000-000019000000}"/>
    <cellStyle name="% 2 5 2" xfId="6449"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0" xr:uid="{00000000-0005-0000-0000-000020000000}"/>
    <cellStyle name="% 3 3" xfId="6493" xr:uid="{00000000-0005-0000-0000-000021000000}"/>
    <cellStyle name="% 3 4" xfId="1241" xr:uid="{00000000-0005-0000-0000-000022000000}"/>
    <cellStyle name="% 4" xfId="19" xr:uid="{00000000-0005-0000-0000-000023000000}"/>
    <cellStyle name="% 4 2" xfId="2619" xr:uid="{00000000-0005-0000-0000-000024000000}"/>
    <cellStyle name="% 4 2 2" xfId="3654" xr:uid="{00000000-0005-0000-0000-000025000000}"/>
    <cellStyle name="% 4 2 3" xfId="5328" xr:uid="{00000000-0005-0000-0000-000026000000}"/>
    <cellStyle name="% 4 2 4" xfId="7836" xr:uid="{00000000-0005-0000-0000-000027000000}"/>
    <cellStyle name="% 4 3" xfId="3891" xr:uid="{00000000-0005-0000-0000-000028000000}"/>
    <cellStyle name="% 4 4" xfId="6544" xr:uid="{00000000-0005-0000-0000-000029000000}"/>
    <cellStyle name="% 4 5" xfId="1292" xr:uid="{00000000-0005-0000-0000-00002A000000}"/>
    <cellStyle name="% 5" xfId="20" xr:uid="{00000000-0005-0000-0000-00002B000000}"/>
    <cellStyle name="% 5 2" xfId="5469" xr:uid="{00000000-0005-0000-0000-00002C000000}"/>
    <cellStyle name="% 5 3" xfId="6692" xr:uid="{00000000-0005-0000-0000-00002D000000}"/>
    <cellStyle name="% 5 4" xfId="1440" xr:uid="{00000000-0005-0000-0000-00002E000000}"/>
    <cellStyle name="% 6" xfId="21" xr:uid="{00000000-0005-0000-0000-00002F000000}"/>
    <cellStyle name="% 6 2" xfId="5585" xr:uid="{00000000-0005-0000-0000-000030000000}"/>
    <cellStyle name="% 6 3" xfId="6810" xr:uid="{00000000-0005-0000-0000-000031000000}"/>
    <cellStyle name="% 6 4" xfId="1559" xr:uid="{00000000-0005-0000-0000-000032000000}"/>
    <cellStyle name="% 7" xfId="22" xr:uid="{00000000-0005-0000-0000-000033000000}"/>
    <cellStyle name="% 7 2" xfId="5973" xr:uid="{00000000-0005-0000-0000-000034000000}"/>
    <cellStyle name="% 7 3" xfId="7200" xr:uid="{00000000-0005-0000-0000-000035000000}"/>
    <cellStyle name="% 7 4" xfId="1953" xr:uid="{00000000-0005-0000-0000-000036000000}"/>
    <cellStyle name="% 8" xfId="23" xr:uid="{00000000-0005-0000-0000-000037000000}"/>
    <cellStyle name="% 8 2" xfId="3887" xr:uid="{00000000-0005-0000-0000-000038000000}"/>
    <cellStyle name="% 9" xfId="24" xr:uid="{00000000-0005-0000-0000-000039000000}"/>
    <cellStyle name="% 9 2" xfId="6412"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0" xr:uid="{00000000-0005-0000-0000-000047000000}"/>
    <cellStyle name="{{PerformancePoint DataCell}}" xfId="8771" xr:uid="{00000000-0005-0000-0000-000048000000}"/>
    <cellStyle name="{{PerformancePoint DataEntry}}" xfId="8772" xr:uid="{00000000-0005-0000-0000-000049000000}"/>
    <cellStyle name="{{PerformancePoint Locked Data Entry}}" xfId="8773" xr:uid="{00000000-0005-0000-0000-00004A000000}"/>
    <cellStyle name="=C:\WINNT\SYSTEM32\COMMAND.COM" xfId="1038" xr:uid="{00000000-0005-0000-0000-00004B000000}"/>
    <cellStyle name="=C:\WINNT\SYSTEM32\COMMAND.COM 2" xfId="1039" xr:uid="{00000000-0005-0000-0000-00004C000000}"/>
    <cellStyle name="=C:\WINNT\SYSTEM32\COMMAND.COM 2 2" xfId="1045" xr:uid="{00000000-0005-0000-0000-00004D000000}"/>
    <cellStyle name="=C:\WINNT\SYSTEM32\COMMAND.COM 2 2 2" xfId="2123" xr:uid="{00000000-0005-0000-0000-00004E000000}"/>
    <cellStyle name="=C:\WINNT\SYSTEM32\COMMAND.COM 2 2 2 2" xfId="3894" xr:uid="{00000000-0005-0000-0000-00004F000000}"/>
    <cellStyle name="=C:\WINNT\SYSTEM32\COMMAND.COM 2 2 2 3" xfId="7364" xr:uid="{00000000-0005-0000-0000-000050000000}"/>
    <cellStyle name="=C:\WINNT\SYSTEM32\COMMAND.COM 2 2 3" xfId="2618" xr:uid="{00000000-0005-0000-0000-000051000000}"/>
    <cellStyle name="=C:\WINNT\SYSTEM32\COMMAND.COM 2 2 3 2" xfId="3799" xr:uid="{00000000-0005-0000-0000-000052000000}"/>
    <cellStyle name="=C:\WINNT\SYSTEM32\COMMAND.COM 2 2 3 2 2" xfId="6189" xr:uid="{00000000-0005-0000-0000-000053000000}"/>
    <cellStyle name="=C:\WINNT\SYSTEM32\COMMAND.COM 2 2 3 2 3" xfId="8710" xr:uid="{00000000-0005-0000-0000-000054000000}"/>
    <cellStyle name="=C:\WINNT\SYSTEM32\COMMAND.COM 2 2 3 3" xfId="4581" xr:uid="{00000000-0005-0000-0000-000055000000}"/>
    <cellStyle name="=C:\WINNT\SYSTEM32\COMMAND.COM 2 2 3 4" xfId="7835" xr:uid="{00000000-0005-0000-0000-000056000000}"/>
    <cellStyle name="=C:\WINNT\SYSTEM32\COMMAND.COM 2 2 4" xfId="3003" xr:uid="{00000000-0005-0000-0000-000057000000}"/>
    <cellStyle name="=C:\WINNT\SYSTEM32\COMMAND.COM 2 2 4 2" xfId="4665" xr:uid="{00000000-0005-0000-0000-000058000000}"/>
    <cellStyle name="=C:\WINNT\SYSTEM32\COMMAND.COM 2 2 4 3" xfId="8059" xr:uid="{00000000-0005-0000-0000-000059000000}"/>
    <cellStyle name="=C:\WINNT\SYSTEM32\COMMAND.COM 2 2 5" xfId="3782" xr:uid="{00000000-0005-0000-0000-00005A000000}"/>
    <cellStyle name="=C:\WINNT\SYSTEM32\COMMAND.COM 2 2 5 2" xfId="6175" xr:uid="{00000000-0005-0000-0000-00005B000000}"/>
    <cellStyle name="=C:\WINNT\SYSTEM32\COMMAND.COM 2 2 5 3" xfId="8693" xr:uid="{00000000-0005-0000-0000-00005C000000}"/>
    <cellStyle name="=C:\WINNT\SYSTEM32\COMMAND.COM 2 2 6" xfId="2802" xr:uid="{00000000-0005-0000-0000-00005D000000}"/>
    <cellStyle name="=C:\WINNT\SYSTEM32\COMMAND.COM 2 2 7" xfId="3893" xr:uid="{00000000-0005-0000-0000-00005E000000}"/>
    <cellStyle name="=C:\WINNT\SYSTEM32\COMMAND.COM 2 2 8" xfId="6326" xr:uid="{00000000-0005-0000-0000-00005F000000}"/>
    <cellStyle name="=C:\WINNT\SYSTEM32\COMMAND.COM 2 3" xfId="2124" xr:uid="{00000000-0005-0000-0000-000060000000}"/>
    <cellStyle name="=C:\WINNT\SYSTEM32\COMMAND.COM 2 3 2" xfId="3895" xr:uid="{00000000-0005-0000-0000-000061000000}"/>
    <cellStyle name="=C:\WINNT\SYSTEM32\COMMAND.COM 2 3 3" xfId="7365" xr:uid="{00000000-0005-0000-0000-000062000000}"/>
    <cellStyle name="=C:\WINNT\SYSTEM32\COMMAND.COM 2 4" xfId="2125" xr:uid="{00000000-0005-0000-0000-000063000000}"/>
    <cellStyle name="=C:\WINNT\SYSTEM32\COMMAND.COM 2 4 2" xfId="3896" xr:uid="{00000000-0005-0000-0000-000064000000}"/>
    <cellStyle name="=C:\WINNT\SYSTEM32\COMMAND.COM 2 4 3" xfId="7366" xr:uid="{00000000-0005-0000-0000-000065000000}"/>
    <cellStyle name="=C:\WINNT\SYSTEM32\COMMAND.COM 2 5" xfId="2122" xr:uid="{00000000-0005-0000-0000-000066000000}"/>
    <cellStyle name="=C:\WINNT\SYSTEM32\COMMAND.COM 2 5 2" xfId="3897" xr:uid="{00000000-0005-0000-0000-000067000000}"/>
    <cellStyle name="=C:\WINNT\SYSTEM32\COMMAND.COM 2 5 3" xfId="7363" xr:uid="{00000000-0005-0000-0000-000068000000}"/>
    <cellStyle name="=C:\WINNT\SYSTEM32\COMMAND.COM 2 6" xfId="2617" xr:uid="{00000000-0005-0000-0000-000069000000}"/>
    <cellStyle name="=C:\WINNT\SYSTEM32\COMMAND.COM 2 6 2" xfId="2925" xr:uid="{00000000-0005-0000-0000-00006A000000}"/>
    <cellStyle name="=C:\WINNT\SYSTEM32\COMMAND.COM 2 6 2 2" xfId="4594" xr:uid="{00000000-0005-0000-0000-00006B000000}"/>
    <cellStyle name="=C:\WINNT\SYSTEM32\COMMAND.COM 2 6 2 3" xfId="7982" xr:uid="{00000000-0005-0000-0000-00006C000000}"/>
    <cellStyle name="=C:\WINNT\SYSTEM32\COMMAND.COM 2 6 3" xfId="3018" xr:uid="{00000000-0005-0000-0000-00006D000000}"/>
    <cellStyle name="=C:\WINNT\SYSTEM32\COMMAND.COM 2 6 3 2" xfId="4678" xr:uid="{00000000-0005-0000-0000-00006E000000}"/>
    <cellStyle name="=C:\WINNT\SYSTEM32\COMMAND.COM 2 6 3 3" xfId="8074" xr:uid="{00000000-0005-0000-0000-00006F000000}"/>
    <cellStyle name="=C:\WINNT\SYSTEM32\COMMAND.COM 2 6 4" xfId="3805" xr:uid="{00000000-0005-0000-0000-000070000000}"/>
    <cellStyle name="=C:\WINNT\SYSTEM32\COMMAND.COM 2 6 4 2" xfId="6194" xr:uid="{00000000-0005-0000-0000-000071000000}"/>
    <cellStyle name="=C:\WINNT\SYSTEM32\COMMAND.COM 2 6 4 3" xfId="8716" xr:uid="{00000000-0005-0000-0000-000072000000}"/>
    <cellStyle name="=C:\WINNT\SYSTEM32\COMMAND.COM 2 6 5" xfId="2819" xr:uid="{00000000-0005-0000-0000-000073000000}"/>
    <cellStyle name="=C:\WINNT\SYSTEM32\COMMAND.COM 2 6 6" xfId="3898" xr:uid="{00000000-0005-0000-0000-000074000000}"/>
    <cellStyle name="=C:\WINNT\SYSTEM32\COMMAND.COM 2 6 7" xfId="7834" xr:uid="{00000000-0005-0000-0000-000075000000}"/>
    <cellStyle name="=C:\WINNT\SYSTEM32\COMMAND.COM 2 7" xfId="3754" xr:uid="{00000000-0005-0000-0000-000076000000}"/>
    <cellStyle name="=C:\WINNT\SYSTEM32\COMMAND.COM 2 7 2" xfId="6150" xr:uid="{00000000-0005-0000-0000-000077000000}"/>
    <cellStyle name="=C:\WINNT\SYSTEM32\COMMAND.COM 2 7 3" xfId="8667" xr:uid="{00000000-0005-0000-0000-000078000000}"/>
    <cellStyle name="=C:\WINNT\SYSTEM32\COMMAND.COM 2 8" xfId="3892" xr:uid="{00000000-0005-0000-0000-000079000000}"/>
    <cellStyle name="=C:\WINNT\SYSTEM32\COMMAND.COM 2 9" xfId="6321" xr:uid="{00000000-0005-0000-0000-00007A000000}"/>
    <cellStyle name="=C:\WINNT\SYSTEM32\COMMAND.COM 3" xfId="1046" xr:uid="{00000000-0005-0000-0000-00007B000000}"/>
    <cellStyle name="=C:\WINNT\SYSTEM32\COMMAND.COM 3 2" xfId="1158" xr:uid="{00000000-0005-0000-0000-00007C000000}"/>
    <cellStyle name="=C:\WINNT\SYSTEM32\COMMAND.COM 3 2 2" xfId="2127" xr:uid="{00000000-0005-0000-0000-00007D000000}"/>
    <cellStyle name="=C:\WINNT\SYSTEM32\COMMAND.COM 3 2 3" xfId="3900" xr:uid="{00000000-0005-0000-0000-00007E000000}"/>
    <cellStyle name="=C:\WINNT\SYSTEM32\COMMAND.COM 3 2 4" xfId="6413" xr:uid="{00000000-0005-0000-0000-00007F000000}"/>
    <cellStyle name="=C:\WINNT\SYSTEM32\COMMAND.COM 3 3" xfId="2616" xr:uid="{00000000-0005-0000-0000-000080000000}"/>
    <cellStyle name="=C:\WINNT\SYSTEM32\COMMAND.COM 3 3 2" xfId="3901" xr:uid="{00000000-0005-0000-0000-000081000000}"/>
    <cellStyle name="=C:\WINNT\SYSTEM32\COMMAND.COM 3 3 3" xfId="7833" xr:uid="{00000000-0005-0000-0000-000082000000}"/>
    <cellStyle name="=C:\WINNT\SYSTEM32\COMMAND.COM 3 4" xfId="3076" xr:uid="{00000000-0005-0000-0000-000083000000}"/>
    <cellStyle name="=C:\WINNT\SYSTEM32\COMMAND.COM 3 4 2" xfId="4727" xr:uid="{00000000-0005-0000-0000-000084000000}"/>
    <cellStyle name="=C:\WINNT\SYSTEM32\COMMAND.COM 3 4 3" xfId="8132" xr:uid="{00000000-0005-0000-0000-000085000000}"/>
    <cellStyle name="=C:\WINNT\SYSTEM32\COMMAND.COM 3 5" xfId="3899" xr:uid="{00000000-0005-0000-0000-000086000000}"/>
    <cellStyle name="=C:\WINNT\SYSTEM32\COMMAND.COM 3 6" xfId="6327" xr:uid="{00000000-0005-0000-0000-000087000000}"/>
    <cellStyle name="=C:\WINNT\SYSTEM32\COMMAND.COM 4" xfId="1044" xr:uid="{00000000-0005-0000-0000-000088000000}"/>
    <cellStyle name="=C:\WINNT\SYSTEM32\COMMAND.COM 4 2" xfId="2128" xr:uid="{00000000-0005-0000-0000-000089000000}"/>
    <cellStyle name="=C:\WINNT\SYSTEM32\COMMAND.COM 4 2 2" xfId="3903" xr:uid="{00000000-0005-0000-0000-00008A000000}"/>
    <cellStyle name="=C:\WINNT\SYSTEM32\COMMAND.COM 4 2 3" xfId="7368" xr:uid="{00000000-0005-0000-0000-00008B000000}"/>
    <cellStyle name="=C:\WINNT\SYSTEM32\COMMAND.COM 4 3" xfId="2615" xr:uid="{00000000-0005-0000-0000-00008C000000}"/>
    <cellStyle name="=C:\WINNT\SYSTEM32\COMMAND.COM 4 3 2" xfId="3755" xr:uid="{00000000-0005-0000-0000-00008D000000}"/>
    <cellStyle name="=C:\WINNT\SYSTEM32\COMMAND.COM 4 3 2 2" xfId="6151" xr:uid="{00000000-0005-0000-0000-00008E000000}"/>
    <cellStyle name="=C:\WINNT\SYSTEM32\COMMAND.COM 4 3 2 3" xfId="8668" xr:uid="{00000000-0005-0000-0000-00008F000000}"/>
    <cellStyle name="=C:\WINNT\SYSTEM32\COMMAND.COM 4 3 3" xfId="4580" xr:uid="{00000000-0005-0000-0000-000090000000}"/>
    <cellStyle name="=C:\WINNT\SYSTEM32\COMMAND.COM 4 3 4" xfId="7832" xr:uid="{00000000-0005-0000-0000-000091000000}"/>
    <cellStyle name="=C:\WINNT\SYSTEM32\COMMAND.COM 4 4" xfId="3002" xr:uid="{00000000-0005-0000-0000-000092000000}"/>
    <cellStyle name="=C:\WINNT\SYSTEM32\COMMAND.COM 4 4 2" xfId="4664" xr:uid="{00000000-0005-0000-0000-000093000000}"/>
    <cellStyle name="=C:\WINNT\SYSTEM32\COMMAND.COM 4 4 3" xfId="8058" xr:uid="{00000000-0005-0000-0000-000094000000}"/>
    <cellStyle name="=C:\WINNT\SYSTEM32\COMMAND.COM 4 5" xfId="3751" xr:uid="{00000000-0005-0000-0000-000095000000}"/>
    <cellStyle name="=C:\WINNT\SYSTEM32\COMMAND.COM 4 5 2" xfId="6148" xr:uid="{00000000-0005-0000-0000-000096000000}"/>
    <cellStyle name="=C:\WINNT\SYSTEM32\COMMAND.COM 4 5 3" xfId="8664" xr:uid="{00000000-0005-0000-0000-000097000000}"/>
    <cellStyle name="=C:\WINNT\SYSTEM32\COMMAND.COM 4 6" xfId="2801" xr:uid="{00000000-0005-0000-0000-000098000000}"/>
    <cellStyle name="=C:\WINNT\SYSTEM32\COMMAND.COM 4 7" xfId="3902" xr:uid="{00000000-0005-0000-0000-000099000000}"/>
    <cellStyle name="=C:\WINNT\SYSTEM32\COMMAND.COM 4 8" xfId="6325" xr:uid="{00000000-0005-0000-0000-00009A000000}"/>
    <cellStyle name="=C:\WINNT\SYSTEM32\COMMAND.COM 5" xfId="2121" xr:uid="{00000000-0005-0000-0000-00009B000000}"/>
    <cellStyle name="=C:\WINNT\SYSTEM32\COMMAND.COM 5 2" xfId="3904" xr:uid="{00000000-0005-0000-0000-00009C000000}"/>
    <cellStyle name="=C:\WINNT\SYSTEM32\COMMAND.COM 5 3" xfId="7362" xr:uid="{00000000-0005-0000-0000-00009D000000}"/>
    <cellStyle name="=C:\WINNT\SYSTEM32\COMMAND.COM 6" xfId="2614" xr:uid="{00000000-0005-0000-0000-00009E000000}"/>
    <cellStyle name="=C:\WINNT\SYSTEM32\COMMAND.COM 6 2" xfId="2924" xr:uid="{00000000-0005-0000-0000-00009F000000}"/>
    <cellStyle name="=C:\WINNT\SYSTEM32\COMMAND.COM 6 2 2" xfId="4593" xr:uid="{00000000-0005-0000-0000-0000A0000000}"/>
    <cellStyle name="=C:\WINNT\SYSTEM32\COMMAND.COM 6 2 3" xfId="7981" xr:uid="{00000000-0005-0000-0000-0000A1000000}"/>
    <cellStyle name="=C:\WINNT\SYSTEM32\COMMAND.COM 6 3" xfId="3017" xr:uid="{00000000-0005-0000-0000-0000A2000000}"/>
    <cellStyle name="=C:\WINNT\SYSTEM32\COMMAND.COM 6 3 2" xfId="4677" xr:uid="{00000000-0005-0000-0000-0000A3000000}"/>
    <cellStyle name="=C:\WINNT\SYSTEM32\COMMAND.COM 6 3 3" xfId="8073" xr:uid="{00000000-0005-0000-0000-0000A4000000}"/>
    <cellStyle name="=C:\WINNT\SYSTEM32\COMMAND.COM 6 4" xfId="3796" xr:uid="{00000000-0005-0000-0000-0000A5000000}"/>
    <cellStyle name="=C:\WINNT\SYSTEM32\COMMAND.COM 6 4 2" xfId="6186" xr:uid="{00000000-0005-0000-0000-0000A6000000}"/>
    <cellStyle name="=C:\WINNT\SYSTEM32\COMMAND.COM 6 4 3" xfId="8707" xr:uid="{00000000-0005-0000-0000-0000A7000000}"/>
    <cellStyle name="=C:\WINNT\SYSTEM32\COMMAND.COM 6 5" xfId="2818" xr:uid="{00000000-0005-0000-0000-0000A8000000}"/>
    <cellStyle name="=C:\WINNT\SYSTEM32\COMMAND.COM 6 6" xfId="3905" xr:uid="{00000000-0005-0000-0000-0000A9000000}"/>
    <cellStyle name="=C:\WINNT\SYSTEM32\COMMAND.COM 6 7" xfId="7831" xr:uid="{00000000-0005-0000-0000-0000AA000000}"/>
    <cellStyle name="=C:\WINNT\SYSTEM32\COMMAND.COM 7" xfId="3753" xr:uid="{00000000-0005-0000-0000-0000AB000000}"/>
    <cellStyle name="=C:\WINNT\SYSTEM32\COMMAND.COM 7 2" xfId="6149" xr:uid="{00000000-0005-0000-0000-0000AC000000}"/>
    <cellStyle name="=C:\WINNT\SYSTEM32\COMMAND.COM 7 3" xfId="8666" xr:uid="{00000000-0005-0000-0000-0000AD000000}"/>
    <cellStyle name="=C:\WINNT\SYSTEM32\COMMAND.COM 8" xfId="3859" xr:uid="{00000000-0005-0000-0000-0000AE000000}"/>
    <cellStyle name="=C:\WINNT\SYSTEM32\COMMAND.COM 9" xfId="6320" xr:uid="{00000000-0005-0000-0000-0000AF000000}"/>
    <cellStyle name="=C:\WINNT\SYSTEM32\COMMAND.COM_IEAG 2009 Versão base_1_IEAG 2009 Versão base" xfId="2610" xr:uid="{00000000-0005-0000-0000-0000B0000000}"/>
    <cellStyle name="20% - Accent1" xfId="37" xr:uid="{00000000-0005-0000-0000-0000B1000000}"/>
    <cellStyle name="20% - Accent1 10" xfId="2609" xr:uid="{00000000-0005-0000-0000-0000B2000000}"/>
    <cellStyle name="20% - Accent1 2" xfId="1047" xr:uid="{00000000-0005-0000-0000-0000B3000000}"/>
    <cellStyle name="20% - Accent1 2 2" xfId="2884" xr:uid="{00000000-0005-0000-0000-0000B4000000}"/>
    <cellStyle name="20% - Accent1 2 2 2" xfId="3818" xr:uid="{00000000-0005-0000-0000-0000B5000000}"/>
    <cellStyle name="20% - Accent1 2 2 2 2" xfId="6203" xr:uid="{00000000-0005-0000-0000-0000B6000000}"/>
    <cellStyle name="20% - Accent1 2 2 2 3" xfId="8729" xr:uid="{00000000-0005-0000-0000-0000B7000000}"/>
    <cellStyle name="20% - Accent1 2 2 3" xfId="4551" xr:uid="{00000000-0005-0000-0000-0000B8000000}"/>
    <cellStyle name="20% - Accent1 2 2 4" xfId="7943" xr:uid="{00000000-0005-0000-0000-0000B9000000}"/>
    <cellStyle name="20% - Accent1 2 3" xfId="2974" xr:uid="{00000000-0005-0000-0000-0000BA000000}"/>
    <cellStyle name="20% - Accent1 2 3 2" xfId="4636" xr:uid="{00000000-0005-0000-0000-0000BB000000}"/>
    <cellStyle name="20% - Accent1 2 3 3" xfId="8030" xr:uid="{00000000-0005-0000-0000-0000BC000000}"/>
    <cellStyle name="20% - Accent1 2 4" xfId="3077" xr:uid="{00000000-0005-0000-0000-0000BD000000}"/>
    <cellStyle name="20% - Accent1 2 4 2" xfId="4728" xr:uid="{00000000-0005-0000-0000-0000BE000000}"/>
    <cellStyle name="20% - Accent1 2 4 3" xfId="8133" xr:uid="{00000000-0005-0000-0000-0000BF000000}"/>
    <cellStyle name="20% - Accent1 2 5" xfId="2770" xr:uid="{00000000-0005-0000-0000-0000C0000000}"/>
    <cellStyle name="20% - Accent1 2 6" xfId="3907" xr:uid="{00000000-0005-0000-0000-0000C1000000}"/>
    <cellStyle name="20% - Accent1 2 7" xfId="6328" xr:uid="{00000000-0005-0000-0000-0000C2000000}"/>
    <cellStyle name="20% - Accent1 3" xfId="2883" xr:uid="{00000000-0005-0000-0000-0000C3000000}"/>
    <cellStyle name="20% - Accent1 3 2" xfId="3078" xr:uid="{00000000-0005-0000-0000-0000C4000000}"/>
    <cellStyle name="20% - Accent1 3 2 2" xfId="4729" xr:uid="{00000000-0005-0000-0000-0000C5000000}"/>
    <cellStyle name="20% - Accent1 3 2 3" xfId="8134" xr:uid="{00000000-0005-0000-0000-0000C6000000}"/>
    <cellStyle name="20% - Accent1 3 3" xfId="4550" xr:uid="{00000000-0005-0000-0000-0000C7000000}"/>
    <cellStyle name="20% - Accent1 3 4" xfId="7942" xr:uid="{00000000-0005-0000-0000-0000C8000000}"/>
    <cellStyle name="20% - Accent1 4" xfId="2973" xr:uid="{00000000-0005-0000-0000-0000C9000000}"/>
    <cellStyle name="20% - Accent1 4 2" xfId="3079" xr:uid="{00000000-0005-0000-0000-0000CA000000}"/>
    <cellStyle name="20% - Accent1 4 2 2" xfId="4730" xr:uid="{00000000-0005-0000-0000-0000CB000000}"/>
    <cellStyle name="20% - Accent1 4 2 3" xfId="8135" xr:uid="{00000000-0005-0000-0000-0000CC000000}"/>
    <cellStyle name="20% - Accent1 4 3" xfId="4635" xr:uid="{00000000-0005-0000-0000-0000CD000000}"/>
    <cellStyle name="20% - Accent1 4 4" xfId="8029" xr:uid="{00000000-0005-0000-0000-0000CE000000}"/>
    <cellStyle name="20% - Accent1 5" xfId="3080" xr:uid="{00000000-0005-0000-0000-0000CF000000}"/>
    <cellStyle name="20% - Accent1 5 2" xfId="4731" xr:uid="{00000000-0005-0000-0000-0000D0000000}"/>
    <cellStyle name="20% - Accent1 5 3" xfId="8136" xr:uid="{00000000-0005-0000-0000-0000D1000000}"/>
    <cellStyle name="20% - Accent1 6" xfId="3081" xr:uid="{00000000-0005-0000-0000-0000D2000000}"/>
    <cellStyle name="20% - Accent1 6 2" xfId="4732" xr:uid="{00000000-0005-0000-0000-0000D3000000}"/>
    <cellStyle name="20% - Accent1 6 3" xfId="8137" xr:uid="{00000000-0005-0000-0000-0000D4000000}"/>
    <cellStyle name="20% - Accent1 7" xfId="2769" xr:uid="{00000000-0005-0000-0000-0000D5000000}"/>
    <cellStyle name="20% - Accent1 8" xfId="3906" xr:uid="{00000000-0005-0000-0000-0000D6000000}"/>
    <cellStyle name="20% - Accent1 9" xfId="7827" xr:uid="{00000000-0005-0000-0000-0000D7000000}"/>
    <cellStyle name="20% - Accent2" xfId="38" xr:uid="{00000000-0005-0000-0000-0000D8000000}"/>
    <cellStyle name="20% - Accent2 10" xfId="2608" xr:uid="{00000000-0005-0000-0000-0000D9000000}"/>
    <cellStyle name="20% - Accent2 2" xfId="1048" xr:uid="{00000000-0005-0000-0000-0000DA000000}"/>
    <cellStyle name="20% - Accent2 2 2" xfId="2886" xr:uid="{00000000-0005-0000-0000-0000DB000000}"/>
    <cellStyle name="20% - Accent2 2 2 2" xfId="3588" xr:uid="{00000000-0005-0000-0000-0000DC000000}"/>
    <cellStyle name="20% - Accent2 2 2 2 2" xfId="5200" xr:uid="{00000000-0005-0000-0000-0000DD000000}"/>
    <cellStyle name="20% - Accent2 2 2 2 3" xfId="8572" xr:uid="{00000000-0005-0000-0000-0000DE000000}"/>
    <cellStyle name="20% - Accent2 2 2 3" xfId="4553" xr:uid="{00000000-0005-0000-0000-0000DF000000}"/>
    <cellStyle name="20% - Accent2 2 2 4" xfId="7945" xr:uid="{00000000-0005-0000-0000-0000E0000000}"/>
    <cellStyle name="20% - Accent2 2 3" xfId="2976" xr:uid="{00000000-0005-0000-0000-0000E1000000}"/>
    <cellStyle name="20% - Accent2 2 3 2" xfId="4638" xr:uid="{00000000-0005-0000-0000-0000E2000000}"/>
    <cellStyle name="20% - Accent2 2 3 3" xfId="8032" xr:uid="{00000000-0005-0000-0000-0000E3000000}"/>
    <cellStyle name="20% - Accent2 2 4" xfId="3082" xr:uid="{00000000-0005-0000-0000-0000E4000000}"/>
    <cellStyle name="20% - Accent2 2 4 2" xfId="4733" xr:uid="{00000000-0005-0000-0000-0000E5000000}"/>
    <cellStyle name="20% - Accent2 2 4 3" xfId="8138" xr:uid="{00000000-0005-0000-0000-0000E6000000}"/>
    <cellStyle name="20% - Accent2 2 5" xfId="2772" xr:uid="{00000000-0005-0000-0000-0000E7000000}"/>
    <cellStyle name="20% - Accent2 2 6" xfId="3909" xr:uid="{00000000-0005-0000-0000-0000E8000000}"/>
    <cellStyle name="20% - Accent2 2 7" xfId="6329" xr:uid="{00000000-0005-0000-0000-0000E9000000}"/>
    <cellStyle name="20% - Accent2 3" xfId="2885" xr:uid="{00000000-0005-0000-0000-0000EA000000}"/>
    <cellStyle name="20% - Accent2 3 2" xfId="3083" xr:uid="{00000000-0005-0000-0000-0000EB000000}"/>
    <cellStyle name="20% - Accent2 3 2 2" xfId="4734" xr:uid="{00000000-0005-0000-0000-0000EC000000}"/>
    <cellStyle name="20% - Accent2 3 2 3" xfId="8139" xr:uid="{00000000-0005-0000-0000-0000ED000000}"/>
    <cellStyle name="20% - Accent2 3 3" xfId="3795" xr:uid="{00000000-0005-0000-0000-0000EE000000}"/>
    <cellStyle name="20% - Accent2 3 3 2" xfId="6185" xr:uid="{00000000-0005-0000-0000-0000EF000000}"/>
    <cellStyle name="20% - Accent2 3 3 3" xfId="8706" xr:uid="{00000000-0005-0000-0000-0000F0000000}"/>
    <cellStyle name="20% - Accent2 3 4" xfId="4552" xr:uid="{00000000-0005-0000-0000-0000F1000000}"/>
    <cellStyle name="20% - Accent2 3 5" xfId="7944" xr:uid="{00000000-0005-0000-0000-0000F2000000}"/>
    <cellStyle name="20% - Accent2 4" xfId="2975" xr:uid="{00000000-0005-0000-0000-0000F3000000}"/>
    <cellStyle name="20% - Accent2 4 2" xfId="3084" xr:uid="{00000000-0005-0000-0000-0000F4000000}"/>
    <cellStyle name="20% - Accent2 4 2 2" xfId="4735" xr:uid="{00000000-0005-0000-0000-0000F5000000}"/>
    <cellStyle name="20% - Accent2 4 2 3" xfId="8140" xr:uid="{00000000-0005-0000-0000-0000F6000000}"/>
    <cellStyle name="20% - Accent2 4 3" xfId="4637" xr:uid="{00000000-0005-0000-0000-0000F7000000}"/>
    <cellStyle name="20% - Accent2 4 4" xfId="8031" xr:uid="{00000000-0005-0000-0000-0000F8000000}"/>
    <cellStyle name="20% - Accent2 5" xfId="3085" xr:uid="{00000000-0005-0000-0000-0000F9000000}"/>
    <cellStyle name="20% - Accent2 5 2" xfId="4736" xr:uid="{00000000-0005-0000-0000-0000FA000000}"/>
    <cellStyle name="20% - Accent2 5 3" xfId="8141" xr:uid="{00000000-0005-0000-0000-0000FB000000}"/>
    <cellStyle name="20% - Accent2 6" xfId="3086" xr:uid="{00000000-0005-0000-0000-0000FC000000}"/>
    <cellStyle name="20% - Accent2 6 2" xfId="4737" xr:uid="{00000000-0005-0000-0000-0000FD000000}"/>
    <cellStyle name="20% - Accent2 6 3" xfId="8142" xr:uid="{00000000-0005-0000-0000-0000FE000000}"/>
    <cellStyle name="20% - Accent2 7" xfId="2771" xr:uid="{00000000-0005-0000-0000-0000FF000000}"/>
    <cellStyle name="20% - Accent2 8" xfId="3908" xr:uid="{00000000-0005-0000-0000-000000010000}"/>
    <cellStyle name="20% - Accent2 9" xfId="7826" xr:uid="{00000000-0005-0000-0000-000001010000}"/>
    <cellStyle name="20% - Accent3" xfId="39" xr:uid="{00000000-0005-0000-0000-000002010000}"/>
    <cellStyle name="20% - Accent3 10" xfId="2607" xr:uid="{00000000-0005-0000-0000-000003010000}"/>
    <cellStyle name="20% - Accent3 2" xfId="1049" xr:uid="{00000000-0005-0000-0000-000004010000}"/>
    <cellStyle name="20% - Accent3 2 2" xfId="2888" xr:uid="{00000000-0005-0000-0000-000005010000}"/>
    <cellStyle name="20% - Accent3 2 2 2" xfId="3592" xr:uid="{00000000-0005-0000-0000-000006010000}"/>
    <cellStyle name="20% - Accent3 2 2 2 2" xfId="5204" xr:uid="{00000000-0005-0000-0000-000007010000}"/>
    <cellStyle name="20% - Accent3 2 2 2 3" xfId="8576" xr:uid="{00000000-0005-0000-0000-000008010000}"/>
    <cellStyle name="20% - Accent3 2 2 3" xfId="4555" xr:uid="{00000000-0005-0000-0000-000009010000}"/>
    <cellStyle name="20% - Accent3 2 2 4" xfId="7947" xr:uid="{00000000-0005-0000-0000-00000A010000}"/>
    <cellStyle name="20% - Accent3 2 3" xfId="2978" xr:uid="{00000000-0005-0000-0000-00000B010000}"/>
    <cellStyle name="20% - Accent3 2 3 2" xfId="4640" xr:uid="{00000000-0005-0000-0000-00000C010000}"/>
    <cellStyle name="20% - Accent3 2 3 3" xfId="8034" xr:uid="{00000000-0005-0000-0000-00000D010000}"/>
    <cellStyle name="20% - Accent3 2 4" xfId="3087" xr:uid="{00000000-0005-0000-0000-00000E010000}"/>
    <cellStyle name="20% - Accent3 2 4 2" xfId="4738" xr:uid="{00000000-0005-0000-0000-00000F010000}"/>
    <cellStyle name="20% - Accent3 2 4 3" xfId="8143" xr:uid="{00000000-0005-0000-0000-000010010000}"/>
    <cellStyle name="20% - Accent3 2 5" xfId="2774" xr:uid="{00000000-0005-0000-0000-000011010000}"/>
    <cellStyle name="20% - Accent3 2 6" xfId="3911" xr:uid="{00000000-0005-0000-0000-000012010000}"/>
    <cellStyle name="20% - Accent3 2 7" xfId="6330" xr:uid="{00000000-0005-0000-0000-000013010000}"/>
    <cellStyle name="20% - Accent3 3" xfId="2887" xr:uid="{00000000-0005-0000-0000-000014010000}"/>
    <cellStyle name="20% - Accent3 3 2" xfId="3088" xr:uid="{00000000-0005-0000-0000-000015010000}"/>
    <cellStyle name="20% - Accent3 3 2 2" xfId="4739" xr:uid="{00000000-0005-0000-0000-000016010000}"/>
    <cellStyle name="20% - Accent3 3 2 3" xfId="8144" xr:uid="{00000000-0005-0000-0000-000017010000}"/>
    <cellStyle name="20% - Accent3 3 3" xfId="3842" xr:uid="{00000000-0005-0000-0000-000018010000}"/>
    <cellStyle name="20% - Accent3 3 3 2" xfId="6222" xr:uid="{00000000-0005-0000-0000-000019010000}"/>
    <cellStyle name="20% - Accent3 3 3 3" xfId="8753" xr:uid="{00000000-0005-0000-0000-00001A010000}"/>
    <cellStyle name="20% - Accent3 3 4" xfId="4554" xr:uid="{00000000-0005-0000-0000-00001B010000}"/>
    <cellStyle name="20% - Accent3 3 5" xfId="7946" xr:uid="{00000000-0005-0000-0000-00001C010000}"/>
    <cellStyle name="20% - Accent3 4" xfId="2977" xr:uid="{00000000-0005-0000-0000-00001D010000}"/>
    <cellStyle name="20% - Accent3 4 2" xfId="3089" xr:uid="{00000000-0005-0000-0000-00001E010000}"/>
    <cellStyle name="20% - Accent3 4 2 2" xfId="4740" xr:uid="{00000000-0005-0000-0000-00001F010000}"/>
    <cellStyle name="20% - Accent3 4 2 3" xfId="8145" xr:uid="{00000000-0005-0000-0000-000020010000}"/>
    <cellStyle name="20% - Accent3 4 3" xfId="4639" xr:uid="{00000000-0005-0000-0000-000021010000}"/>
    <cellStyle name="20% - Accent3 4 4" xfId="8033" xr:uid="{00000000-0005-0000-0000-000022010000}"/>
    <cellStyle name="20% - Accent3 5" xfId="3090" xr:uid="{00000000-0005-0000-0000-000023010000}"/>
    <cellStyle name="20% - Accent3 5 2" xfId="4741" xr:uid="{00000000-0005-0000-0000-000024010000}"/>
    <cellStyle name="20% - Accent3 5 3" xfId="8146" xr:uid="{00000000-0005-0000-0000-000025010000}"/>
    <cellStyle name="20% - Accent3 6" xfId="3091" xr:uid="{00000000-0005-0000-0000-000026010000}"/>
    <cellStyle name="20% - Accent3 6 2" xfId="4742" xr:uid="{00000000-0005-0000-0000-000027010000}"/>
    <cellStyle name="20% - Accent3 6 3" xfId="8147" xr:uid="{00000000-0005-0000-0000-000028010000}"/>
    <cellStyle name="20% - Accent3 7" xfId="2773" xr:uid="{00000000-0005-0000-0000-000029010000}"/>
    <cellStyle name="20% - Accent3 8" xfId="3910" xr:uid="{00000000-0005-0000-0000-00002A010000}"/>
    <cellStyle name="20% - Accent3 9" xfId="7825" xr:uid="{00000000-0005-0000-0000-00002B010000}"/>
    <cellStyle name="20% - Accent4" xfId="40" xr:uid="{00000000-0005-0000-0000-00002C010000}"/>
    <cellStyle name="20% - Accent4 10" xfId="2606" xr:uid="{00000000-0005-0000-0000-00002D010000}"/>
    <cellStyle name="20% - Accent4 2" xfId="1050" xr:uid="{00000000-0005-0000-0000-00002E010000}"/>
    <cellStyle name="20% - Accent4 2 2" xfId="2890" xr:uid="{00000000-0005-0000-0000-00002F010000}"/>
    <cellStyle name="20% - Accent4 2 2 2" xfId="3596" xr:uid="{00000000-0005-0000-0000-000030010000}"/>
    <cellStyle name="20% - Accent4 2 2 2 2" xfId="5208" xr:uid="{00000000-0005-0000-0000-000031010000}"/>
    <cellStyle name="20% - Accent4 2 2 2 3" xfId="8580" xr:uid="{00000000-0005-0000-0000-000032010000}"/>
    <cellStyle name="20% - Accent4 2 2 3" xfId="4557" xr:uid="{00000000-0005-0000-0000-000033010000}"/>
    <cellStyle name="20% - Accent4 2 2 4" xfId="7949" xr:uid="{00000000-0005-0000-0000-000034010000}"/>
    <cellStyle name="20% - Accent4 2 3" xfId="2980" xr:uid="{00000000-0005-0000-0000-000035010000}"/>
    <cellStyle name="20% - Accent4 2 3 2" xfId="4642" xr:uid="{00000000-0005-0000-0000-000036010000}"/>
    <cellStyle name="20% - Accent4 2 3 3" xfId="8036" xr:uid="{00000000-0005-0000-0000-000037010000}"/>
    <cellStyle name="20% - Accent4 2 4" xfId="3092" xr:uid="{00000000-0005-0000-0000-000038010000}"/>
    <cellStyle name="20% - Accent4 2 4 2" xfId="4743" xr:uid="{00000000-0005-0000-0000-000039010000}"/>
    <cellStyle name="20% - Accent4 2 4 3" xfId="8148" xr:uid="{00000000-0005-0000-0000-00003A010000}"/>
    <cellStyle name="20% - Accent4 2 5" xfId="2776" xr:uid="{00000000-0005-0000-0000-00003B010000}"/>
    <cellStyle name="20% - Accent4 2 6" xfId="3913" xr:uid="{00000000-0005-0000-0000-00003C010000}"/>
    <cellStyle name="20% - Accent4 2 7" xfId="6331" xr:uid="{00000000-0005-0000-0000-00003D010000}"/>
    <cellStyle name="20% - Accent4 3" xfId="2889" xr:uid="{00000000-0005-0000-0000-00003E010000}"/>
    <cellStyle name="20% - Accent4 3 2" xfId="3093" xr:uid="{00000000-0005-0000-0000-00003F010000}"/>
    <cellStyle name="20% - Accent4 3 2 2" xfId="4744" xr:uid="{00000000-0005-0000-0000-000040010000}"/>
    <cellStyle name="20% - Accent4 3 2 3" xfId="8149" xr:uid="{00000000-0005-0000-0000-000041010000}"/>
    <cellStyle name="20% - Accent4 3 3" xfId="3767" xr:uid="{00000000-0005-0000-0000-000042010000}"/>
    <cellStyle name="20% - Accent4 3 3 2" xfId="6161" xr:uid="{00000000-0005-0000-0000-000043010000}"/>
    <cellStyle name="20% - Accent4 3 3 3" xfId="8679" xr:uid="{00000000-0005-0000-0000-000044010000}"/>
    <cellStyle name="20% - Accent4 3 4" xfId="4556" xr:uid="{00000000-0005-0000-0000-000045010000}"/>
    <cellStyle name="20% - Accent4 3 5" xfId="7948" xr:uid="{00000000-0005-0000-0000-000046010000}"/>
    <cellStyle name="20% - Accent4 4" xfId="2979" xr:uid="{00000000-0005-0000-0000-000047010000}"/>
    <cellStyle name="20% - Accent4 4 2" xfId="3094" xr:uid="{00000000-0005-0000-0000-000048010000}"/>
    <cellStyle name="20% - Accent4 4 2 2" xfId="4745" xr:uid="{00000000-0005-0000-0000-000049010000}"/>
    <cellStyle name="20% - Accent4 4 2 3" xfId="8150" xr:uid="{00000000-0005-0000-0000-00004A010000}"/>
    <cellStyle name="20% - Accent4 4 3" xfId="4641" xr:uid="{00000000-0005-0000-0000-00004B010000}"/>
    <cellStyle name="20% - Accent4 4 4" xfId="8035" xr:uid="{00000000-0005-0000-0000-00004C010000}"/>
    <cellStyle name="20% - Accent4 5" xfId="3095" xr:uid="{00000000-0005-0000-0000-00004D010000}"/>
    <cellStyle name="20% - Accent4 5 2" xfId="4746" xr:uid="{00000000-0005-0000-0000-00004E010000}"/>
    <cellStyle name="20% - Accent4 5 3" xfId="8151" xr:uid="{00000000-0005-0000-0000-00004F010000}"/>
    <cellStyle name="20% - Accent4 6" xfId="3096" xr:uid="{00000000-0005-0000-0000-000050010000}"/>
    <cellStyle name="20% - Accent4 6 2" xfId="4747" xr:uid="{00000000-0005-0000-0000-000051010000}"/>
    <cellStyle name="20% - Accent4 6 3" xfId="8152" xr:uid="{00000000-0005-0000-0000-000052010000}"/>
    <cellStyle name="20% - Accent4 7" xfId="2775" xr:uid="{00000000-0005-0000-0000-000053010000}"/>
    <cellStyle name="20% - Accent4 8" xfId="3912" xr:uid="{00000000-0005-0000-0000-000054010000}"/>
    <cellStyle name="20% - Accent4 9" xfId="7824" xr:uid="{00000000-0005-0000-0000-000055010000}"/>
    <cellStyle name="20% - Accent5" xfId="41" xr:uid="{00000000-0005-0000-0000-000056010000}"/>
    <cellStyle name="20% - Accent5 10" xfId="2605" xr:uid="{00000000-0005-0000-0000-000057010000}"/>
    <cellStyle name="20% - Accent5 2" xfId="1051" xr:uid="{00000000-0005-0000-0000-000058010000}"/>
    <cellStyle name="20% - Accent5 2 2" xfId="2892" xr:uid="{00000000-0005-0000-0000-000059010000}"/>
    <cellStyle name="20% - Accent5 2 2 2" xfId="3600" xr:uid="{00000000-0005-0000-0000-00005A010000}"/>
    <cellStyle name="20% - Accent5 2 2 2 2" xfId="5212" xr:uid="{00000000-0005-0000-0000-00005B010000}"/>
    <cellStyle name="20% - Accent5 2 2 2 3" xfId="8584" xr:uid="{00000000-0005-0000-0000-00005C010000}"/>
    <cellStyle name="20% - Accent5 2 2 3" xfId="4559" xr:uid="{00000000-0005-0000-0000-00005D010000}"/>
    <cellStyle name="20% - Accent5 2 2 4" xfId="7951" xr:uid="{00000000-0005-0000-0000-00005E010000}"/>
    <cellStyle name="20% - Accent5 2 3" xfId="2982" xr:uid="{00000000-0005-0000-0000-00005F010000}"/>
    <cellStyle name="20% - Accent5 2 3 2" xfId="4644" xr:uid="{00000000-0005-0000-0000-000060010000}"/>
    <cellStyle name="20% - Accent5 2 3 3" xfId="8038" xr:uid="{00000000-0005-0000-0000-000061010000}"/>
    <cellStyle name="20% - Accent5 2 4" xfId="3097" xr:uid="{00000000-0005-0000-0000-000062010000}"/>
    <cellStyle name="20% - Accent5 2 4 2" xfId="4748" xr:uid="{00000000-0005-0000-0000-000063010000}"/>
    <cellStyle name="20% - Accent5 2 4 3" xfId="8153" xr:uid="{00000000-0005-0000-0000-000064010000}"/>
    <cellStyle name="20% - Accent5 2 5" xfId="2778" xr:uid="{00000000-0005-0000-0000-000065010000}"/>
    <cellStyle name="20% - Accent5 2 6" xfId="3915" xr:uid="{00000000-0005-0000-0000-000066010000}"/>
    <cellStyle name="20% - Accent5 2 7" xfId="6332" xr:uid="{00000000-0005-0000-0000-000067010000}"/>
    <cellStyle name="20% - Accent5 3" xfId="2891" xr:uid="{00000000-0005-0000-0000-000068010000}"/>
    <cellStyle name="20% - Accent5 3 2" xfId="3098" xr:uid="{00000000-0005-0000-0000-000069010000}"/>
    <cellStyle name="20% - Accent5 3 2 2" xfId="4749" xr:uid="{00000000-0005-0000-0000-00006A010000}"/>
    <cellStyle name="20% - Accent5 3 2 3" xfId="8154" xr:uid="{00000000-0005-0000-0000-00006B010000}"/>
    <cellStyle name="20% - Accent5 3 3" xfId="3756" xr:uid="{00000000-0005-0000-0000-00006C010000}"/>
    <cellStyle name="20% - Accent5 3 3 2" xfId="6152" xr:uid="{00000000-0005-0000-0000-00006D010000}"/>
    <cellStyle name="20% - Accent5 3 3 3" xfId="8669" xr:uid="{00000000-0005-0000-0000-00006E010000}"/>
    <cellStyle name="20% - Accent5 3 4" xfId="4558" xr:uid="{00000000-0005-0000-0000-00006F010000}"/>
    <cellStyle name="20% - Accent5 3 5" xfId="7950" xr:uid="{00000000-0005-0000-0000-000070010000}"/>
    <cellStyle name="20% - Accent5 4" xfId="2981" xr:uid="{00000000-0005-0000-0000-000071010000}"/>
    <cellStyle name="20% - Accent5 4 2" xfId="3099" xr:uid="{00000000-0005-0000-0000-000072010000}"/>
    <cellStyle name="20% - Accent5 4 2 2" xfId="4750" xr:uid="{00000000-0005-0000-0000-000073010000}"/>
    <cellStyle name="20% - Accent5 4 2 3" xfId="8155" xr:uid="{00000000-0005-0000-0000-000074010000}"/>
    <cellStyle name="20% - Accent5 4 3" xfId="4643" xr:uid="{00000000-0005-0000-0000-000075010000}"/>
    <cellStyle name="20% - Accent5 4 4" xfId="8037" xr:uid="{00000000-0005-0000-0000-000076010000}"/>
    <cellStyle name="20% - Accent5 5" xfId="3100" xr:uid="{00000000-0005-0000-0000-000077010000}"/>
    <cellStyle name="20% - Accent5 5 2" xfId="4751" xr:uid="{00000000-0005-0000-0000-000078010000}"/>
    <cellStyle name="20% - Accent5 5 3" xfId="8156" xr:uid="{00000000-0005-0000-0000-000079010000}"/>
    <cellStyle name="20% - Accent5 6" xfId="3101" xr:uid="{00000000-0005-0000-0000-00007A010000}"/>
    <cellStyle name="20% - Accent5 6 2" xfId="4752" xr:uid="{00000000-0005-0000-0000-00007B010000}"/>
    <cellStyle name="20% - Accent5 6 3" xfId="8157" xr:uid="{00000000-0005-0000-0000-00007C010000}"/>
    <cellStyle name="20% - Accent5 7" xfId="2777" xr:uid="{00000000-0005-0000-0000-00007D010000}"/>
    <cellStyle name="20% - Accent5 8" xfId="3914" xr:uid="{00000000-0005-0000-0000-00007E010000}"/>
    <cellStyle name="20% - Accent5 9" xfId="7823" xr:uid="{00000000-0005-0000-0000-00007F010000}"/>
    <cellStyle name="20% - Accent6" xfId="42" xr:uid="{00000000-0005-0000-0000-000080010000}"/>
    <cellStyle name="20% - Accent6 10" xfId="2604" xr:uid="{00000000-0005-0000-0000-000081010000}"/>
    <cellStyle name="20% - Accent6 2" xfId="1052" xr:uid="{00000000-0005-0000-0000-000082010000}"/>
    <cellStyle name="20% - Accent6 2 2" xfId="2894" xr:uid="{00000000-0005-0000-0000-000083010000}"/>
    <cellStyle name="20% - Accent6 2 2 2" xfId="3604" xr:uid="{00000000-0005-0000-0000-000084010000}"/>
    <cellStyle name="20% - Accent6 2 2 2 2" xfId="5216" xr:uid="{00000000-0005-0000-0000-000085010000}"/>
    <cellStyle name="20% - Accent6 2 2 2 3" xfId="8588" xr:uid="{00000000-0005-0000-0000-000086010000}"/>
    <cellStyle name="20% - Accent6 2 2 3" xfId="4561" xr:uid="{00000000-0005-0000-0000-000087010000}"/>
    <cellStyle name="20% - Accent6 2 2 4" xfId="7953" xr:uid="{00000000-0005-0000-0000-000088010000}"/>
    <cellStyle name="20% - Accent6 2 3" xfId="2984" xr:uid="{00000000-0005-0000-0000-000089010000}"/>
    <cellStyle name="20% - Accent6 2 3 2" xfId="4646" xr:uid="{00000000-0005-0000-0000-00008A010000}"/>
    <cellStyle name="20% - Accent6 2 3 3" xfId="8040" xr:uid="{00000000-0005-0000-0000-00008B010000}"/>
    <cellStyle name="20% - Accent6 2 4" xfId="3102" xr:uid="{00000000-0005-0000-0000-00008C010000}"/>
    <cellStyle name="20% - Accent6 2 4 2" xfId="4753" xr:uid="{00000000-0005-0000-0000-00008D010000}"/>
    <cellStyle name="20% - Accent6 2 4 3" xfId="8158" xr:uid="{00000000-0005-0000-0000-00008E010000}"/>
    <cellStyle name="20% - Accent6 2 5" xfId="2780" xr:uid="{00000000-0005-0000-0000-00008F010000}"/>
    <cellStyle name="20% - Accent6 2 6" xfId="3917" xr:uid="{00000000-0005-0000-0000-000090010000}"/>
    <cellStyle name="20% - Accent6 2 7" xfId="6333" xr:uid="{00000000-0005-0000-0000-000091010000}"/>
    <cellStyle name="20% - Accent6 3" xfId="2893" xr:uid="{00000000-0005-0000-0000-000092010000}"/>
    <cellStyle name="20% - Accent6 3 2" xfId="3103" xr:uid="{00000000-0005-0000-0000-000093010000}"/>
    <cellStyle name="20% - Accent6 3 2 2" xfId="4754" xr:uid="{00000000-0005-0000-0000-000094010000}"/>
    <cellStyle name="20% - Accent6 3 2 3" xfId="8159" xr:uid="{00000000-0005-0000-0000-000095010000}"/>
    <cellStyle name="20% - Accent6 3 3" xfId="3789" xr:uid="{00000000-0005-0000-0000-000096010000}"/>
    <cellStyle name="20% - Accent6 3 3 2" xfId="6179" xr:uid="{00000000-0005-0000-0000-000097010000}"/>
    <cellStyle name="20% - Accent6 3 3 3" xfId="8700" xr:uid="{00000000-0005-0000-0000-000098010000}"/>
    <cellStyle name="20% - Accent6 3 4" xfId="4560" xr:uid="{00000000-0005-0000-0000-000099010000}"/>
    <cellStyle name="20% - Accent6 3 5" xfId="7952" xr:uid="{00000000-0005-0000-0000-00009A010000}"/>
    <cellStyle name="20% - Accent6 4" xfId="2983" xr:uid="{00000000-0005-0000-0000-00009B010000}"/>
    <cellStyle name="20% - Accent6 4 2" xfId="3104" xr:uid="{00000000-0005-0000-0000-00009C010000}"/>
    <cellStyle name="20% - Accent6 4 2 2" xfId="4755" xr:uid="{00000000-0005-0000-0000-00009D010000}"/>
    <cellStyle name="20% - Accent6 4 2 3" xfId="8160" xr:uid="{00000000-0005-0000-0000-00009E010000}"/>
    <cellStyle name="20% - Accent6 4 3" xfId="4645" xr:uid="{00000000-0005-0000-0000-00009F010000}"/>
    <cellStyle name="20% - Accent6 4 4" xfId="8039" xr:uid="{00000000-0005-0000-0000-0000A0010000}"/>
    <cellStyle name="20% - Accent6 5" xfId="3105" xr:uid="{00000000-0005-0000-0000-0000A1010000}"/>
    <cellStyle name="20% - Accent6 5 2" xfId="4756" xr:uid="{00000000-0005-0000-0000-0000A2010000}"/>
    <cellStyle name="20% - Accent6 5 3" xfId="8161" xr:uid="{00000000-0005-0000-0000-0000A3010000}"/>
    <cellStyle name="20% - Accent6 6" xfId="3106" xr:uid="{00000000-0005-0000-0000-0000A4010000}"/>
    <cellStyle name="20% - Accent6 6 2" xfId="4757" xr:uid="{00000000-0005-0000-0000-0000A5010000}"/>
    <cellStyle name="20% - Accent6 6 3" xfId="8162" xr:uid="{00000000-0005-0000-0000-0000A6010000}"/>
    <cellStyle name="20% - Accent6 7" xfId="2779" xr:uid="{00000000-0005-0000-0000-0000A7010000}"/>
    <cellStyle name="20% - Accent6 8" xfId="3916" xr:uid="{00000000-0005-0000-0000-0000A8010000}"/>
    <cellStyle name="20% - Accent6 9" xfId="7822" xr:uid="{00000000-0005-0000-0000-0000A9010000}"/>
    <cellStyle name="20% - Cor1 10" xfId="6297" xr:uid="{00000000-0005-0000-0000-0000AA010000}"/>
    <cellStyle name="20% - Cor1 11" xfId="1015" xr:uid="{00000000-0005-0000-0000-0000AB010000}"/>
    <cellStyle name="20% - Cor1 2" xfId="43" xr:uid="{00000000-0005-0000-0000-0000AC010000}"/>
    <cellStyle name="20% - Cor1 2 10" xfId="1185" xr:uid="{00000000-0005-0000-0000-0000AD010000}"/>
    <cellStyle name="20% - Cor1 2 2" xfId="1258" xr:uid="{00000000-0005-0000-0000-0000AE010000}"/>
    <cellStyle name="20% - Cor1 2 2 2" xfId="1529" xr:uid="{00000000-0005-0000-0000-0000AF010000}"/>
    <cellStyle name="20% - Cor1 2 2 2 2" xfId="5556" xr:uid="{00000000-0005-0000-0000-0000B0010000}"/>
    <cellStyle name="20% - Cor1 2 2 2 3" xfId="6781" xr:uid="{00000000-0005-0000-0000-0000B1010000}"/>
    <cellStyle name="20% - Cor1 2 2 3" xfId="1734" xr:uid="{00000000-0005-0000-0000-0000B2010000}"/>
    <cellStyle name="20% - Cor1 2 2 3 2" xfId="5756" xr:uid="{00000000-0005-0000-0000-0000B3010000}"/>
    <cellStyle name="20% - Cor1 2 2 3 3" xfId="6981" xr:uid="{00000000-0005-0000-0000-0000B4010000}"/>
    <cellStyle name="20% - Cor1 2 2 4" xfId="1514" xr:uid="{00000000-0005-0000-0000-0000B5010000}"/>
    <cellStyle name="20% - Cor1 2 2 4 2" xfId="5542" xr:uid="{00000000-0005-0000-0000-0000B6010000}"/>
    <cellStyle name="20% - Cor1 2 2 4 3" xfId="6766" xr:uid="{00000000-0005-0000-0000-0000B7010000}"/>
    <cellStyle name="20% - Cor1 2 2 5" xfId="5295" xr:uid="{00000000-0005-0000-0000-0000B8010000}"/>
    <cellStyle name="20% - Cor1 2 2 6" xfId="6510" xr:uid="{00000000-0005-0000-0000-0000B9010000}"/>
    <cellStyle name="20% - Cor1 2 3" xfId="1305" xr:uid="{00000000-0005-0000-0000-0000BA010000}"/>
    <cellStyle name="20% - Cor1 2 3 2" xfId="1574" xr:uid="{00000000-0005-0000-0000-0000BB010000}"/>
    <cellStyle name="20% - Cor1 2 3 2 2" xfId="5600" xr:uid="{00000000-0005-0000-0000-0000BC010000}"/>
    <cellStyle name="20% - Cor1 2 3 2 3" xfId="6825" xr:uid="{00000000-0005-0000-0000-0000BD010000}"/>
    <cellStyle name="20% - Cor1 2 3 3" xfId="1778" xr:uid="{00000000-0005-0000-0000-0000BE010000}"/>
    <cellStyle name="20% - Cor1 2 3 3 2" xfId="5799" xr:uid="{00000000-0005-0000-0000-0000BF010000}"/>
    <cellStyle name="20% - Cor1 2 3 3 3" xfId="7025" xr:uid="{00000000-0005-0000-0000-0000C0010000}"/>
    <cellStyle name="20% - Cor1 2 3 4" xfId="1960" xr:uid="{00000000-0005-0000-0000-0000C1010000}"/>
    <cellStyle name="20% - Cor1 2 3 4 2" xfId="5980" xr:uid="{00000000-0005-0000-0000-0000C2010000}"/>
    <cellStyle name="20% - Cor1 2 3 4 3" xfId="7207" xr:uid="{00000000-0005-0000-0000-0000C3010000}"/>
    <cellStyle name="20% - Cor1 2 3 5" xfId="5341" xr:uid="{00000000-0005-0000-0000-0000C4010000}"/>
    <cellStyle name="20% - Cor1 2 3 6" xfId="6557" xr:uid="{00000000-0005-0000-0000-0000C5010000}"/>
    <cellStyle name="20% - Cor1 2 4" xfId="1454" xr:uid="{00000000-0005-0000-0000-0000C6010000}"/>
    <cellStyle name="20% - Cor1 2 4 2" xfId="5482" xr:uid="{00000000-0005-0000-0000-0000C7010000}"/>
    <cellStyle name="20% - Cor1 2 4 3" xfId="6706" xr:uid="{00000000-0005-0000-0000-0000C8010000}"/>
    <cellStyle name="20% - Cor1 2 5" xfId="1427" xr:uid="{00000000-0005-0000-0000-0000C9010000}"/>
    <cellStyle name="20% - Cor1 2 5 2" xfId="5457" xr:uid="{00000000-0005-0000-0000-0000CA010000}"/>
    <cellStyle name="20% - Cor1 2 5 3" xfId="6679" xr:uid="{00000000-0005-0000-0000-0000CB010000}"/>
    <cellStyle name="20% - Cor1 2 6" xfId="1687" xr:uid="{00000000-0005-0000-0000-0000CC010000}"/>
    <cellStyle name="20% - Cor1 2 6 2" xfId="5709" xr:uid="{00000000-0005-0000-0000-0000CD010000}"/>
    <cellStyle name="20% - Cor1 2 6 3" xfId="6934" xr:uid="{00000000-0005-0000-0000-0000CE010000}"/>
    <cellStyle name="20% - Cor1 2 7" xfId="2670" xr:uid="{00000000-0005-0000-0000-0000CF010000}"/>
    <cellStyle name="20% - Cor1 2 8" xfId="4758" xr:uid="{00000000-0005-0000-0000-0000D0010000}"/>
    <cellStyle name="20% - Cor1 2 9" xfId="6437" xr:uid="{00000000-0005-0000-0000-0000D1010000}"/>
    <cellStyle name="20% - Cor1 3" xfId="44" xr:uid="{00000000-0005-0000-0000-0000D2010000}"/>
    <cellStyle name="20% - Cor1 3 2" xfId="1339" xr:uid="{00000000-0005-0000-0000-0000D3010000}"/>
    <cellStyle name="20% - Cor1 3 2 2" xfId="1607" xr:uid="{00000000-0005-0000-0000-0000D4010000}"/>
    <cellStyle name="20% - Cor1 3 2 2 2" xfId="5633" xr:uid="{00000000-0005-0000-0000-0000D5010000}"/>
    <cellStyle name="20% - Cor1 3 2 2 3" xfId="6858" xr:uid="{00000000-0005-0000-0000-0000D6010000}"/>
    <cellStyle name="20% - Cor1 3 2 3" xfId="1808" xr:uid="{00000000-0005-0000-0000-0000D7010000}"/>
    <cellStyle name="20% - Cor1 3 2 3 2" xfId="5829" xr:uid="{00000000-0005-0000-0000-0000D8010000}"/>
    <cellStyle name="20% - Cor1 3 2 3 3" xfId="7055" xr:uid="{00000000-0005-0000-0000-0000D9010000}"/>
    <cellStyle name="20% - Cor1 3 2 4" xfId="2009" xr:uid="{00000000-0005-0000-0000-0000DA010000}"/>
    <cellStyle name="20% - Cor1 3 2 4 2" xfId="6028" xr:uid="{00000000-0005-0000-0000-0000DB010000}"/>
    <cellStyle name="20% - Cor1 3 2 4 3" xfId="7256" xr:uid="{00000000-0005-0000-0000-0000DC010000}"/>
    <cellStyle name="20% - Cor1 3 2 5" xfId="5373" xr:uid="{00000000-0005-0000-0000-0000DD010000}"/>
    <cellStyle name="20% - Cor1 3 2 6" xfId="6591" xr:uid="{00000000-0005-0000-0000-0000DE010000}"/>
    <cellStyle name="20% - Cor1 3 3" xfId="1494" xr:uid="{00000000-0005-0000-0000-0000DF010000}"/>
    <cellStyle name="20% - Cor1 3 3 2" xfId="5522" xr:uid="{00000000-0005-0000-0000-0000E0010000}"/>
    <cellStyle name="20% - Cor1 3 3 3" xfId="6746" xr:uid="{00000000-0005-0000-0000-0000E1010000}"/>
    <cellStyle name="20% - Cor1 3 4" xfId="1701" xr:uid="{00000000-0005-0000-0000-0000E2010000}"/>
    <cellStyle name="20% - Cor1 3 4 2" xfId="5723" xr:uid="{00000000-0005-0000-0000-0000E3010000}"/>
    <cellStyle name="20% - Cor1 3 4 3" xfId="6948" xr:uid="{00000000-0005-0000-0000-0000E4010000}"/>
    <cellStyle name="20% - Cor1 3 5" xfId="1915" xr:uid="{00000000-0005-0000-0000-0000E5010000}"/>
    <cellStyle name="20% - Cor1 3 5 2" xfId="5935" xr:uid="{00000000-0005-0000-0000-0000E6010000}"/>
    <cellStyle name="20% - Cor1 3 5 3" xfId="7162" xr:uid="{00000000-0005-0000-0000-0000E7010000}"/>
    <cellStyle name="20% - Cor1 3 6" xfId="5263" xr:uid="{00000000-0005-0000-0000-0000E8010000}"/>
    <cellStyle name="20% - Cor1 3 7" xfId="6476" xr:uid="{00000000-0005-0000-0000-0000E9010000}"/>
    <cellStyle name="20% - Cor1 3 8" xfId="1224" xr:uid="{00000000-0005-0000-0000-0000EA010000}"/>
    <cellStyle name="20% - Cor1 4" xfId="45" xr:uid="{00000000-0005-0000-0000-0000EB010000}"/>
    <cellStyle name="20% - Cor1 4 2" xfId="1490" xr:uid="{00000000-0005-0000-0000-0000EC010000}"/>
    <cellStyle name="20% - Cor1 4 2 2" xfId="5518" xr:uid="{00000000-0005-0000-0000-0000ED010000}"/>
    <cellStyle name="20% - Cor1 4 2 3" xfId="6742" xr:uid="{00000000-0005-0000-0000-0000EE010000}"/>
    <cellStyle name="20% - Cor1 4 3" xfId="1697" xr:uid="{00000000-0005-0000-0000-0000EF010000}"/>
    <cellStyle name="20% - Cor1 4 3 2" xfId="5719" xr:uid="{00000000-0005-0000-0000-0000F0010000}"/>
    <cellStyle name="20% - Cor1 4 3 3" xfId="6944" xr:uid="{00000000-0005-0000-0000-0000F1010000}"/>
    <cellStyle name="20% - Cor1 4 4" xfId="1935" xr:uid="{00000000-0005-0000-0000-0000F2010000}"/>
    <cellStyle name="20% - Cor1 4 4 2" xfId="5955" xr:uid="{00000000-0005-0000-0000-0000F3010000}"/>
    <cellStyle name="20% - Cor1 4 4 3" xfId="7182" xr:uid="{00000000-0005-0000-0000-0000F4010000}"/>
    <cellStyle name="20% - Cor1 4 5" xfId="5259" xr:uid="{00000000-0005-0000-0000-0000F5010000}"/>
    <cellStyle name="20% - Cor1 4 6" xfId="6472" xr:uid="{00000000-0005-0000-0000-0000F6010000}"/>
    <cellStyle name="20% - Cor1 4 7" xfId="1220" xr:uid="{00000000-0005-0000-0000-0000F7010000}"/>
    <cellStyle name="20% - Cor1 5" xfId="1376" xr:uid="{00000000-0005-0000-0000-0000F8010000}"/>
    <cellStyle name="20% - Cor1 5 2" xfId="1646" xr:uid="{00000000-0005-0000-0000-0000F9010000}"/>
    <cellStyle name="20% - Cor1 5 2 2" xfId="5670" xr:uid="{00000000-0005-0000-0000-0000FA010000}"/>
    <cellStyle name="20% - Cor1 5 2 3" xfId="6895" xr:uid="{00000000-0005-0000-0000-0000FB010000}"/>
    <cellStyle name="20% - Cor1 5 3" xfId="1842" xr:uid="{00000000-0005-0000-0000-0000FC010000}"/>
    <cellStyle name="20% - Cor1 5 3 2" xfId="5863" xr:uid="{00000000-0005-0000-0000-0000FD010000}"/>
    <cellStyle name="20% - Cor1 5 3 3" xfId="7089" xr:uid="{00000000-0005-0000-0000-0000FE010000}"/>
    <cellStyle name="20% - Cor1 5 4" xfId="2027" xr:uid="{00000000-0005-0000-0000-0000FF010000}"/>
    <cellStyle name="20% - Cor1 5 4 2" xfId="6046" xr:uid="{00000000-0005-0000-0000-000000020000}"/>
    <cellStyle name="20% - Cor1 5 4 3" xfId="7274" xr:uid="{00000000-0005-0000-0000-000001020000}"/>
    <cellStyle name="20% - Cor1 5 5" xfId="5407" xr:uid="{00000000-0005-0000-0000-000002020000}"/>
    <cellStyle name="20% - Cor1 5 6" xfId="6628" xr:uid="{00000000-0005-0000-0000-000003020000}"/>
    <cellStyle name="20% - Cor1 6" xfId="1390" xr:uid="{00000000-0005-0000-0000-000004020000}"/>
    <cellStyle name="20% - Cor1 6 2" xfId="1660" xr:uid="{00000000-0005-0000-0000-000005020000}"/>
    <cellStyle name="20% - Cor1 6 2 2" xfId="5684" xr:uid="{00000000-0005-0000-0000-000006020000}"/>
    <cellStyle name="20% - Cor1 6 2 3" xfId="6909" xr:uid="{00000000-0005-0000-0000-000007020000}"/>
    <cellStyle name="20% - Cor1 6 3" xfId="1856" xr:uid="{00000000-0005-0000-0000-000008020000}"/>
    <cellStyle name="20% - Cor1 6 3 2" xfId="5877" xr:uid="{00000000-0005-0000-0000-000009020000}"/>
    <cellStyle name="20% - Cor1 6 3 3" xfId="7103" xr:uid="{00000000-0005-0000-0000-00000A020000}"/>
    <cellStyle name="20% - Cor1 6 4" xfId="2041" xr:uid="{00000000-0005-0000-0000-00000B020000}"/>
    <cellStyle name="20% - Cor1 6 4 2" xfId="6060" xr:uid="{00000000-0005-0000-0000-00000C020000}"/>
    <cellStyle name="20% - Cor1 6 4 3" xfId="7288" xr:uid="{00000000-0005-0000-0000-00000D020000}"/>
    <cellStyle name="20% - Cor1 6 5" xfId="5421" xr:uid="{00000000-0005-0000-0000-00000E020000}"/>
    <cellStyle name="20% - Cor1 6 6" xfId="6642" xr:uid="{00000000-0005-0000-0000-00000F020000}"/>
    <cellStyle name="20% - Cor1 7" xfId="1417" xr:uid="{00000000-0005-0000-0000-000010020000}"/>
    <cellStyle name="20% - Cor1 7 2" xfId="1880" xr:uid="{00000000-0005-0000-0000-000011020000}"/>
    <cellStyle name="20% - Cor1 7 2 2" xfId="5900" xr:uid="{00000000-0005-0000-0000-000012020000}"/>
    <cellStyle name="20% - Cor1 7 2 3" xfId="7127" xr:uid="{00000000-0005-0000-0000-000013020000}"/>
    <cellStyle name="20% - Cor1 7 3" xfId="2053" xr:uid="{00000000-0005-0000-0000-000014020000}"/>
    <cellStyle name="20% - Cor1 7 3 2" xfId="6072" xr:uid="{00000000-0005-0000-0000-000015020000}"/>
    <cellStyle name="20% - Cor1 7 3 3" xfId="7300" xr:uid="{00000000-0005-0000-0000-000016020000}"/>
    <cellStyle name="20% - Cor1 7 4" xfId="5447" xr:uid="{00000000-0005-0000-0000-000017020000}"/>
    <cellStyle name="20% - Cor1 7 5" xfId="6669" xr:uid="{00000000-0005-0000-0000-000018020000}"/>
    <cellStyle name="20% - Cor1 8" xfId="1621" xr:uid="{00000000-0005-0000-0000-000019020000}"/>
    <cellStyle name="20% - Cor1 8 2" xfId="2077" xr:uid="{00000000-0005-0000-0000-00001A020000}"/>
    <cellStyle name="20% - Cor1 8 2 2" xfId="6096" xr:uid="{00000000-0005-0000-0000-00001B020000}"/>
    <cellStyle name="20% - Cor1 8 2 3" xfId="7324" xr:uid="{00000000-0005-0000-0000-00001C020000}"/>
    <cellStyle name="20% - Cor1 8 3" xfId="5647" xr:uid="{00000000-0005-0000-0000-00001D020000}"/>
    <cellStyle name="20% - Cor1 8 4" xfId="6872" xr:uid="{00000000-0005-0000-0000-00001E020000}"/>
    <cellStyle name="20% - Cor1 9" xfId="1936" xr:uid="{00000000-0005-0000-0000-00001F020000}"/>
    <cellStyle name="20% - Cor1 9 2" xfId="5956" xr:uid="{00000000-0005-0000-0000-000020020000}"/>
    <cellStyle name="20% - Cor1 9 3" xfId="7183" xr:uid="{00000000-0005-0000-0000-000021020000}"/>
    <cellStyle name="20% - Cor2 10" xfId="6301" xr:uid="{00000000-0005-0000-0000-000022020000}"/>
    <cellStyle name="20% - Cor2 11" xfId="1019" xr:uid="{00000000-0005-0000-0000-000023020000}"/>
    <cellStyle name="20% - Cor2 2" xfId="46" xr:uid="{00000000-0005-0000-0000-000024020000}"/>
    <cellStyle name="20% - Cor2 2 2" xfId="1260" xr:uid="{00000000-0005-0000-0000-000025020000}"/>
    <cellStyle name="20% - Cor2 2 2 2" xfId="1531" xr:uid="{00000000-0005-0000-0000-000026020000}"/>
    <cellStyle name="20% - Cor2 2 2 2 2" xfId="5558" xr:uid="{00000000-0005-0000-0000-000027020000}"/>
    <cellStyle name="20% - Cor2 2 2 2 3" xfId="6783" xr:uid="{00000000-0005-0000-0000-000028020000}"/>
    <cellStyle name="20% - Cor2 2 2 3" xfId="1736" xr:uid="{00000000-0005-0000-0000-000029020000}"/>
    <cellStyle name="20% - Cor2 2 2 3 2" xfId="5758" xr:uid="{00000000-0005-0000-0000-00002A020000}"/>
    <cellStyle name="20% - Cor2 2 2 3 3" xfId="6983" xr:uid="{00000000-0005-0000-0000-00002B020000}"/>
    <cellStyle name="20% - Cor2 2 2 4" xfId="1414" xr:uid="{00000000-0005-0000-0000-00002C020000}"/>
    <cellStyle name="20% - Cor2 2 2 4 2" xfId="5444" xr:uid="{00000000-0005-0000-0000-00002D020000}"/>
    <cellStyle name="20% - Cor2 2 2 4 3" xfId="6666" xr:uid="{00000000-0005-0000-0000-00002E020000}"/>
    <cellStyle name="20% - Cor2 2 2 5" xfId="5297" xr:uid="{00000000-0005-0000-0000-00002F020000}"/>
    <cellStyle name="20% - Cor2 2 2 6" xfId="6512" xr:uid="{00000000-0005-0000-0000-000030020000}"/>
    <cellStyle name="20% - Cor2 2 3" xfId="1307" xr:uid="{00000000-0005-0000-0000-000031020000}"/>
    <cellStyle name="20% - Cor2 2 3 2" xfId="1576" xr:uid="{00000000-0005-0000-0000-000032020000}"/>
    <cellStyle name="20% - Cor2 2 3 2 2" xfId="5602" xr:uid="{00000000-0005-0000-0000-000033020000}"/>
    <cellStyle name="20% - Cor2 2 3 2 3" xfId="6827" xr:uid="{00000000-0005-0000-0000-000034020000}"/>
    <cellStyle name="20% - Cor2 2 3 3" xfId="1780" xr:uid="{00000000-0005-0000-0000-000035020000}"/>
    <cellStyle name="20% - Cor2 2 3 3 2" xfId="5801" xr:uid="{00000000-0005-0000-0000-000036020000}"/>
    <cellStyle name="20% - Cor2 2 3 3 3" xfId="7027" xr:uid="{00000000-0005-0000-0000-000037020000}"/>
    <cellStyle name="20% - Cor2 2 3 4" xfId="2006" xr:uid="{00000000-0005-0000-0000-000038020000}"/>
    <cellStyle name="20% - Cor2 2 3 4 2" xfId="6025" xr:uid="{00000000-0005-0000-0000-000039020000}"/>
    <cellStyle name="20% - Cor2 2 3 4 3" xfId="7253" xr:uid="{00000000-0005-0000-0000-00003A020000}"/>
    <cellStyle name="20% - Cor2 2 3 5" xfId="5343" xr:uid="{00000000-0005-0000-0000-00003B020000}"/>
    <cellStyle name="20% - Cor2 2 3 6" xfId="6559" xr:uid="{00000000-0005-0000-0000-00003C020000}"/>
    <cellStyle name="20% - Cor2 2 4" xfId="1456" xr:uid="{00000000-0005-0000-0000-00003D020000}"/>
    <cellStyle name="20% - Cor2 2 4 2" xfId="5484" xr:uid="{00000000-0005-0000-0000-00003E020000}"/>
    <cellStyle name="20% - Cor2 2 4 3" xfId="6708" xr:uid="{00000000-0005-0000-0000-00003F020000}"/>
    <cellStyle name="20% - Cor2 2 5" xfId="1420" xr:uid="{00000000-0005-0000-0000-000040020000}"/>
    <cellStyle name="20% - Cor2 2 5 2" xfId="5450" xr:uid="{00000000-0005-0000-0000-000041020000}"/>
    <cellStyle name="20% - Cor2 2 5 3" xfId="6672" xr:uid="{00000000-0005-0000-0000-000042020000}"/>
    <cellStyle name="20% - Cor2 2 6" xfId="1805" xr:uid="{00000000-0005-0000-0000-000043020000}"/>
    <cellStyle name="20% - Cor2 2 6 2" xfId="5826" xr:uid="{00000000-0005-0000-0000-000044020000}"/>
    <cellStyle name="20% - Cor2 2 6 3" xfId="7052" xr:uid="{00000000-0005-0000-0000-000045020000}"/>
    <cellStyle name="20% - Cor2 2 7" xfId="5229" xr:uid="{00000000-0005-0000-0000-000046020000}"/>
    <cellStyle name="20% - Cor2 2 8" xfId="6439" xr:uid="{00000000-0005-0000-0000-000047020000}"/>
    <cellStyle name="20% - Cor2 2 9" xfId="1187" xr:uid="{00000000-0005-0000-0000-000048020000}"/>
    <cellStyle name="20% - Cor2 3" xfId="47" xr:uid="{00000000-0005-0000-0000-000049020000}"/>
    <cellStyle name="20% - Cor2 3 2" xfId="1341" xr:uid="{00000000-0005-0000-0000-00004A020000}"/>
    <cellStyle name="20% - Cor2 3 2 2" xfId="1609" xr:uid="{00000000-0005-0000-0000-00004B020000}"/>
    <cellStyle name="20% - Cor2 3 2 2 2" xfId="5635" xr:uid="{00000000-0005-0000-0000-00004C020000}"/>
    <cellStyle name="20% - Cor2 3 2 2 3" xfId="6860" xr:uid="{00000000-0005-0000-0000-00004D020000}"/>
    <cellStyle name="20% - Cor2 3 2 3" xfId="1810" xr:uid="{00000000-0005-0000-0000-00004E020000}"/>
    <cellStyle name="20% - Cor2 3 2 3 2" xfId="5831" xr:uid="{00000000-0005-0000-0000-00004F020000}"/>
    <cellStyle name="20% - Cor2 3 2 3 3" xfId="7057" xr:uid="{00000000-0005-0000-0000-000050020000}"/>
    <cellStyle name="20% - Cor2 3 2 4" xfId="1920" xr:uid="{00000000-0005-0000-0000-000051020000}"/>
    <cellStyle name="20% - Cor2 3 2 4 2" xfId="5940" xr:uid="{00000000-0005-0000-0000-000052020000}"/>
    <cellStyle name="20% - Cor2 3 2 4 3" xfId="7167" xr:uid="{00000000-0005-0000-0000-000053020000}"/>
    <cellStyle name="20% - Cor2 3 2 5" xfId="5375" xr:uid="{00000000-0005-0000-0000-000054020000}"/>
    <cellStyle name="20% - Cor2 3 2 6" xfId="6593" xr:uid="{00000000-0005-0000-0000-000055020000}"/>
    <cellStyle name="20% - Cor2 3 3" xfId="1496" xr:uid="{00000000-0005-0000-0000-000056020000}"/>
    <cellStyle name="20% - Cor2 3 3 2" xfId="5524" xr:uid="{00000000-0005-0000-0000-000057020000}"/>
    <cellStyle name="20% - Cor2 3 3 3" xfId="6748" xr:uid="{00000000-0005-0000-0000-000058020000}"/>
    <cellStyle name="20% - Cor2 3 4" xfId="1703" xr:uid="{00000000-0005-0000-0000-000059020000}"/>
    <cellStyle name="20% - Cor2 3 4 2" xfId="5725" xr:uid="{00000000-0005-0000-0000-00005A020000}"/>
    <cellStyle name="20% - Cor2 3 4 3" xfId="6950" xr:uid="{00000000-0005-0000-0000-00005B020000}"/>
    <cellStyle name="20% - Cor2 3 5" xfId="1952" xr:uid="{00000000-0005-0000-0000-00005C020000}"/>
    <cellStyle name="20% - Cor2 3 5 2" xfId="5972" xr:uid="{00000000-0005-0000-0000-00005D020000}"/>
    <cellStyle name="20% - Cor2 3 5 3" xfId="7199" xr:uid="{00000000-0005-0000-0000-00005E020000}"/>
    <cellStyle name="20% - Cor2 3 6" xfId="5265" xr:uid="{00000000-0005-0000-0000-00005F020000}"/>
    <cellStyle name="20% - Cor2 3 7" xfId="6478" xr:uid="{00000000-0005-0000-0000-000060020000}"/>
    <cellStyle name="20% - Cor2 3 8" xfId="1226" xr:uid="{00000000-0005-0000-0000-000061020000}"/>
    <cellStyle name="20% - Cor2 4" xfId="48" xr:uid="{00000000-0005-0000-0000-000062020000}"/>
    <cellStyle name="20% - Cor2 4 2" xfId="1502" xr:uid="{00000000-0005-0000-0000-000063020000}"/>
    <cellStyle name="20% - Cor2 4 2 2" xfId="5530" xr:uid="{00000000-0005-0000-0000-000064020000}"/>
    <cellStyle name="20% - Cor2 4 2 3" xfId="6754" xr:uid="{00000000-0005-0000-0000-000065020000}"/>
    <cellStyle name="20% - Cor2 4 3" xfId="1709" xr:uid="{00000000-0005-0000-0000-000066020000}"/>
    <cellStyle name="20% - Cor2 4 3 2" xfId="5731" xr:uid="{00000000-0005-0000-0000-000067020000}"/>
    <cellStyle name="20% - Cor2 4 3 3" xfId="6956" xr:uid="{00000000-0005-0000-0000-000068020000}"/>
    <cellStyle name="20% - Cor2 4 4" xfId="1950" xr:uid="{00000000-0005-0000-0000-000069020000}"/>
    <cellStyle name="20% - Cor2 4 4 2" xfId="5970" xr:uid="{00000000-0005-0000-0000-00006A020000}"/>
    <cellStyle name="20% - Cor2 4 4 3" xfId="7197" xr:uid="{00000000-0005-0000-0000-00006B020000}"/>
    <cellStyle name="20% - Cor2 4 5" xfId="5271" xr:uid="{00000000-0005-0000-0000-00006C020000}"/>
    <cellStyle name="20% - Cor2 4 6" xfId="6484" xr:uid="{00000000-0005-0000-0000-00006D020000}"/>
    <cellStyle name="20% - Cor2 4 7" xfId="1232" xr:uid="{00000000-0005-0000-0000-00006E020000}"/>
    <cellStyle name="20% - Cor2 5" xfId="1378" xr:uid="{00000000-0005-0000-0000-00006F020000}"/>
    <cellStyle name="20% - Cor2 5 2" xfId="1648" xr:uid="{00000000-0005-0000-0000-000070020000}"/>
    <cellStyle name="20% - Cor2 5 2 2" xfId="5672" xr:uid="{00000000-0005-0000-0000-000071020000}"/>
    <cellStyle name="20% - Cor2 5 2 3" xfId="6897" xr:uid="{00000000-0005-0000-0000-000072020000}"/>
    <cellStyle name="20% - Cor2 5 3" xfId="1844" xr:uid="{00000000-0005-0000-0000-000073020000}"/>
    <cellStyle name="20% - Cor2 5 3 2" xfId="5865" xr:uid="{00000000-0005-0000-0000-000074020000}"/>
    <cellStyle name="20% - Cor2 5 3 3" xfId="7091" xr:uid="{00000000-0005-0000-0000-000075020000}"/>
    <cellStyle name="20% - Cor2 5 4" xfId="2029" xr:uid="{00000000-0005-0000-0000-000076020000}"/>
    <cellStyle name="20% - Cor2 5 4 2" xfId="6048" xr:uid="{00000000-0005-0000-0000-000077020000}"/>
    <cellStyle name="20% - Cor2 5 4 3" xfId="7276" xr:uid="{00000000-0005-0000-0000-000078020000}"/>
    <cellStyle name="20% - Cor2 5 5" xfId="5409" xr:uid="{00000000-0005-0000-0000-000079020000}"/>
    <cellStyle name="20% - Cor2 5 6" xfId="6630" xr:uid="{00000000-0005-0000-0000-00007A020000}"/>
    <cellStyle name="20% - Cor2 6" xfId="1392" xr:uid="{00000000-0005-0000-0000-00007B020000}"/>
    <cellStyle name="20% - Cor2 6 2" xfId="1662" xr:uid="{00000000-0005-0000-0000-00007C020000}"/>
    <cellStyle name="20% - Cor2 6 2 2" xfId="5686" xr:uid="{00000000-0005-0000-0000-00007D020000}"/>
    <cellStyle name="20% - Cor2 6 2 3" xfId="6911" xr:uid="{00000000-0005-0000-0000-00007E020000}"/>
    <cellStyle name="20% - Cor2 6 3" xfId="1858" xr:uid="{00000000-0005-0000-0000-00007F020000}"/>
    <cellStyle name="20% - Cor2 6 3 2" xfId="5879" xr:uid="{00000000-0005-0000-0000-000080020000}"/>
    <cellStyle name="20% - Cor2 6 3 3" xfId="7105" xr:uid="{00000000-0005-0000-0000-000081020000}"/>
    <cellStyle name="20% - Cor2 6 4" xfId="2043" xr:uid="{00000000-0005-0000-0000-000082020000}"/>
    <cellStyle name="20% - Cor2 6 4 2" xfId="6062" xr:uid="{00000000-0005-0000-0000-000083020000}"/>
    <cellStyle name="20% - Cor2 6 4 3" xfId="7290" xr:uid="{00000000-0005-0000-0000-000084020000}"/>
    <cellStyle name="20% - Cor2 6 5" xfId="5423" xr:uid="{00000000-0005-0000-0000-000085020000}"/>
    <cellStyle name="20% - Cor2 6 6" xfId="6644" xr:uid="{00000000-0005-0000-0000-000086020000}"/>
    <cellStyle name="20% - Cor2 7" xfId="1421" xr:uid="{00000000-0005-0000-0000-000087020000}"/>
    <cellStyle name="20% - Cor2 7 2" xfId="1882" xr:uid="{00000000-0005-0000-0000-000088020000}"/>
    <cellStyle name="20% - Cor2 7 2 2" xfId="5902" xr:uid="{00000000-0005-0000-0000-000089020000}"/>
    <cellStyle name="20% - Cor2 7 2 3" xfId="7129" xr:uid="{00000000-0005-0000-0000-00008A020000}"/>
    <cellStyle name="20% - Cor2 7 3" xfId="2055" xr:uid="{00000000-0005-0000-0000-00008B020000}"/>
    <cellStyle name="20% - Cor2 7 3 2" xfId="6074" xr:uid="{00000000-0005-0000-0000-00008C020000}"/>
    <cellStyle name="20% - Cor2 7 3 3" xfId="7302" xr:uid="{00000000-0005-0000-0000-00008D020000}"/>
    <cellStyle name="20% - Cor2 7 4" xfId="5451" xr:uid="{00000000-0005-0000-0000-00008E020000}"/>
    <cellStyle name="20% - Cor2 7 5" xfId="6673" xr:uid="{00000000-0005-0000-0000-00008F020000}"/>
    <cellStyle name="20% - Cor2 8" xfId="1479" xr:uid="{00000000-0005-0000-0000-000090020000}"/>
    <cellStyle name="20% - Cor2 8 2" xfId="2067" xr:uid="{00000000-0005-0000-0000-000091020000}"/>
    <cellStyle name="20% - Cor2 8 2 2" xfId="6086" xr:uid="{00000000-0005-0000-0000-000092020000}"/>
    <cellStyle name="20% - Cor2 8 2 3" xfId="7314" xr:uid="{00000000-0005-0000-0000-000093020000}"/>
    <cellStyle name="20% - Cor2 8 3" xfId="5507" xr:uid="{00000000-0005-0000-0000-000094020000}"/>
    <cellStyle name="20% - Cor2 8 4" xfId="6731" xr:uid="{00000000-0005-0000-0000-000095020000}"/>
    <cellStyle name="20% - Cor2 9" xfId="1563" xr:uid="{00000000-0005-0000-0000-000096020000}"/>
    <cellStyle name="20% - Cor2 9 2" xfId="5589" xr:uid="{00000000-0005-0000-0000-000097020000}"/>
    <cellStyle name="20% - Cor2 9 3" xfId="6814" xr:uid="{00000000-0005-0000-0000-000098020000}"/>
    <cellStyle name="20% - Cor3 10" xfId="6305" xr:uid="{00000000-0005-0000-0000-000099020000}"/>
    <cellStyle name="20% - Cor3 11" xfId="1023" xr:uid="{00000000-0005-0000-0000-00009A020000}"/>
    <cellStyle name="20% - Cor3 2" xfId="49" xr:uid="{00000000-0005-0000-0000-00009B020000}"/>
    <cellStyle name="20% - Cor3 2 2" xfId="1262" xr:uid="{00000000-0005-0000-0000-00009C020000}"/>
    <cellStyle name="20% - Cor3 2 2 2" xfId="1533" xr:uid="{00000000-0005-0000-0000-00009D020000}"/>
    <cellStyle name="20% - Cor3 2 2 2 2" xfId="5560" xr:uid="{00000000-0005-0000-0000-00009E020000}"/>
    <cellStyle name="20% - Cor3 2 2 2 3" xfId="6785" xr:uid="{00000000-0005-0000-0000-00009F020000}"/>
    <cellStyle name="20% - Cor3 2 2 3" xfId="1738" xr:uid="{00000000-0005-0000-0000-0000A0020000}"/>
    <cellStyle name="20% - Cor3 2 2 3 2" xfId="5760" xr:uid="{00000000-0005-0000-0000-0000A1020000}"/>
    <cellStyle name="20% - Cor3 2 2 3 3" xfId="6985" xr:uid="{00000000-0005-0000-0000-0000A2020000}"/>
    <cellStyle name="20% - Cor3 2 2 4" xfId="1402" xr:uid="{00000000-0005-0000-0000-0000A3020000}"/>
    <cellStyle name="20% - Cor3 2 2 4 2" xfId="5433" xr:uid="{00000000-0005-0000-0000-0000A4020000}"/>
    <cellStyle name="20% - Cor3 2 2 4 3" xfId="6654" xr:uid="{00000000-0005-0000-0000-0000A5020000}"/>
    <cellStyle name="20% - Cor3 2 2 5" xfId="5299" xr:uid="{00000000-0005-0000-0000-0000A6020000}"/>
    <cellStyle name="20% - Cor3 2 2 6" xfId="6514" xr:uid="{00000000-0005-0000-0000-0000A7020000}"/>
    <cellStyle name="20% - Cor3 2 3" xfId="1309" xr:uid="{00000000-0005-0000-0000-0000A8020000}"/>
    <cellStyle name="20% - Cor3 2 3 2" xfId="1578" xr:uid="{00000000-0005-0000-0000-0000A9020000}"/>
    <cellStyle name="20% - Cor3 2 3 2 2" xfId="5604" xr:uid="{00000000-0005-0000-0000-0000AA020000}"/>
    <cellStyle name="20% - Cor3 2 3 2 3" xfId="6829" xr:uid="{00000000-0005-0000-0000-0000AB020000}"/>
    <cellStyle name="20% - Cor3 2 3 3" xfId="1782" xr:uid="{00000000-0005-0000-0000-0000AC020000}"/>
    <cellStyle name="20% - Cor3 2 3 3 2" xfId="5803" xr:uid="{00000000-0005-0000-0000-0000AD020000}"/>
    <cellStyle name="20% - Cor3 2 3 3 3" xfId="7029" xr:uid="{00000000-0005-0000-0000-0000AE020000}"/>
    <cellStyle name="20% - Cor3 2 3 4" xfId="1918" xr:uid="{00000000-0005-0000-0000-0000AF020000}"/>
    <cellStyle name="20% - Cor3 2 3 4 2" xfId="5938" xr:uid="{00000000-0005-0000-0000-0000B0020000}"/>
    <cellStyle name="20% - Cor3 2 3 4 3" xfId="7165" xr:uid="{00000000-0005-0000-0000-0000B1020000}"/>
    <cellStyle name="20% - Cor3 2 3 5" xfId="5345" xr:uid="{00000000-0005-0000-0000-0000B2020000}"/>
    <cellStyle name="20% - Cor3 2 3 6" xfId="6561" xr:uid="{00000000-0005-0000-0000-0000B3020000}"/>
    <cellStyle name="20% - Cor3 2 4" xfId="1458" xr:uid="{00000000-0005-0000-0000-0000B4020000}"/>
    <cellStyle name="20% - Cor3 2 4 2" xfId="5486" xr:uid="{00000000-0005-0000-0000-0000B5020000}"/>
    <cellStyle name="20% - Cor3 2 4 3" xfId="6710" xr:uid="{00000000-0005-0000-0000-0000B6020000}"/>
    <cellStyle name="20% - Cor3 2 5" xfId="1413" xr:uid="{00000000-0005-0000-0000-0000B7020000}"/>
    <cellStyle name="20% - Cor3 2 5 2" xfId="5443" xr:uid="{00000000-0005-0000-0000-0000B8020000}"/>
    <cellStyle name="20% - Cor3 2 5 3" xfId="6665" xr:uid="{00000000-0005-0000-0000-0000B9020000}"/>
    <cellStyle name="20% - Cor3 2 6" xfId="1720" xr:uid="{00000000-0005-0000-0000-0000BA020000}"/>
    <cellStyle name="20% - Cor3 2 6 2" xfId="5742" xr:uid="{00000000-0005-0000-0000-0000BB020000}"/>
    <cellStyle name="20% - Cor3 2 6 3" xfId="6967" xr:uid="{00000000-0005-0000-0000-0000BC020000}"/>
    <cellStyle name="20% - Cor3 2 7" xfId="5231" xr:uid="{00000000-0005-0000-0000-0000BD020000}"/>
    <cellStyle name="20% - Cor3 2 8" xfId="6441" xr:uid="{00000000-0005-0000-0000-0000BE020000}"/>
    <cellStyle name="20% - Cor3 2 9" xfId="1189" xr:uid="{00000000-0005-0000-0000-0000BF020000}"/>
    <cellStyle name="20% - Cor3 3" xfId="50" xr:uid="{00000000-0005-0000-0000-0000C0020000}"/>
    <cellStyle name="20% - Cor3 3 2" xfId="1343" xr:uid="{00000000-0005-0000-0000-0000C1020000}"/>
    <cellStyle name="20% - Cor3 3 2 2" xfId="1611" xr:uid="{00000000-0005-0000-0000-0000C2020000}"/>
    <cellStyle name="20% - Cor3 3 2 2 2" xfId="5637" xr:uid="{00000000-0005-0000-0000-0000C3020000}"/>
    <cellStyle name="20% - Cor3 3 2 2 3" xfId="6862" xr:uid="{00000000-0005-0000-0000-0000C4020000}"/>
    <cellStyle name="20% - Cor3 3 2 3" xfId="1812" xr:uid="{00000000-0005-0000-0000-0000C5020000}"/>
    <cellStyle name="20% - Cor3 3 2 3 2" xfId="5833" xr:uid="{00000000-0005-0000-0000-0000C6020000}"/>
    <cellStyle name="20% - Cor3 3 2 3 3" xfId="7059" xr:uid="{00000000-0005-0000-0000-0000C7020000}"/>
    <cellStyle name="20% - Cor3 3 2 4" xfId="1976" xr:uid="{00000000-0005-0000-0000-0000C8020000}"/>
    <cellStyle name="20% - Cor3 3 2 4 2" xfId="5995" xr:uid="{00000000-0005-0000-0000-0000C9020000}"/>
    <cellStyle name="20% - Cor3 3 2 4 3" xfId="7223" xr:uid="{00000000-0005-0000-0000-0000CA020000}"/>
    <cellStyle name="20% - Cor3 3 2 5" xfId="5377" xr:uid="{00000000-0005-0000-0000-0000CB020000}"/>
    <cellStyle name="20% - Cor3 3 2 6" xfId="6595" xr:uid="{00000000-0005-0000-0000-0000CC020000}"/>
    <cellStyle name="20% - Cor3 3 3" xfId="1499" xr:uid="{00000000-0005-0000-0000-0000CD020000}"/>
    <cellStyle name="20% - Cor3 3 3 2" xfId="5527" xr:uid="{00000000-0005-0000-0000-0000CE020000}"/>
    <cellStyle name="20% - Cor3 3 3 3" xfId="6751" xr:uid="{00000000-0005-0000-0000-0000CF020000}"/>
    <cellStyle name="20% - Cor3 3 4" xfId="1706" xr:uid="{00000000-0005-0000-0000-0000D0020000}"/>
    <cellStyle name="20% - Cor3 3 4 2" xfId="5728" xr:uid="{00000000-0005-0000-0000-0000D1020000}"/>
    <cellStyle name="20% - Cor3 3 4 3" xfId="6953" xr:uid="{00000000-0005-0000-0000-0000D2020000}"/>
    <cellStyle name="20% - Cor3 3 5" xfId="1951" xr:uid="{00000000-0005-0000-0000-0000D3020000}"/>
    <cellStyle name="20% - Cor3 3 5 2" xfId="5971" xr:uid="{00000000-0005-0000-0000-0000D4020000}"/>
    <cellStyle name="20% - Cor3 3 5 3" xfId="7198" xr:uid="{00000000-0005-0000-0000-0000D5020000}"/>
    <cellStyle name="20% - Cor3 3 6" xfId="5268" xr:uid="{00000000-0005-0000-0000-0000D6020000}"/>
    <cellStyle name="20% - Cor3 3 7" xfId="6481" xr:uid="{00000000-0005-0000-0000-0000D7020000}"/>
    <cellStyle name="20% - Cor3 3 8" xfId="1229" xr:uid="{00000000-0005-0000-0000-0000D8020000}"/>
    <cellStyle name="20% - Cor3 4" xfId="51" xr:uid="{00000000-0005-0000-0000-0000D9020000}"/>
    <cellStyle name="20% - Cor3 4 2" xfId="1492" xr:uid="{00000000-0005-0000-0000-0000DA020000}"/>
    <cellStyle name="20% - Cor3 4 2 2" xfId="5520" xr:uid="{00000000-0005-0000-0000-0000DB020000}"/>
    <cellStyle name="20% - Cor3 4 2 3" xfId="6744" xr:uid="{00000000-0005-0000-0000-0000DC020000}"/>
    <cellStyle name="20% - Cor3 4 3" xfId="1699" xr:uid="{00000000-0005-0000-0000-0000DD020000}"/>
    <cellStyle name="20% - Cor3 4 3 2" xfId="5721" xr:uid="{00000000-0005-0000-0000-0000DE020000}"/>
    <cellStyle name="20% - Cor3 4 3 3" xfId="6946" xr:uid="{00000000-0005-0000-0000-0000DF020000}"/>
    <cellStyle name="20% - Cor3 4 4" xfId="1972" xr:uid="{00000000-0005-0000-0000-0000E0020000}"/>
    <cellStyle name="20% - Cor3 4 4 2" xfId="5991" xr:uid="{00000000-0005-0000-0000-0000E1020000}"/>
    <cellStyle name="20% - Cor3 4 4 3" xfId="7219" xr:uid="{00000000-0005-0000-0000-0000E2020000}"/>
    <cellStyle name="20% - Cor3 4 5" xfId="5261" xr:uid="{00000000-0005-0000-0000-0000E3020000}"/>
    <cellStyle name="20% - Cor3 4 6" xfId="6474" xr:uid="{00000000-0005-0000-0000-0000E4020000}"/>
    <cellStyle name="20% - Cor3 4 7" xfId="1222" xr:uid="{00000000-0005-0000-0000-0000E5020000}"/>
    <cellStyle name="20% - Cor3 5" xfId="1380" xr:uid="{00000000-0005-0000-0000-0000E6020000}"/>
    <cellStyle name="20% - Cor3 5 2" xfId="1650" xr:uid="{00000000-0005-0000-0000-0000E7020000}"/>
    <cellStyle name="20% - Cor3 5 2 2" xfId="5674" xr:uid="{00000000-0005-0000-0000-0000E8020000}"/>
    <cellStyle name="20% - Cor3 5 2 3" xfId="6899" xr:uid="{00000000-0005-0000-0000-0000E9020000}"/>
    <cellStyle name="20% - Cor3 5 3" xfId="1846" xr:uid="{00000000-0005-0000-0000-0000EA020000}"/>
    <cellStyle name="20% - Cor3 5 3 2" xfId="5867" xr:uid="{00000000-0005-0000-0000-0000EB020000}"/>
    <cellStyle name="20% - Cor3 5 3 3" xfId="7093" xr:uid="{00000000-0005-0000-0000-0000EC020000}"/>
    <cellStyle name="20% - Cor3 5 4" xfId="2031" xr:uid="{00000000-0005-0000-0000-0000ED020000}"/>
    <cellStyle name="20% - Cor3 5 4 2" xfId="6050" xr:uid="{00000000-0005-0000-0000-0000EE020000}"/>
    <cellStyle name="20% - Cor3 5 4 3" xfId="7278" xr:uid="{00000000-0005-0000-0000-0000EF020000}"/>
    <cellStyle name="20% - Cor3 5 5" xfId="5411" xr:uid="{00000000-0005-0000-0000-0000F0020000}"/>
    <cellStyle name="20% - Cor3 5 6" xfId="6632" xr:uid="{00000000-0005-0000-0000-0000F1020000}"/>
    <cellStyle name="20% - Cor3 6" xfId="1394" xr:uid="{00000000-0005-0000-0000-0000F2020000}"/>
    <cellStyle name="20% - Cor3 6 2" xfId="1664" xr:uid="{00000000-0005-0000-0000-0000F3020000}"/>
    <cellStyle name="20% - Cor3 6 2 2" xfId="5688" xr:uid="{00000000-0005-0000-0000-0000F4020000}"/>
    <cellStyle name="20% - Cor3 6 2 3" xfId="6913" xr:uid="{00000000-0005-0000-0000-0000F5020000}"/>
    <cellStyle name="20% - Cor3 6 3" xfId="1860" xr:uid="{00000000-0005-0000-0000-0000F6020000}"/>
    <cellStyle name="20% - Cor3 6 3 2" xfId="5881" xr:uid="{00000000-0005-0000-0000-0000F7020000}"/>
    <cellStyle name="20% - Cor3 6 3 3" xfId="7107" xr:uid="{00000000-0005-0000-0000-0000F8020000}"/>
    <cellStyle name="20% - Cor3 6 4" xfId="2045" xr:uid="{00000000-0005-0000-0000-0000F9020000}"/>
    <cellStyle name="20% - Cor3 6 4 2" xfId="6064" xr:uid="{00000000-0005-0000-0000-0000FA020000}"/>
    <cellStyle name="20% - Cor3 6 4 3" xfId="7292" xr:uid="{00000000-0005-0000-0000-0000FB020000}"/>
    <cellStyle name="20% - Cor3 6 5" xfId="5425" xr:uid="{00000000-0005-0000-0000-0000FC020000}"/>
    <cellStyle name="20% - Cor3 6 6" xfId="6646" xr:uid="{00000000-0005-0000-0000-0000FD020000}"/>
    <cellStyle name="20% - Cor3 7" xfId="1424" xr:uid="{00000000-0005-0000-0000-0000FE020000}"/>
    <cellStyle name="20% - Cor3 7 2" xfId="1884" xr:uid="{00000000-0005-0000-0000-0000FF020000}"/>
    <cellStyle name="20% - Cor3 7 2 2" xfId="5904" xr:uid="{00000000-0005-0000-0000-000000030000}"/>
    <cellStyle name="20% - Cor3 7 2 3" xfId="7131" xr:uid="{00000000-0005-0000-0000-000001030000}"/>
    <cellStyle name="20% - Cor3 7 3" xfId="2057" xr:uid="{00000000-0005-0000-0000-000002030000}"/>
    <cellStyle name="20% - Cor3 7 3 2" xfId="6076" xr:uid="{00000000-0005-0000-0000-000003030000}"/>
    <cellStyle name="20% - Cor3 7 3 3" xfId="7304" xr:uid="{00000000-0005-0000-0000-000004030000}"/>
    <cellStyle name="20% - Cor3 7 4" xfId="5454" xr:uid="{00000000-0005-0000-0000-000005030000}"/>
    <cellStyle name="20% - Cor3 7 5" xfId="6676" xr:uid="{00000000-0005-0000-0000-000006030000}"/>
    <cellStyle name="20% - Cor3 8" xfId="1564" xr:uid="{00000000-0005-0000-0000-000007030000}"/>
    <cellStyle name="20% - Cor3 8 2" xfId="2072" xr:uid="{00000000-0005-0000-0000-000008030000}"/>
    <cellStyle name="20% - Cor3 8 2 2" xfId="6091" xr:uid="{00000000-0005-0000-0000-000009030000}"/>
    <cellStyle name="20% - Cor3 8 2 3" xfId="7319" xr:uid="{00000000-0005-0000-0000-00000A030000}"/>
    <cellStyle name="20% - Cor3 8 3" xfId="5590" xr:uid="{00000000-0005-0000-0000-00000B030000}"/>
    <cellStyle name="20% - Cor3 8 4" xfId="6815" xr:uid="{00000000-0005-0000-0000-00000C030000}"/>
    <cellStyle name="20% - Cor3 9" xfId="1911" xr:uid="{00000000-0005-0000-0000-00000D030000}"/>
    <cellStyle name="20% - Cor3 9 2" xfId="5931" xr:uid="{00000000-0005-0000-0000-00000E030000}"/>
    <cellStyle name="20% - Cor3 9 3" xfId="7158" xr:uid="{00000000-0005-0000-0000-00000F030000}"/>
    <cellStyle name="20% - Cor4 10" xfId="6309" xr:uid="{00000000-0005-0000-0000-000010030000}"/>
    <cellStyle name="20% - Cor4 11" xfId="1027" xr:uid="{00000000-0005-0000-0000-000011030000}"/>
    <cellStyle name="20% - Cor4 2" xfId="52" xr:uid="{00000000-0005-0000-0000-000012030000}"/>
    <cellStyle name="20% - Cor4 2 2" xfId="1264" xr:uid="{00000000-0005-0000-0000-000013030000}"/>
    <cellStyle name="20% - Cor4 2 2 2" xfId="1535" xr:uid="{00000000-0005-0000-0000-000014030000}"/>
    <cellStyle name="20% - Cor4 2 2 2 2" xfId="5562" xr:uid="{00000000-0005-0000-0000-000015030000}"/>
    <cellStyle name="20% - Cor4 2 2 2 3" xfId="6787" xr:uid="{00000000-0005-0000-0000-000016030000}"/>
    <cellStyle name="20% - Cor4 2 2 3" xfId="1740" xr:uid="{00000000-0005-0000-0000-000017030000}"/>
    <cellStyle name="20% - Cor4 2 2 3 2" xfId="5762" xr:uid="{00000000-0005-0000-0000-000018030000}"/>
    <cellStyle name="20% - Cor4 2 2 3 3" xfId="6987" xr:uid="{00000000-0005-0000-0000-000019030000}"/>
    <cellStyle name="20% - Cor4 2 2 4" xfId="1513" xr:uid="{00000000-0005-0000-0000-00001A030000}"/>
    <cellStyle name="20% - Cor4 2 2 4 2" xfId="5541" xr:uid="{00000000-0005-0000-0000-00001B030000}"/>
    <cellStyle name="20% - Cor4 2 2 4 3" xfId="6765" xr:uid="{00000000-0005-0000-0000-00001C030000}"/>
    <cellStyle name="20% - Cor4 2 2 5" xfId="5301" xr:uid="{00000000-0005-0000-0000-00001D030000}"/>
    <cellStyle name="20% - Cor4 2 2 6" xfId="6516" xr:uid="{00000000-0005-0000-0000-00001E030000}"/>
    <cellStyle name="20% - Cor4 2 3" xfId="1311" xr:uid="{00000000-0005-0000-0000-00001F030000}"/>
    <cellStyle name="20% - Cor4 2 3 2" xfId="1580" xr:uid="{00000000-0005-0000-0000-000020030000}"/>
    <cellStyle name="20% - Cor4 2 3 2 2" xfId="5606" xr:uid="{00000000-0005-0000-0000-000021030000}"/>
    <cellStyle name="20% - Cor4 2 3 2 3" xfId="6831" xr:uid="{00000000-0005-0000-0000-000022030000}"/>
    <cellStyle name="20% - Cor4 2 3 3" xfId="1784" xr:uid="{00000000-0005-0000-0000-000023030000}"/>
    <cellStyle name="20% - Cor4 2 3 3 2" xfId="5805" xr:uid="{00000000-0005-0000-0000-000024030000}"/>
    <cellStyle name="20% - Cor4 2 3 3 3" xfId="7031" xr:uid="{00000000-0005-0000-0000-000025030000}"/>
    <cellStyle name="20% - Cor4 2 3 4" xfId="1973" xr:uid="{00000000-0005-0000-0000-000026030000}"/>
    <cellStyle name="20% - Cor4 2 3 4 2" xfId="5992" xr:uid="{00000000-0005-0000-0000-000027030000}"/>
    <cellStyle name="20% - Cor4 2 3 4 3" xfId="7220" xr:uid="{00000000-0005-0000-0000-000028030000}"/>
    <cellStyle name="20% - Cor4 2 3 5" xfId="5347" xr:uid="{00000000-0005-0000-0000-000029030000}"/>
    <cellStyle name="20% - Cor4 2 3 6" xfId="6563" xr:uid="{00000000-0005-0000-0000-00002A030000}"/>
    <cellStyle name="20% - Cor4 2 4" xfId="1460" xr:uid="{00000000-0005-0000-0000-00002B030000}"/>
    <cellStyle name="20% - Cor4 2 4 2" xfId="5488" xr:uid="{00000000-0005-0000-0000-00002C030000}"/>
    <cellStyle name="20% - Cor4 2 4 3" xfId="6712" xr:uid="{00000000-0005-0000-0000-00002D030000}"/>
    <cellStyle name="20% - Cor4 2 5" xfId="1406" xr:uid="{00000000-0005-0000-0000-00002E030000}"/>
    <cellStyle name="20% - Cor4 2 5 2" xfId="5437" xr:uid="{00000000-0005-0000-0000-00002F030000}"/>
    <cellStyle name="20% - Cor4 2 5 3" xfId="6658" xr:uid="{00000000-0005-0000-0000-000030030000}"/>
    <cellStyle name="20% - Cor4 2 6" xfId="1724" xr:uid="{00000000-0005-0000-0000-000031030000}"/>
    <cellStyle name="20% - Cor4 2 6 2" xfId="5746" xr:uid="{00000000-0005-0000-0000-000032030000}"/>
    <cellStyle name="20% - Cor4 2 6 3" xfId="6971" xr:uid="{00000000-0005-0000-0000-000033030000}"/>
    <cellStyle name="20% - Cor4 2 7" xfId="5233" xr:uid="{00000000-0005-0000-0000-000034030000}"/>
    <cellStyle name="20% - Cor4 2 8" xfId="6443" xr:uid="{00000000-0005-0000-0000-000035030000}"/>
    <cellStyle name="20% - Cor4 2 9" xfId="1191" xr:uid="{00000000-0005-0000-0000-000036030000}"/>
    <cellStyle name="20% - Cor4 3" xfId="53" xr:uid="{00000000-0005-0000-0000-000037030000}"/>
    <cellStyle name="20% - Cor4 3 2" xfId="1345" xr:uid="{00000000-0005-0000-0000-000038030000}"/>
    <cellStyle name="20% - Cor4 3 2 2" xfId="1613" xr:uid="{00000000-0005-0000-0000-000039030000}"/>
    <cellStyle name="20% - Cor4 3 2 2 2" xfId="5639" xr:uid="{00000000-0005-0000-0000-00003A030000}"/>
    <cellStyle name="20% - Cor4 3 2 2 3" xfId="6864" xr:uid="{00000000-0005-0000-0000-00003B030000}"/>
    <cellStyle name="20% - Cor4 3 2 3" xfId="1814" xr:uid="{00000000-0005-0000-0000-00003C030000}"/>
    <cellStyle name="20% - Cor4 3 2 3 2" xfId="5835" xr:uid="{00000000-0005-0000-0000-00003D030000}"/>
    <cellStyle name="20% - Cor4 3 2 3 3" xfId="7061" xr:uid="{00000000-0005-0000-0000-00003E030000}"/>
    <cellStyle name="20% - Cor4 3 2 4" xfId="1961" xr:uid="{00000000-0005-0000-0000-00003F030000}"/>
    <cellStyle name="20% - Cor4 3 2 4 2" xfId="5981" xr:uid="{00000000-0005-0000-0000-000040030000}"/>
    <cellStyle name="20% - Cor4 3 2 4 3" xfId="7208" xr:uid="{00000000-0005-0000-0000-000041030000}"/>
    <cellStyle name="20% - Cor4 3 2 5" xfId="5379" xr:uid="{00000000-0005-0000-0000-000042030000}"/>
    <cellStyle name="20% - Cor4 3 2 6" xfId="6597" xr:uid="{00000000-0005-0000-0000-000043030000}"/>
    <cellStyle name="20% - Cor4 3 3" xfId="1503" xr:uid="{00000000-0005-0000-0000-000044030000}"/>
    <cellStyle name="20% - Cor4 3 3 2" xfId="5531" xr:uid="{00000000-0005-0000-0000-000045030000}"/>
    <cellStyle name="20% - Cor4 3 3 3" xfId="6755" xr:uid="{00000000-0005-0000-0000-000046030000}"/>
    <cellStyle name="20% - Cor4 3 4" xfId="1710" xr:uid="{00000000-0005-0000-0000-000047030000}"/>
    <cellStyle name="20% - Cor4 3 4 2" xfId="5732" xr:uid="{00000000-0005-0000-0000-000048030000}"/>
    <cellStyle name="20% - Cor4 3 4 3" xfId="6957" xr:uid="{00000000-0005-0000-0000-000049030000}"/>
    <cellStyle name="20% - Cor4 3 5" xfId="1685" xr:uid="{00000000-0005-0000-0000-00004A030000}"/>
    <cellStyle name="20% - Cor4 3 5 2" xfId="5707" xr:uid="{00000000-0005-0000-0000-00004B030000}"/>
    <cellStyle name="20% - Cor4 3 5 3" xfId="6932" xr:uid="{00000000-0005-0000-0000-00004C030000}"/>
    <cellStyle name="20% - Cor4 3 6" xfId="5272" xr:uid="{00000000-0005-0000-0000-00004D030000}"/>
    <cellStyle name="20% - Cor4 3 7" xfId="6485" xr:uid="{00000000-0005-0000-0000-00004E030000}"/>
    <cellStyle name="20% - Cor4 3 8" xfId="1233" xr:uid="{00000000-0005-0000-0000-00004F030000}"/>
    <cellStyle name="20% - Cor4 4" xfId="54" xr:uid="{00000000-0005-0000-0000-000050030000}"/>
    <cellStyle name="20% - Cor4 4 2" xfId="1488" xr:uid="{00000000-0005-0000-0000-000051030000}"/>
    <cellStyle name="20% - Cor4 4 2 2" xfId="5516" xr:uid="{00000000-0005-0000-0000-000052030000}"/>
    <cellStyle name="20% - Cor4 4 2 3" xfId="6740" xr:uid="{00000000-0005-0000-0000-000053030000}"/>
    <cellStyle name="20% - Cor4 4 3" xfId="1695" xr:uid="{00000000-0005-0000-0000-000054030000}"/>
    <cellStyle name="20% - Cor4 4 3 2" xfId="5717" xr:uid="{00000000-0005-0000-0000-000055030000}"/>
    <cellStyle name="20% - Cor4 4 3 3" xfId="6942" xr:uid="{00000000-0005-0000-0000-000056030000}"/>
    <cellStyle name="20% - Cor4 4 4" xfId="1956" xr:uid="{00000000-0005-0000-0000-000057030000}"/>
    <cellStyle name="20% - Cor4 4 4 2" xfId="5976" xr:uid="{00000000-0005-0000-0000-000058030000}"/>
    <cellStyle name="20% - Cor4 4 4 3" xfId="7203" xr:uid="{00000000-0005-0000-0000-000059030000}"/>
    <cellStyle name="20% - Cor4 4 5" xfId="5257" xr:uid="{00000000-0005-0000-0000-00005A030000}"/>
    <cellStyle name="20% - Cor4 4 6" xfId="6470" xr:uid="{00000000-0005-0000-0000-00005B030000}"/>
    <cellStyle name="20% - Cor4 4 7" xfId="1218" xr:uid="{00000000-0005-0000-0000-00005C030000}"/>
    <cellStyle name="20% - Cor4 5" xfId="1382" xr:uid="{00000000-0005-0000-0000-00005D030000}"/>
    <cellStyle name="20% - Cor4 5 2" xfId="1652" xr:uid="{00000000-0005-0000-0000-00005E030000}"/>
    <cellStyle name="20% - Cor4 5 2 2" xfId="5676" xr:uid="{00000000-0005-0000-0000-00005F030000}"/>
    <cellStyle name="20% - Cor4 5 2 3" xfId="6901" xr:uid="{00000000-0005-0000-0000-000060030000}"/>
    <cellStyle name="20% - Cor4 5 3" xfId="1848" xr:uid="{00000000-0005-0000-0000-000061030000}"/>
    <cellStyle name="20% - Cor4 5 3 2" xfId="5869" xr:uid="{00000000-0005-0000-0000-000062030000}"/>
    <cellStyle name="20% - Cor4 5 3 3" xfId="7095" xr:uid="{00000000-0005-0000-0000-000063030000}"/>
    <cellStyle name="20% - Cor4 5 4" xfId="2033" xr:uid="{00000000-0005-0000-0000-000064030000}"/>
    <cellStyle name="20% - Cor4 5 4 2" xfId="6052" xr:uid="{00000000-0005-0000-0000-000065030000}"/>
    <cellStyle name="20% - Cor4 5 4 3" xfId="7280" xr:uid="{00000000-0005-0000-0000-000066030000}"/>
    <cellStyle name="20% - Cor4 5 5" xfId="5413" xr:uid="{00000000-0005-0000-0000-000067030000}"/>
    <cellStyle name="20% - Cor4 5 6" xfId="6634" xr:uid="{00000000-0005-0000-0000-000068030000}"/>
    <cellStyle name="20% - Cor4 6" xfId="1396" xr:uid="{00000000-0005-0000-0000-000069030000}"/>
    <cellStyle name="20% - Cor4 6 2" xfId="1666" xr:uid="{00000000-0005-0000-0000-00006A030000}"/>
    <cellStyle name="20% - Cor4 6 2 2" xfId="5690" xr:uid="{00000000-0005-0000-0000-00006B030000}"/>
    <cellStyle name="20% - Cor4 6 2 3" xfId="6915" xr:uid="{00000000-0005-0000-0000-00006C030000}"/>
    <cellStyle name="20% - Cor4 6 3" xfId="1862" xr:uid="{00000000-0005-0000-0000-00006D030000}"/>
    <cellStyle name="20% - Cor4 6 3 2" xfId="5883" xr:uid="{00000000-0005-0000-0000-00006E030000}"/>
    <cellStyle name="20% - Cor4 6 3 3" xfId="7109" xr:uid="{00000000-0005-0000-0000-00006F030000}"/>
    <cellStyle name="20% - Cor4 6 4" xfId="2047" xr:uid="{00000000-0005-0000-0000-000070030000}"/>
    <cellStyle name="20% - Cor4 6 4 2" xfId="6066" xr:uid="{00000000-0005-0000-0000-000071030000}"/>
    <cellStyle name="20% - Cor4 6 4 3" xfId="7294" xr:uid="{00000000-0005-0000-0000-000072030000}"/>
    <cellStyle name="20% - Cor4 6 5" xfId="5427" xr:uid="{00000000-0005-0000-0000-000073030000}"/>
    <cellStyle name="20% - Cor4 6 6" xfId="6648" xr:uid="{00000000-0005-0000-0000-000074030000}"/>
    <cellStyle name="20% - Cor4 7" xfId="1428" xr:uid="{00000000-0005-0000-0000-000075030000}"/>
    <cellStyle name="20% - Cor4 7 2" xfId="1886" xr:uid="{00000000-0005-0000-0000-000076030000}"/>
    <cellStyle name="20% - Cor4 7 2 2" xfId="5906" xr:uid="{00000000-0005-0000-0000-000077030000}"/>
    <cellStyle name="20% - Cor4 7 2 3" xfId="7133" xr:uid="{00000000-0005-0000-0000-000078030000}"/>
    <cellStyle name="20% - Cor4 7 3" xfId="2059" xr:uid="{00000000-0005-0000-0000-000079030000}"/>
    <cellStyle name="20% - Cor4 7 3 2" xfId="6078" xr:uid="{00000000-0005-0000-0000-00007A030000}"/>
    <cellStyle name="20% - Cor4 7 3 3" xfId="7306" xr:uid="{00000000-0005-0000-0000-00007B030000}"/>
    <cellStyle name="20% - Cor4 7 4" xfId="5458" xr:uid="{00000000-0005-0000-0000-00007C030000}"/>
    <cellStyle name="20% - Cor4 7 5" xfId="6680" xr:uid="{00000000-0005-0000-0000-00007D030000}"/>
    <cellStyle name="20% - Cor4 8" xfId="1629" xr:uid="{00000000-0005-0000-0000-00007E030000}"/>
    <cellStyle name="20% - Cor4 8 2" xfId="2080" xr:uid="{00000000-0005-0000-0000-00007F030000}"/>
    <cellStyle name="20% - Cor4 8 2 2" xfId="6099" xr:uid="{00000000-0005-0000-0000-000080030000}"/>
    <cellStyle name="20% - Cor4 8 2 3" xfId="7327" xr:uid="{00000000-0005-0000-0000-000081030000}"/>
    <cellStyle name="20% - Cor4 8 3" xfId="5655" xr:uid="{00000000-0005-0000-0000-000082030000}"/>
    <cellStyle name="20% - Cor4 8 4" xfId="6880" xr:uid="{00000000-0005-0000-0000-000083030000}"/>
    <cellStyle name="20% - Cor4 9" xfId="1992" xr:uid="{00000000-0005-0000-0000-000084030000}"/>
    <cellStyle name="20% - Cor4 9 2" xfId="6011" xr:uid="{00000000-0005-0000-0000-000085030000}"/>
    <cellStyle name="20% - Cor4 9 3" xfId="7239" xr:uid="{00000000-0005-0000-0000-000086030000}"/>
    <cellStyle name="20% - Cor5 10" xfId="6313" xr:uid="{00000000-0005-0000-0000-000087030000}"/>
    <cellStyle name="20% - Cor5 11" xfId="1031" xr:uid="{00000000-0005-0000-0000-000088030000}"/>
    <cellStyle name="20% - Cor5 2" xfId="55" xr:uid="{00000000-0005-0000-0000-000089030000}"/>
    <cellStyle name="20% - Cor5 2 2" xfId="1266" xr:uid="{00000000-0005-0000-0000-00008A030000}"/>
    <cellStyle name="20% - Cor5 2 2 2" xfId="1537" xr:uid="{00000000-0005-0000-0000-00008B030000}"/>
    <cellStyle name="20% - Cor5 2 2 2 2" xfId="5564" xr:uid="{00000000-0005-0000-0000-00008C030000}"/>
    <cellStyle name="20% - Cor5 2 2 2 3" xfId="6789" xr:uid="{00000000-0005-0000-0000-00008D030000}"/>
    <cellStyle name="20% - Cor5 2 2 3" xfId="1742" xr:uid="{00000000-0005-0000-0000-00008E030000}"/>
    <cellStyle name="20% - Cor5 2 2 3 2" xfId="5764" xr:uid="{00000000-0005-0000-0000-00008F030000}"/>
    <cellStyle name="20% - Cor5 2 2 3 3" xfId="6989" xr:uid="{00000000-0005-0000-0000-000090030000}"/>
    <cellStyle name="20% - Cor5 2 2 4" xfId="1556" xr:uid="{00000000-0005-0000-0000-000091030000}"/>
    <cellStyle name="20% - Cor5 2 2 4 2" xfId="5582" xr:uid="{00000000-0005-0000-0000-000092030000}"/>
    <cellStyle name="20% - Cor5 2 2 4 3" xfId="6807" xr:uid="{00000000-0005-0000-0000-000093030000}"/>
    <cellStyle name="20% - Cor5 2 2 5" xfId="5303" xr:uid="{00000000-0005-0000-0000-000094030000}"/>
    <cellStyle name="20% - Cor5 2 2 6" xfId="6518" xr:uid="{00000000-0005-0000-0000-000095030000}"/>
    <cellStyle name="20% - Cor5 2 3" xfId="1313" xr:uid="{00000000-0005-0000-0000-000096030000}"/>
    <cellStyle name="20% - Cor5 2 3 2" xfId="1582" xr:uid="{00000000-0005-0000-0000-000097030000}"/>
    <cellStyle name="20% - Cor5 2 3 2 2" xfId="5608" xr:uid="{00000000-0005-0000-0000-000098030000}"/>
    <cellStyle name="20% - Cor5 2 3 2 3" xfId="6833" xr:uid="{00000000-0005-0000-0000-000099030000}"/>
    <cellStyle name="20% - Cor5 2 3 3" xfId="1786" xr:uid="{00000000-0005-0000-0000-00009A030000}"/>
    <cellStyle name="20% - Cor5 2 3 3 2" xfId="5807" xr:uid="{00000000-0005-0000-0000-00009B030000}"/>
    <cellStyle name="20% - Cor5 2 3 3 3" xfId="7033" xr:uid="{00000000-0005-0000-0000-00009C030000}"/>
    <cellStyle name="20% - Cor5 2 3 4" xfId="1959" xr:uid="{00000000-0005-0000-0000-00009D030000}"/>
    <cellStyle name="20% - Cor5 2 3 4 2" xfId="5979" xr:uid="{00000000-0005-0000-0000-00009E030000}"/>
    <cellStyle name="20% - Cor5 2 3 4 3" xfId="7206" xr:uid="{00000000-0005-0000-0000-00009F030000}"/>
    <cellStyle name="20% - Cor5 2 3 5" xfId="5349" xr:uid="{00000000-0005-0000-0000-0000A0030000}"/>
    <cellStyle name="20% - Cor5 2 3 6" xfId="6565" xr:uid="{00000000-0005-0000-0000-0000A1030000}"/>
    <cellStyle name="20% - Cor5 2 4" xfId="1462" xr:uid="{00000000-0005-0000-0000-0000A2030000}"/>
    <cellStyle name="20% - Cor5 2 4 2" xfId="5490" xr:uid="{00000000-0005-0000-0000-0000A3030000}"/>
    <cellStyle name="20% - Cor5 2 4 3" xfId="6714" xr:uid="{00000000-0005-0000-0000-0000A4030000}"/>
    <cellStyle name="20% - Cor5 2 5" xfId="1404" xr:uid="{00000000-0005-0000-0000-0000A5030000}"/>
    <cellStyle name="20% - Cor5 2 5 2" xfId="5435" xr:uid="{00000000-0005-0000-0000-0000A6030000}"/>
    <cellStyle name="20% - Cor5 2 5 3" xfId="6656" xr:uid="{00000000-0005-0000-0000-0000A7030000}"/>
    <cellStyle name="20% - Cor5 2 6" xfId="1801" xr:uid="{00000000-0005-0000-0000-0000A8030000}"/>
    <cellStyle name="20% - Cor5 2 6 2" xfId="5822" xr:uid="{00000000-0005-0000-0000-0000A9030000}"/>
    <cellStyle name="20% - Cor5 2 6 3" xfId="7048" xr:uid="{00000000-0005-0000-0000-0000AA030000}"/>
    <cellStyle name="20% - Cor5 2 7" xfId="5235" xr:uid="{00000000-0005-0000-0000-0000AB030000}"/>
    <cellStyle name="20% - Cor5 2 8" xfId="6445" xr:uid="{00000000-0005-0000-0000-0000AC030000}"/>
    <cellStyle name="20% - Cor5 2 9" xfId="1193" xr:uid="{00000000-0005-0000-0000-0000AD030000}"/>
    <cellStyle name="20% - Cor5 3" xfId="56" xr:uid="{00000000-0005-0000-0000-0000AE030000}"/>
    <cellStyle name="20% - Cor5 3 2" xfId="1347" xr:uid="{00000000-0005-0000-0000-0000AF030000}"/>
    <cellStyle name="20% - Cor5 3 2 2" xfId="1615" xr:uid="{00000000-0005-0000-0000-0000B0030000}"/>
    <cellStyle name="20% - Cor5 3 2 2 2" xfId="5641" xr:uid="{00000000-0005-0000-0000-0000B1030000}"/>
    <cellStyle name="20% - Cor5 3 2 2 3" xfId="6866" xr:uid="{00000000-0005-0000-0000-0000B2030000}"/>
    <cellStyle name="20% - Cor5 3 2 3" xfId="1816" xr:uid="{00000000-0005-0000-0000-0000B3030000}"/>
    <cellStyle name="20% - Cor5 3 2 3 2" xfId="5837" xr:uid="{00000000-0005-0000-0000-0000B4030000}"/>
    <cellStyle name="20% - Cor5 3 2 3 3" xfId="7063" xr:uid="{00000000-0005-0000-0000-0000B5030000}"/>
    <cellStyle name="20% - Cor5 3 2 4" xfId="2007" xr:uid="{00000000-0005-0000-0000-0000B6030000}"/>
    <cellStyle name="20% - Cor5 3 2 4 2" xfId="6026" xr:uid="{00000000-0005-0000-0000-0000B7030000}"/>
    <cellStyle name="20% - Cor5 3 2 4 3" xfId="7254" xr:uid="{00000000-0005-0000-0000-0000B8030000}"/>
    <cellStyle name="20% - Cor5 3 2 5" xfId="5381" xr:uid="{00000000-0005-0000-0000-0000B9030000}"/>
    <cellStyle name="20% - Cor5 3 2 6" xfId="6599" xr:uid="{00000000-0005-0000-0000-0000BA030000}"/>
    <cellStyle name="20% - Cor5 3 3" xfId="1506" xr:uid="{00000000-0005-0000-0000-0000BB030000}"/>
    <cellStyle name="20% - Cor5 3 3 2" xfId="5534" xr:uid="{00000000-0005-0000-0000-0000BC030000}"/>
    <cellStyle name="20% - Cor5 3 3 3" xfId="6758" xr:uid="{00000000-0005-0000-0000-0000BD030000}"/>
    <cellStyle name="20% - Cor5 3 4" xfId="1713" xr:uid="{00000000-0005-0000-0000-0000BE030000}"/>
    <cellStyle name="20% - Cor5 3 4 2" xfId="5735" xr:uid="{00000000-0005-0000-0000-0000BF030000}"/>
    <cellStyle name="20% - Cor5 3 4 3" xfId="6960" xr:uid="{00000000-0005-0000-0000-0000C0030000}"/>
    <cellStyle name="20% - Cor5 3 5" xfId="1958" xr:uid="{00000000-0005-0000-0000-0000C1030000}"/>
    <cellStyle name="20% - Cor5 3 5 2" xfId="5978" xr:uid="{00000000-0005-0000-0000-0000C2030000}"/>
    <cellStyle name="20% - Cor5 3 5 3" xfId="7205" xr:uid="{00000000-0005-0000-0000-0000C3030000}"/>
    <cellStyle name="20% - Cor5 3 6" xfId="5275" xr:uid="{00000000-0005-0000-0000-0000C4030000}"/>
    <cellStyle name="20% - Cor5 3 7" xfId="6488" xr:uid="{00000000-0005-0000-0000-0000C5030000}"/>
    <cellStyle name="20% - Cor5 3 8" xfId="1236" xr:uid="{00000000-0005-0000-0000-0000C6030000}"/>
    <cellStyle name="20% - Cor5 4" xfId="57" xr:uid="{00000000-0005-0000-0000-0000C7030000}"/>
    <cellStyle name="20% - Cor5 4 2" xfId="1505" xr:uid="{00000000-0005-0000-0000-0000C8030000}"/>
    <cellStyle name="20% - Cor5 4 2 2" xfId="5533" xr:uid="{00000000-0005-0000-0000-0000C9030000}"/>
    <cellStyle name="20% - Cor5 4 2 3" xfId="6757" xr:uid="{00000000-0005-0000-0000-0000CA030000}"/>
    <cellStyle name="20% - Cor5 4 3" xfId="1712" xr:uid="{00000000-0005-0000-0000-0000CB030000}"/>
    <cellStyle name="20% - Cor5 4 3 2" xfId="5734" xr:uid="{00000000-0005-0000-0000-0000CC030000}"/>
    <cellStyle name="20% - Cor5 4 3 3" xfId="6959" xr:uid="{00000000-0005-0000-0000-0000CD030000}"/>
    <cellStyle name="20% - Cor5 4 4" xfId="1899" xr:uid="{00000000-0005-0000-0000-0000CE030000}"/>
    <cellStyle name="20% - Cor5 4 4 2" xfId="5919" xr:uid="{00000000-0005-0000-0000-0000CF030000}"/>
    <cellStyle name="20% - Cor5 4 4 3" xfId="7146" xr:uid="{00000000-0005-0000-0000-0000D0030000}"/>
    <cellStyle name="20% - Cor5 4 5" xfId="5274" xr:uid="{00000000-0005-0000-0000-0000D1030000}"/>
    <cellStyle name="20% - Cor5 4 6" xfId="6487" xr:uid="{00000000-0005-0000-0000-0000D2030000}"/>
    <cellStyle name="20% - Cor5 4 7" xfId="1235" xr:uid="{00000000-0005-0000-0000-0000D3030000}"/>
    <cellStyle name="20% - Cor5 5" xfId="1384" xr:uid="{00000000-0005-0000-0000-0000D4030000}"/>
    <cellStyle name="20% - Cor5 5 2" xfId="1654" xr:uid="{00000000-0005-0000-0000-0000D5030000}"/>
    <cellStyle name="20% - Cor5 5 2 2" xfId="5678" xr:uid="{00000000-0005-0000-0000-0000D6030000}"/>
    <cellStyle name="20% - Cor5 5 2 3" xfId="6903" xr:uid="{00000000-0005-0000-0000-0000D7030000}"/>
    <cellStyle name="20% - Cor5 5 3" xfId="1850" xr:uid="{00000000-0005-0000-0000-0000D8030000}"/>
    <cellStyle name="20% - Cor5 5 3 2" xfId="5871" xr:uid="{00000000-0005-0000-0000-0000D9030000}"/>
    <cellStyle name="20% - Cor5 5 3 3" xfId="7097" xr:uid="{00000000-0005-0000-0000-0000DA030000}"/>
    <cellStyle name="20% - Cor5 5 4" xfId="2035" xr:uid="{00000000-0005-0000-0000-0000DB030000}"/>
    <cellStyle name="20% - Cor5 5 4 2" xfId="6054" xr:uid="{00000000-0005-0000-0000-0000DC030000}"/>
    <cellStyle name="20% - Cor5 5 4 3" xfId="7282" xr:uid="{00000000-0005-0000-0000-0000DD030000}"/>
    <cellStyle name="20% - Cor5 5 5" xfId="5415" xr:uid="{00000000-0005-0000-0000-0000DE030000}"/>
    <cellStyle name="20% - Cor5 5 6" xfId="6636" xr:uid="{00000000-0005-0000-0000-0000DF030000}"/>
    <cellStyle name="20% - Cor5 6" xfId="1398" xr:uid="{00000000-0005-0000-0000-0000E0030000}"/>
    <cellStyle name="20% - Cor5 6 2" xfId="1668" xr:uid="{00000000-0005-0000-0000-0000E1030000}"/>
    <cellStyle name="20% - Cor5 6 2 2" xfId="5692" xr:uid="{00000000-0005-0000-0000-0000E2030000}"/>
    <cellStyle name="20% - Cor5 6 2 3" xfId="6917" xr:uid="{00000000-0005-0000-0000-0000E3030000}"/>
    <cellStyle name="20% - Cor5 6 3" xfId="1864" xr:uid="{00000000-0005-0000-0000-0000E4030000}"/>
    <cellStyle name="20% - Cor5 6 3 2" xfId="5885" xr:uid="{00000000-0005-0000-0000-0000E5030000}"/>
    <cellStyle name="20% - Cor5 6 3 3" xfId="7111" xr:uid="{00000000-0005-0000-0000-0000E6030000}"/>
    <cellStyle name="20% - Cor5 6 4" xfId="2049" xr:uid="{00000000-0005-0000-0000-0000E7030000}"/>
    <cellStyle name="20% - Cor5 6 4 2" xfId="6068" xr:uid="{00000000-0005-0000-0000-0000E8030000}"/>
    <cellStyle name="20% - Cor5 6 4 3" xfId="7296" xr:uid="{00000000-0005-0000-0000-0000E9030000}"/>
    <cellStyle name="20% - Cor5 6 5" xfId="5429" xr:uid="{00000000-0005-0000-0000-0000EA030000}"/>
    <cellStyle name="20% - Cor5 6 6" xfId="6650" xr:uid="{00000000-0005-0000-0000-0000EB030000}"/>
    <cellStyle name="20% - Cor5 7" xfId="1432" xr:uid="{00000000-0005-0000-0000-0000EC030000}"/>
    <cellStyle name="20% - Cor5 7 2" xfId="1888" xr:uid="{00000000-0005-0000-0000-0000ED030000}"/>
    <cellStyle name="20% - Cor5 7 2 2" xfId="5908" xr:uid="{00000000-0005-0000-0000-0000EE030000}"/>
    <cellStyle name="20% - Cor5 7 2 3" xfId="7135" xr:uid="{00000000-0005-0000-0000-0000EF030000}"/>
    <cellStyle name="20% - Cor5 7 3" xfId="2061" xr:uid="{00000000-0005-0000-0000-0000F0030000}"/>
    <cellStyle name="20% - Cor5 7 3 2" xfId="6080" xr:uid="{00000000-0005-0000-0000-0000F1030000}"/>
    <cellStyle name="20% - Cor5 7 3 3" xfId="7308" xr:uid="{00000000-0005-0000-0000-0000F2030000}"/>
    <cellStyle name="20% - Cor5 7 4" xfId="5462" xr:uid="{00000000-0005-0000-0000-0000F3030000}"/>
    <cellStyle name="20% - Cor5 7 5" xfId="6684" xr:uid="{00000000-0005-0000-0000-0000F4030000}"/>
    <cellStyle name="20% - Cor5 8" xfId="1620" xr:uid="{00000000-0005-0000-0000-0000F5030000}"/>
    <cellStyle name="20% - Cor5 8 2" xfId="2076" xr:uid="{00000000-0005-0000-0000-0000F6030000}"/>
    <cellStyle name="20% - Cor5 8 2 2" xfId="6095" xr:uid="{00000000-0005-0000-0000-0000F7030000}"/>
    <cellStyle name="20% - Cor5 8 2 3" xfId="7323" xr:uid="{00000000-0005-0000-0000-0000F8030000}"/>
    <cellStyle name="20% - Cor5 8 3" xfId="5646" xr:uid="{00000000-0005-0000-0000-0000F9030000}"/>
    <cellStyle name="20% - Cor5 8 4" xfId="6871" xr:uid="{00000000-0005-0000-0000-0000FA030000}"/>
    <cellStyle name="20% - Cor5 9" xfId="1719" xr:uid="{00000000-0005-0000-0000-0000FB030000}"/>
    <cellStyle name="20% - Cor5 9 2" xfId="5741" xr:uid="{00000000-0005-0000-0000-0000FC030000}"/>
    <cellStyle name="20% - Cor5 9 3" xfId="6966" xr:uid="{00000000-0005-0000-0000-0000FD030000}"/>
    <cellStyle name="20% - Cor6 10" xfId="6317" xr:uid="{00000000-0005-0000-0000-0000FE030000}"/>
    <cellStyle name="20% - Cor6 11" xfId="1035" xr:uid="{00000000-0005-0000-0000-0000FF030000}"/>
    <cellStyle name="20% - Cor6 2" xfId="58" xr:uid="{00000000-0005-0000-0000-000000040000}"/>
    <cellStyle name="20% - Cor6 2 2" xfId="1268" xr:uid="{00000000-0005-0000-0000-000001040000}"/>
    <cellStyle name="20% - Cor6 2 2 2" xfId="1539" xr:uid="{00000000-0005-0000-0000-000002040000}"/>
    <cellStyle name="20% - Cor6 2 2 2 2" xfId="5566" xr:uid="{00000000-0005-0000-0000-000003040000}"/>
    <cellStyle name="20% - Cor6 2 2 2 3" xfId="6791" xr:uid="{00000000-0005-0000-0000-000004040000}"/>
    <cellStyle name="20% - Cor6 2 2 3" xfId="1744" xr:uid="{00000000-0005-0000-0000-000005040000}"/>
    <cellStyle name="20% - Cor6 2 2 3 2" xfId="5766" xr:uid="{00000000-0005-0000-0000-000006040000}"/>
    <cellStyle name="20% - Cor6 2 2 3 3" xfId="6991" xr:uid="{00000000-0005-0000-0000-000007040000}"/>
    <cellStyle name="20% - Cor6 2 2 4" xfId="1477" xr:uid="{00000000-0005-0000-0000-000008040000}"/>
    <cellStyle name="20% - Cor6 2 2 4 2" xfId="5505" xr:uid="{00000000-0005-0000-0000-000009040000}"/>
    <cellStyle name="20% - Cor6 2 2 4 3" xfId="6729" xr:uid="{00000000-0005-0000-0000-00000A040000}"/>
    <cellStyle name="20% - Cor6 2 2 5" xfId="5305" xr:uid="{00000000-0005-0000-0000-00000B040000}"/>
    <cellStyle name="20% - Cor6 2 2 6" xfId="6520" xr:uid="{00000000-0005-0000-0000-00000C040000}"/>
    <cellStyle name="20% - Cor6 2 3" xfId="1315" xr:uid="{00000000-0005-0000-0000-00000D040000}"/>
    <cellStyle name="20% - Cor6 2 3 2" xfId="1584" xr:uid="{00000000-0005-0000-0000-00000E040000}"/>
    <cellStyle name="20% - Cor6 2 3 2 2" xfId="5610" xr:uid="{00000000-0005-0000-0000-00000F040000}"/>
    <cellStyle name="20% - Cor6 2 3 2 3" xfId="6835" xr:uid="{00000000-0005-0000-0000-000010040000}"/>
    <cellStyle name="20% - Cor6 2 3 3" xfId="1788" xr:uid="{00000000-0005-0000-0000-000011040000}"/>
    <cellStyle name="20% - Cor6 2 3 3 2" xfId="5809" xr:uid="{00000000-0005-0000-0000-000012040000}"/>
    <cellStyle name="20% - Cor6 2 3 3 3" xfId="7035" xr:uid="{00000000-0005-0000-0000-000013040000}"/>
    <cellStyle name="20% - Cor6 2 3 4" xfId="2013" xr:uid="{00000000-0005-0000-0000-000014040000}"/>
    <cellStyle name="20% - Cor6 2 3 4 2" xfId="6032" xr:uid="{00000000-0005-0000-0000-000015040000}"/>
    <cellStyle name="20% - Cor6 2 3 4 3" xfId="7260" xr:uid="{00000000-0005-0000-0000-000016040000}"/>
    <cellStyle name="20% - Cor6 2 3 5" xfId="5351" xr:uid="{00000000-0005-0000-0000-000017040000}"/>
    <cellStyle name="20% - Cor6 2 3 6" xfId="6567" xr:uid="{00000000-0005-0000-0000-000018040000}"/>
    <cellStyle name="20% - Cor6 2 4" xfId="1464" xr:uid="{00000000-0005-0000-0000-000019040000}"/>
    <cellStyle name="20% - Cor6 2 4 2" xfId="5492" xr:uid="{00000000-0005-0000-0000-00001A040000}"/>
    <cellStyle name="20% - Cor6 2 4 3" xfId="6716" xr:uid="{00000000-0005-0000-0000-00001B040000}"/>
    <cellStyle name="20% - Cor6 2 5" xfId="1438" xr:uid="{00000000-0005-0000-0000-00001C040000}"/>
    <cellStyle name="20% - Cor6 2 5 2" xfId="5468" xr:uid="{00000000-0005-0000-0000-00001D040000}"/>
    <cellStyle name="20% - Cor6 2 5 3" xfId="6690" xr:uid="{00000000-0005-0000-0000-00001E040000}"/>
    <cellStyle name="20% - Cor6 2 6" xfId="1828" xr:uid="{00000000-0005-0000-0000-00001F040000}"/>
    <cellStyle name="20% - Cor6 2 6 2" xfId="5849" xr:uid="{00000000-0005-0000-0000-000020040000}"/>
    <cellStyle name="20% - Cor6 2 6 3" xfId="7075" xr:uid="{00000000-0005-0000-0000-000021040000}"/>
    <cellStyle name="20% - Cor6 2 7" xfId="5237" xr:uid="{00000000-0005-0000-0000-000022040000}"/>
    <cellStyle name="20% - Cor6 2 8" xfId="6447" xr:uid="{00000000-0005-0000-0000-000023040000}"/>
    <cellStyle name="20% - Cor6 2 9" xfId="1195" xr:uid="{00000000-0005-0000-0000-000024040000}"/>
    <cellStyle name="20% - Cor6 3" xfId="59" xr:uid="{00000000-0005-0000-0000-000025040000}"/>
    <cellStyle name="20% - Cor6 3 2" xfId="1349" xr:uid="{00000000-0005-0000-0000-000026040000}"/>
    <cellStyle name="20% - Cor6 3 2 2" xfId="1617" xr:uid="{00000000-0005-0000-0000-000027040000}"/>
    <cellStyle name="20% - Cor6 3 2 2 2" xfId="5643" xr:uid="{00000000-0005-0000-0000-000028040000}"/>
    <cellStyle name="20% - Cor6 3 2 2 3" xfId="6868" xr:uid="{00000000-0005-0000-0000-000029040000}"/>
    <cellStyle name="20% - Cor6 3 2 3" xfId="1818" xr:uid="{00000000-0005-0000-0000-00002A040000}"/>
    <cellStyle name="20% - Cor6 3 2 3 2" xfId="5839" xr:uid="{00000000-0005-0000-0000-00002B040000}"/>
    <cellStyle name="20% - Cor6 3 2 3 3" xfId="7065" xr:uid="{00000000-0005-0000-0000-00002C040000}"/>
    <cellStyle name="20% - Cor6 3 2 4" xfId="1929" xr:uid="{00000000-0005-0000-0000-00002D040000}"/>
    <cellStyle name="20% - Cor6 3 2 4 2" xfId="5949" xr:uid="{00000000-0005-0000-0000-00002E040000}"/>
    <cellStyle name="20% - Cor6 3 2 4 3" xfId="7176" xr:uid="{00000000-0005-0000-0000-00002F040000}"/>
    <cellStyle name="20% - Cor6 3 2 5" xfId="5383" xr:uid="{00000000-0005-0000-0000-000030040000}"/>
    <cellStyle name="20% - Cor6 3 2 6" xfId="6601" xr:uid="{00000000-0005-0000-0000-000031040000}"/>
    <cellStyle name="20% - Cor6 3 3" xfId="1508" xr:uid="{00000000-0005-0000-0000-000032040000}"/>
    <cellStyle name="20% - Cor6 3 3 2" xfId="5536" xr:uid="{00000000-0005-0000-0000-000033040000}"/>
    <cellStyle name="20% - Cor6 3 3 3" xfId="6760" xr:uid="{00000000-0005-0000-0000-000034040000}"/>
    <cellStyle name="20% - Cor6 3 4" xfId="1715" xr:uid="{00000000-0005-0000-0000-000035040000}"/>
    <cellStyle name="20% - Cor6 3 4 2" xfId="5737" xr:uid="{00000000-0005-0000-0000-000036040000}"/>
    <cellStyle name="20% - Cor6 3 4 3" xfId="6962" xr:uid="{00000000-0005-0000-0000-000037040000}"/>
    <cellStyle name="20% - Cor6 3 5" xfId="1898" xr:uid="{00000000-0005-0000-0000-000038040000}"/>
    <cellStyle name="20% - Cor6 3 5 2" xfId="5918" xr:uid="{00000000-0005-0000-0000-000039040000}"/>
    <cellStyle name="20% - Cor6 3 5 3" xfId="7145" xr:uid="{00000000-0005-0000-0000-00003A040000}"/>
    <cellStyle name="20% - Cor6 3 6" xfId="5277" xr:uid="{00000000-0005-0000-0000-00003B040000}"/>
    <cellStyle name="20% - Cor6 3 7" xfId="6490" xr:uid="{00000000-0005-0000-0000-00003C040000}"/>
    <cellStyle name="20% - Cor6 3 8" xfId="1238" xr:uid="{00000000-0005-0000-0000-00003D040000}"/>
    <cellStyle name="20% - Cor6 4" xfId="60" xr:uid="{00000000-0005-0000-0000-00003E040000}"/>
    <cellStyle name="20% - Cor6 4 2" xfId="1542" xr:uid="{00000000-0005-0000-0000-00003F040000}"/>
    <cellStyle name="20% - Cor6 4 2 2" xfId="5569" xr:uid="{00000000-0005-0000-0000-000040040000}"/>
    <cellStyle name="20% - Cor6 4 2 3" xfId="6794" xr:uid="{00000000-0005-0000-0000-000041040000}"/>
    <cellStyle name="20% - Cor6 4 3" xfId="1747" xr:uid="{00000000-0005-0000-0000-000042040000}"/>
    <cellStyle name="20% - Cor6 4 3 2" xfId="5769" xr:uid="{00000000-0005-0000-0000-000043040000}"/>
    <cellStyle name="20% - Cor6 4 3 3" xfId="6994" xr:uid="{00000000-0005-0000-0000-000044040000}"/>
    <cellStyle name="20% - Cor6 4 4" xfId="1955" xr:uid="{00000000-0005-0000-0000-000045040000}"/>
    <cellStyle name="20% - Cor6 4 4 2" xfId="5975" xr:uid="{00000000-0005-0000-0000-000046040000}"/>
    <cellStyle name="20% - Cor6 4 4 3" xfId="7202" xr:uid="{00000000-0005-0000-0000-000047040000}"/>
    <cellStyle name="20% - Cor6 4 5" xfId="5307" xr:uid="{00000000-0005-0000-0000-000048040000}"/>
    <cellStyle name="20% - Cor6 4 6" xfId="6522" xr:uid="{00000000-0005-0000-0000-000049040000}"/>
    <cellStyle name="20% - Cor6 4 7" xfId="1270" xr:uid="{00000000-0005-0000-0000-00004A040000}"/>
    <cellStyle name="20% - Cor6 5" xfId="1386" xr:uid="{00000000-0005-0000-0000-00004B040000}"/>
    <cellStyle name="20% - Cor6 5 2" xfId="1656" xr:uid="{00000000-0005-0000-0000-00004C040000}"/>
    <cellStyle name="20% - Cor6 5 2 2" xfId="5680" xr:uid="{00000000-0005-0000-0000-00004D040000}"/>
    <cellStyle name="20% - Cor6 5 2 3" xfId="6905" xr:uid="{00000000-0005-0000-0000-00004E040000}"/>
    <cellStyle name="20% - Cor6 5 3" xfId="1852" xr:uid="{00000000-0005-0000-0000-00004F040000}"/>
    <cellStyle name="20% - Cor6 5 3 2" xfId="5873" xr:uid="{00000000-0005-0000-0000-000050040000}"/>
    <cellStyle name="20% - Cor6 5 3 3" xfId="7099" xr:uid="{00000000-0005-0000-0000-000051040000}"/>
    <cellStyle name="20% - Cor6 5 4" xfId="2037" xr:uid="{00000000-0005-0000-0000-000052040000}"/>
    <cellStyle name="20% - Cor6 5 4 2" xfId="6056" xr:uid="{00000000-0005-0000-0000-000053040000}"/>
    <cellStyle name="20% - Cor6 5 4 3" xfId="7284" xr:uid="{00000000-0005-0000-0000-000054040000}"/>
    <cellStyle name="20% - Cor6 5 5" xfId="5417" xr:uid="{00000000-0005-0000-0000-000055040000}"/>
    <cellStyle name="20% - Cor6 5 6" xfId="6638" xr:uid="{00000000-0005-0000-0000-000056040000}"/>
    <cellStyle name="20% - Cor6 6" xfId="1400" xr:uid="{00000000-0005-0000-0000-000057040000}"/>
    <cellStyle name="20% - Cor6 6 2" xfId="1670" xr:uid="{00000000-0005-0000-0000-000058040000}"/>
    <cellStyle name="20% - Cor6 6 2 2" xfId="5694" xr:uid="{00000000-0005-0000-0000-000059040000}"/>
    <cellStyle name="20% - Cor6 6 2 3" xfId="6919" xr:uid="{00000000-0005-0000-0000-00005A040000}"/>
    <cellStyle name="20% - Cor6 6 3" xfId="1866" xr:uid="{00000000-0005-0000-0000-00005B040000}"/>
    <cellStyle name="20% - Cor6 6 3 2" xfId="5887" xr:uid="{00000000-0005-0000-0000-00005C040000}"/>
    <cellStyle name="20% - Cor6 6 3 3" xfId="7113" xr:uid="{00000000-0005-0000-0000-00005D040000}"/>
    <cellStyle name="20% - Cor6 6 4" xfId="2051" xr:uid="{00000000-0005-0000-0000-00005E040000}"/>
    <cellStyle name="20% - Cor6 6 4 2" xfId="6070" xr:uid="{00000000-0005-0000-0000-00005F040000}"/>
    <cellStyle name="20% - Cor6 6 4 3" xfId="7298" xr:uid="{00000000-0005-0000-0000-000060040000}"/>
    <cellStyle name="20% - Cor6 6 5" xfId="5431" xr:uid="{00000000-0005-0000-0000-000061040000}"/>
    <cellStyle name="20% - Cor6 6 6" xfId="6652" xr:uid="{00000000-0005-0000-0000-000062040000}"/>
    <cellStyle name="20% - Cor6 7" xfId="1436" xr:uid="{00000000-0005-0000-0000-000063040000}"/>
    <cellStyle name="20% - Cor6 7 2" xfId="1890" xr:uid="{00000000-0005-0000-0000-000064040000}"/>
    <cellStyle name="20% - Cor6 7 2 2" xfId="5910" xr:uid="{00000000-0005-0000-0000-000065040000}"/>
    <cellStyle name="20% - Cor6 7 2 3" xfId="7137" xr:uid="{00000000-0005-0000-0000-000066040000}"/>
    <cellStyle name="20% - Cor6 7 3" xfId="2063" xr:uid="{00000000-0005-0000-0000-000067040000}"/>
    <cellStyle name="20% - Cor6 7 3 2" xfId="6082" xr:uid="{00000000-0005-0000-0000-000068040000}"/>
    <cellStyle name="20% - Cor6 7 3 3" xfId="7310" xr:uid="{00000000-0005-0000-0000-000069040000}"/>
    <cellStyle name="20% - Cor6 7 4" xfId="5466" xr:uid="{00000000-0005-0000-0000-00006A040000}"/>
    <cellStyle name="20% - Cor6 7 5" xfId="6688" xr:uid="{00000000-0005-0000-0000-00006B040000}"/>
    <cellStyle name="20% - Cor6 8" xfId="1604" xr:uid="{00000000-0005-0000-0000-00006C040000}"/>
    <cellStyle name="20% - Cor6 8 2" xfId="2075" xr:uid="{00000000-0005-0000-0000-00006D040000}"/>
    <cellStyle name="20% - Cor6 8 2 2" xfId="6094" xr:uid="{00000000-0005-0000-0000-00006E040000}"/>
    <cellStyle name="20% - Cor6 8 2 3" xfId="7322" xr:uid="{00000000-0005-0000-0000-00006F040000}"/>
    <cellStyle name="20% - Cor6 8 3" xfId="5630" xr:uid="{00000000-0005-0000-0000-000070040000}"/>
    <cellStyle name="20% - Cor6 8 4" xfId="6855" xr:uid="{00000000-0005-0000-0000-000071040000}"/>
    <cellStyle name="20% - Cor6 9" xfId="2004" xr:uid="{00000000-0005-0000-0000-000072040000}"/>
    <cellStyle name="20% - Cor6 9 2" xfId="6023" xr:uid="{00000000-0005-0000-0000-000073040000}"/>
    <cellStyle name="20% - Cor6 9 3" xfId="7251" xr:uid="{00000000-0005-0000-0000-000074040000}"/>
    <cellStyle name="40% - Accent1" xfId="61" xr:uid="{00000000-0005-0000-0000-000075040000}"/>
    <cellStyle name="40% - Accent1 10" xfId="2603" xr:uid="{00000000-0005-0000-0000-000076040000}"/>
    <cellStyle name="40% - Accent1 2" xfId="1053" xr:uid="{00000000-0005-0000-0000-000077040000}"/>
    <cellStyle name="40% - Accent1 2 2" xfId="2896" xr:uid="{00000000-0005-0000-0000-000078040000}"/>
    <cellStyle name="40% - Accent1 2 2 2" xfId="3825" xr:uid="{00000000-0005-0000-0000-000079040000}"/>
    <cellStyle name="40% - Accent1 2 2 2 2" xfId="6208" xr:uid="{00000000-0005-0000-0000-00007A040000}"/>
    <cellStyle name="40% - Accent1 2 2 2 3" xfId="8736" xr:uid="{00000000-0005-0000-0000-00007B040000}"/>
    <cellStyle name="40% - Accent1 2 2 3" xfId="4563" xr:uid="{00000000-0005-0000-0000-00007C040000}"/>
    <cellStyle name="40% - Accent1 2 2 4" xfId="7955" xr:uid="{00000000-0005-0000-0000-00007D040000}"/>
    <cellStyle name="40% - Accent1 2 3" xfId="2986" xr:uid="{00000000-0005-0000-0000-00007E040000}"/>
    <cellStyle name="40% - Accent1 2 3 2" xfId="4648" xr:uid="{00000000-0005-0000-0000-00007F040000}"/>
    <cellStyle name="40% - Accent1 2 3 3" xfId="8042" xr:uid="{00000000-0005-0000-0000-000080040000}"/>
    <cellStyle name="40% - Accent1 2 4" xfId="3107" xr:uid="{00000000-0005-0000-0000-000081040000}"/>
    <cellStyle name="40% - Accent1 2 4 2" xfId="4759" xr:uid="{00000000-0005-0000-0000-000082040000}"/>
    <cellStyle name="40% - Accent1 2 4 3" xfId="8163" xr:uid="{00000000-0005-0000-0000-000083040000}"/>
    <cellStyle name="40% - Accent1 2 5" xfId="2782" xr:uid="{00000000-0005-0000-0000-000084040000}"/>
    <cellStyle name="40% - Accent1 2 6" xfId="3919" xr:uid="{00000000-0005-0000-0000-000085040000}"/>
    <cellStyle name="40% - Accent1 2 7" xfId="6334" xr:uid="{00000000-0005-0000-0000-000086040000}"/>
    <cellStyle name="40% - Accent1 3" xfId="2895" xr:uid="{00000000-0005-0000-0000-000087040000}"/>
    <cellStyle name="40% - Accent1 3 2" xfId="3108" xr:uid="{00000000-0005-0000-0000-000088040000}"/>
    <cellStyle name="40% - Accent1 3 2 2" xfId="4760" xr:uid="{00000000-0005-0000-0000-000089040000}"/>
    <cellStyle name="40% - Accent1 3 2 3" xfId="8164" xr:uid="{00000000-0005-0000-0000-00008A040000}"/>
    <cellStyle name="40% - Accent1 3 3" xfId="4562" xr:uid="{00000000-0005-0000-0000-00008B040000}"/>
    <cellStyle name="40% - Accent1 3 4" xfId="7954" xr:uid="{00000000-0005-0000-0000-00008C040000}"/>
    <cellStyle name="40% - Accent1 4" xfId="2985" xr:uid="{00000000-0005-0000-0000-00008D040000}"/>
    <cellStyle name="40% - Accent1 4 2" xfId="3109" xr:uid="{00000000-0005-0000-0000-00008E040000}"/>
    <cellStyle name="40% - Accent1 4 2 2" xfId="4761" xr:uid="{00000000-0005-0000-0000-00008F040000}"/>
    <cellStyle name="40% - Accent1 4 2 3" xfId="8165" xr:uid="{00000000-0005-0000-0000-000090040000}"/>
    <cellStyle name="40% - Accent1 4 3" xfId="4647" xr:uid="{00000000-0005-0000-0000-000091040000}"/>
    <cellStyle name="40% - Accent1 4 4" xfId="8041" xr:uid="{00000000-0005-0000-0000-000092040000}"/>
    <cellStyle name="40% - Accent1 5" xfId="3110" xr:uid="{00000000-0005-0000-0000-000093040000}"/>
    <cellStyle name="40% - Accent1 5 2" xfId="4762" xr:uid="{00000000-0005-0000-0000-000094040000}"/>
    <cellStyle name="40% - Accent1 5 3" xfId="8166" xr:uid="{00000000-0005-0000-0000-000095040000}"/>
    <cellStyle name="40% - Accent1 6" xfId="3111" xr:uid="{00000000-0005-0000-0000-000096040000}"/>
    <cellStyle name="40% - Accent1 6 2" xfId="4763" xr:uid="{00000000-0005-0000-0000-000097040000}"/>
    <cellStyle name="40% - Accent1 6 3" xfId="8167" xr:uid="{00000000-0005-0000-0000-000098040000}"/>
    <cellStyle name="40% - Accent1 7" xfId="2781" xr:uid="{00000000-0005-0000-0000-000099040000}"/>
    <cellStyle name="40% - Accent1 8" xfId="3918" xr:uid="{00000000-0005-0000-0000-00009A040000}"/>
    <cellStyle name="40% - Accent1 9" xfId="7821" xr:uid="{00000000-0005-0000-0000-00009B040000}"/>
    <cellStyle name="40% - Accent2" xfId="62" xr:uid="{00000000-0005-0000-0000-00009C040000}"/>
    <cellStyle name="40% - Accent2 10" xfId="2602" xr:uid="{00000000-0005-0000-0000-00009D040000}"/>
    <cellStyle name="40% - Accent2 2" xfId="1054" xr:uid="{00000000-0005-0000-0000-00009E040000}"/>
    <cellStyle name="40% - Accent2 2 2" xfId="2898" xr:uid="{00000000-0005-0000-0000-00009F040000}"/>
    <cellStyle name="40% - Accent2 2 2 2" xfId="3589" xr:uid="{00000000-0005-0000-0000-0000A0040000}"/>
    <cellStyle name="40% - Accent2 2 2 2 2" xfId="5201" xr:uid="{00000000-0005-0000-0000-0000A1040000}"/>
    <cellStyle name="40% - Accent2 2 2 2 3" xfId="8573" xr:uid="{00000000-0005-0000-0000-0000A2040000}"/>
    <cellStyle name="40% - Accent2 2 2 3" xfId="4565" xr:uid="{00000000-0005-0000-0000-0000A3040000}"/>
    <cellStyle name="40% - Accent2 2 2 4" xfId="7957" xr:uid="{00000000-0005-0000-0000-0000A4040000}"/>
    <cellStyle name="40% - Accent2 2 3" xfId="2988" xr:uid="{00000000-0005-0000-0000-0000A5040000}"/>
    <cellStyle name="40% - Accent2 2 3 2" xfId="4650" xr:uid="{00000000-0005-0000-0000-0000A6040000}"/>
    <cellStyle name="40% - Accent2 2 3 3" xfId="8044" xr:uid="{00000000-0005-0000-0000-0000A7040000}"/>
    <cellStyle name="40% - Accent2 2 4" xfId="3112" xr:uid="{00000000-0005-0000-0000-0000A8040000}"/>
    <cellStyle name="40% - Accent2 2 4 2" xfId="4764" xr:uid="{00000000-0005-0000-0000-0000A9040000}"/>
    <cellStyle name="40% - Accent2 2 4 3" xfId="8168" xr:uid="{00000000-0005-0000-0000-0000AA040000}"/>
    <cellStyle name="40% - Accent2 2 5" xfId="2784" xr:uid="{00000000-0005-0000-0000-0000AB040000}"/>
    <cellStyle name="40% - Accent2 2 6" xfId="3921" xr:uid="{00000000-0005-0000-0000-0000AC040000}"/>
    <cellStyle name="40% - Accent2 2 7" xfId="6335" xr:uid="{00000000-0005-0000-0000-0000AD040000}"/>
    <cellStyle name="40% - Accent2 3" xfId="2897" xr:uid="{00000000-0005-0000-0000-0000AE040000}"/>
    <cellStyle name="40% - Accent2 3 2" xfId="3113" xr:uid="{00000000-0005-0000-0000-0000AF040000}"/>
    <cellStyle name="40% - Accent2 3 2 2" xfId="4765" xr:uid="{00000000-0005-0000-0000-0000B0040000}"/>
    <cellStyle name="40% - Accent2 3 2 3" xfId="8169" xr:uid="{00000000-0005-0000-0000-0000B1040000}"/>
    <cellStyle name="40% - Accent2 3 3" xfId="3775" xr:uid="{00000000-0005-0000-0000-0000B2040000}"/>
    <cellStyle name="40% - Accent2 3 3 2" xfId="6169" xr:uid="{00000000-0005-0000-0000-0000B3040000}"/>
    <cellStyle name="40% - Accent2 3 3 3" xfId="8686" xr:uid="{00000000-0005-0000-0000-0000B4040000}"/>
    <cellStyle name="40% - Accent2 3 4" xfId="4564" xr:uid="{00000000-0005-0000-0000-0000B5040000}"/>
    <cellStyle name="40% - Accent2 3 5" xfId="7956" xr:uid="{00000000-0005-0000-0000-0000B6040000}"/>
    <cellStyle name="40% - Accent2 4" xfId="2987" xr:uid="{00000000-0005-0000-0000-0000B7040000}"/>
    <cellStyle name="40% - Accent2 4 2" xfId="3114" xr:uid="{00000000-0005-0000-0000-0000B8040000}"/>
    <cellStyle name="40% - Accent2 4 2 2" xfId="4766" xr:uid="{00000000-0005-0000-0000-0000B9040000}"/>
    <cellStyle name="40% - Accent2 4 2 3" xfId="8170" xr:uid="{00000000-0005-0000-0000-0000BA040000}"/>
    <cellStyle name="40% - Accent2 4 3" xfId="4649" xr:uid="{00000000-0005-0000-0000-0000BB040000}"/>
    <cellStyle name="40% - Accent2 4 4" xfId="8043" xr:uid="{00000000-0005-0000-0000-0000BC040000}"/>
    <cellStyle name="40% - Accent2 5" xfId="3115" xr:uid="{00000000-0005-0000-0000-0000BD040000}"/>
    <cellStyle name="40% - Accent2 5 2" xfId="4767" xr:uid="{00000000-0005-0000-0000-0000BE040000}"/>
    <cellStyle name="40% - Accent2 5 3" xfId="8171" xr:uid="{00000000-0005-0000-0000-0000BF040000}"/>
    <cellStyle name="40% - Accent2 6" xfId="3116" xr:uid="{00000000-0005-0000-0000-0000C0040000}"/>
    <cellStyle name="40% - Accent2 6 2" xfId="4768" xr:uid="{00000000-0005-0000-0000-0000C1040000}"/>
    <cellStyle name="40% - Accent2 6 3" xfId="8172" xr:uid="{00000000-0005-0000-0000-0000C2040000}"/>
    <cellStyle name="40% - Accent2 7" xfId="2783" xr:uid="{00000000-0005-0000-0000-0000C3040000}"/>
    <cellStyle name="40% - Accent2 8" xfId="3920" xr:uid="{00000000-0005-0000-0000-0000C4040000}"/>
    <cellStyle name="40% - Accent2 9" xfId="7820" xr:uid="{00000000-0005-0000-0000-0000C5040000}"/>
    <cellStyle name="40% - Accent3" xfId="63" xr:uid="{00000000-0005-0000-0000-0000C6040000}"/>
    <cellStyle name="40% - Accent3 10" xfId="2601" xr:uid="{00000000-0005-0000-0000-0000C7040000}"/>
    <cellStyle name="40% - Accent3 2" xfId="1055" xr:uid="{00000000-0005-0000-0000-0000C8040000}"/>
    <cellStyle name="40% - Accent3 2 2" xfId="2900" xr:uid="{00000000-0005-0000-0000-0000C9040000}"/>
    <cellStyle name="40% - Accent3 2 2 2" xfId="3593" xr:uid="{00000000-0005-0000-0000-0000CA040000}"/>
    <cellStyle name="40% - Accent3 2 2 2 2" xfId="5205" xr:uid="{00000000-0005-0000-0000-0000CB040000}"/>
    <cellStyle name="40% - Accent3 2 2 2 3" xfId="8577" xr:uid="{00000000-0005-0000-0000-0000CC040000}"/>
    <cellStyle name="40% - Accent3 2 2 3" xfId="4567" xr:uid="{00000000-0005-0000-0000-0000CD040000}"/>
    <cellStyle name="40% - Accent3 2 2 4" xfId="7959" xr:uid="{00000000-0005-0000-0000-0000CE040000}"/>
    <cellStyle name="40% - Accent3 2 3" xfId="2990" xr:uid="{00000000-0005-0000-0000-0000CF040000}"/>
    <cellStyle name="40% - Accent3 2 3 2" xfId="4652" xr:uid="{00000000-0005-0000-0000-0000D0040000}"/>
    <cellStyle name="40% - Accent3 2 3 3" xfId="8046" xr:uid="{00000000-0005-0000-0000-0000D1040000}"/>
    <cellStyle name="40% - Accent3 2 4" xfId="3117" xr:uid="{00000000-0005-0000-0000-0000D2040000}"/>
    <cellStyle name="40% - Accent3 2 4 2" xfId="4769" xr:uid="{00000000-0005-0000-0000-0000D3040000}"/>
    <cellStyle name="40% - Accent3 2 4 3" xfId="8173" xr:uid="{00000000-0005-0000-0000-0000D4040000}"/>
    <cellStyle name="40% - Accent3 2 5" xfId="2786" xr:uid="{00000000-0005-0000-0000-0000D5040000}"/>
    <cellStyle name="40% - Accent3 2 6" xfId="3923" xr:uid="{00000000-0005-0000-0000-0000D6040000}"/>
    <cellStyle name="40% - Accent3 2 7" xfId="6336" xr:uid="{00000000-0005-0000-0000-0000D7040000}"/>
    <cellStyle name="40% - Accent3 3" xfId="2899" xr:uid="{00000000-0005-0000-0000-0000D8040000}"/>
    <cellStyle name="40% - Accent3 3 2" xfId="3118" xr:uid="{00000000-0005-0000-0000-0000D9040000}"/>
    <cellStyle name="40% - Accent3 3 2 2" xfId="4770" xr:uid="{00000000-0005-0000-0000-0000DA040000}"/>
    <cellStyle name="40% - Accent3 3 2 3" xfId="8174" xr:uid="{00000000-0005-0000-0000-0000DB040000}"/>
    <cellStyle name="40% - Accent3 3 3" xfId="3800" xr:uid="{00000000-0005-0000-0000-0000DC040000}"/>
    <cellStyle name="40% - Accent3 3 3 2" xfId="6190" xr:uid="{00000000-0005-0000-0000-0000DD040000}"/>
    <cellStyle name="40% - Accent3 3 3 3" xfId="8711" xr:uid="{00000000-0005-0000-0000-0000DE040000}"/>
    <cellStyle name="40% - Accent3 3 4" xfId="4566" xr:uid="{00000000-0005-0000-0000-0000DF040000}"/>
    <cellStyle name="40% - Accent3 3 5" xfId="7958" xr:uid="{00000000-0005-0000-0000-0000E0040000}"/>
    <cellStyle name="40% - Accent3 4" xfId="2989" xr:uid="{00000000-0005-0000-0000-0000E1040000}"/>
    <cellStyle name="40% - Accent3 4 2" xfId="3119" xr:uid="{00000000-0005-0000-0000-0000E2040000}"/>
    <cellStyle name="40% - Accent3 4 2 2" xfId="4771" xr:uid="{00000000-0005-0000-0000-0000E3040000}"/>
    <cellStyle name="40% - Accent3 4 2 3" xfId="8175" xr:uid="{00000000-0005-0000-0000-0000E4040000}"/>
    <cellStyle name="40% - Accent3 4 3" xfId="4651" xr:uid="{00000000-0005-0000-0000-0000E5040000}"/>
    <cellStyle name="40% - Accent3 4 4" xfId="8045" xr:uid="{00000000-0005-0000-0000-0000E6040000}"/>
    <cellStyle name="40% - Accent3 5" xfId="3120" xr:uid="{00000000-0005-0000-0000-0000E7040000}"/>
    <cellStyle name="40% - Accent3 5 2" xfId="4772" xr:uid="{00000000-0005-0000-0000-0000E8040000}"/>
    <cellStyle name="40% - Accent3 5 3" xfId="8176" xr:uid="{00000000-0005-0000-0000-0000E9040000}"/>
    <cellStyle name="40% - Accent3 6" xfId="3121" xr:uid="{00000000-0005-0000-0000-0000EA040000}"/>
    <cellStyle name="40% - Accent3 6 2" xfId="4773" xr:uid="{00000000-0005-0000-0000-0000EB040000}"/>
    <cellStyle name="40% - Accent3 6 3" xfId="8177" xr:uid="{00000000-0005-0000-0000-0000EC040000}"/>
    <cellStyle name="40% - Accent3 7" xfId="2785" xr:uid="{00000000-0005-0000-0000-0000ED040000}"/>
    <cellStyle name="40% - Accent3 8" xfId="3922" xr:uid="{00000000-0005-0000-0000-0000EE040000}"/>
    <cellStyle name="40% - Accent3 9" xfId="7819" xr:uid="{00000000-0005-0000-0000-0000EF040000}"/>
    <cellStyle name="40% - Accent4" xfId="64" xr:uid="{00000000-0005-0000-0000-0000F0040000}"/>
    <cellStyle name="40% - Accent4 10" xfId="2600" xr:uid="{00000000-0005-0000-0000-0000F1040000}"/>
    <cellStyle name="40% - Accent4 2" xfId="1056" xr:uid="{00000000-0005-0000-0000-0000F2040000}"/>
    <cellStyle name="40% - Accent4 2 2" xfId="2902" xr:uid="{00000000-0005-0000-0000-0000F3040000}"/>
    <cellStyle name="40% - Accent4 2 2 2" xfId="3597" xr:uid="{00000000-0005-0000-0000-0000F4040000}"/>
    <cellStyle name="40% - Accent4 2 2 2 2" xfId="5209" xr:uid="{00000000-0005-0000-0000-0000F5040000}"/>
    <cellStyle name="40% - Accent4 2 2 2 3" xfId="8581" xr:uid="{00000000-0005-0000-0000-0000F6040000}"/>
    <cellStyle name="40% - Accent4 2 2 3" xfId="4569" xr:uid="{00000000-0005-0000-0000-0000F7040000}"/>
    <cellStyle name="40% - Accent4 2 2 4" xfId="7961" xr:uid="{00000000-0005-0000-0000-0000F8040000}"/>
    <cellStyle name="40% - Accent4 2 3" xfId="2992" xr:uid="{00000000-0005-0000-0000-0000F9040000}"/>
    <cellStyle name="40% - Accent4 2 3 2" xfId="4654" xr:uid="{00000000-0005-0000-0000-0000FA040000}"/>
    <cellStyle name="40% - Accent4 2 3 3" xfId="8048" xr:uid="{00000000-0005-0000-0000-0000FB040000}"/>
    <cellStyle name="40% - Accent4 2 4" xfId="3122" xr:uid="{00000000-0005-0000-0000-0000FC040000}"/>
    <cellStyle name="40% - Accent4 2 4 2" xfId="4774" xr:uid="{00000000-0005-0000-0000-0000FD040000}"/>
    <cellStyle name="40% - Accent4 2 4 3" xfId="8178" xr:uid="{00000000-0005-0000-0000-0000FE040000}"/>
    <cellStyle name="40% - Accent4 2 5" xfId="2788" xr:uid="{00000000-0005-0000-0000-0000FF040000}"/>
    <cellStyle name="40% - Accent4 2 6" xfId="3925" xr:uid="{00000000-0005-0000-0000-000000050000}"/>
    <cellStyle name="40% - Accent4 2 7" xfId="6337" xr:uid="{00000000-0005-0000-0000-000001050000}"/>
    <cellStyle name="40% - Accent4 3" xfId="2901" xr:uid="{00000000-0005-0000-0000-000002050000}"/>
    <cellStyle name="40% - Accent4 3 2" xfId="3123" xr:uid="{00000000-0005-0000-0000-000003050000}"/>
    <cellStyle name="40% - Accent4 3 2 2" xfId="4775" xr:uid="{00000000-0005-0000-0000-000004050000}"/>
    <cellStyle name="40% - Accent4 3 2 3" xfId="8179" xr:uid="{00000000-0005-0000-0000-000005050000}"/>
    <cellStyle name="40% - Accent4 3 3" xfId="3819" xr:uid="{00000000-0005-0000-0000-000006050000}"/>
    <cellStyle name="40% - Accent4 3 3 2" xfId="6204" xr:uid="{00000000-0005-0000-0000-000007050000}"/>
    <cellStyle name="40% - Accent4 3 3 3" xfId="8730" xr:uid="{00000000-0005-0000-0000-000008050000}"/>
    <cellStyle name="40% - Accent4 3 4" xfId="4568" xr:uid="{00000000-0005-0000-0000-000009050000}"/>
    <cellStyle name="40% - Accent4 3 5" xfId="7960" xr:uid="{00000000-0005-0000-0000-00000A050000}"/>
    <cellStyle name="40% - Accent4 4" xfId="2991" xr:uid="{00000000-0005-0000-0000-00000B050000}"/>
    <cellStyle name="40% - Accent4 4 2" xfId="3124" xr:uid="{00000000-0005-0000-0000-00000C050000}"/>
    <cellStyle name="40% - Accent4 4 2 2" xfId="4776" xr:uid="{00000000-0005-0000-0000-00000D050000}"/>
    <cellStyle name="40% - Accent4 4 2 3" xfId="8180" xr:uid="{00000000-0005-0000-0000-00000E050000}"/>
    <cellStyle name="40% - Accent4 4 3" xfId="4653" xr:uid="{00000000-0005-0000-0000-00000F050000}"/>
    <cellStyle name="40% - Accent4 4 4" xfId="8047" xr:uid="{00000000-0005-0000-0000-000010050000}"/>
    <cellStyle name="40% - Accent4 5" xfId="3125" xr:uid="{00000000-0005-0000-0000-000011050000}"/>
    <cellStyle name="40% - Accent4 5 2" xfId="4777" xr:uid="{00000000-0005-0000-0000-000012050000}"/>
    <cellStyle name="40% - Accent4 5 3" xfId="8181" xr:uid="{00000000-0005-0000-0000-000013050000}"/>
    <cellStyle name="40% - Accent4 6" xfId="3126" xr:uid="{00000000-0005-0000-0000-000014050000}"/>
    <cellStyle name="40% - Accent4 6 2" xfId="4778" xr:uid="{00000000-0005-0000-0000-000015050000}"/>
    <cellStyle name="40% - Accent4 6 3" xfId="8182" xr:uid="{00000000-0005-0000-0000-000016050000}"/>
    <cellStyle name="40% - Accent4 7" xfId="2787" xr:uid="{00000000-0005-0000-0000-000017050000}"/>
    <cellStyle name="40% - Accent4 8" xfId="3924" xr:uid="{00000000-0005-0000-0000-000018050000}"/>
    <cellStyle name="40% - Accent4 9" xfId="7818" xr:uid="{00000000-0005-0000-0000-000019050000}"/>
    <cellStyle name="40% - Accent5" xfId="65" xr:uid="{00000000-0005-0000-0000-00001A050000}"/>
    <cellStyle name="40% - Accent5 10" xfId="2599" xr:uid="{00000000-0005-0000-0000-00001B050000}"/>
    <cellStyle name="40% - Accent5 2" xfId="1057" xr:uid="{00000000-0005-0000-0000-00001C050000}"/>
    <cellStyle name="40% - Accent5 2 2" xfId="2904" xr:uid="{00000000-0005-0000-0000-00001D050000}"/>
    <cellStyle name="40% - Accent5 2 2 2" xfId="3601" xr:uid="{00000000-0005-0000-0000-00001E050000}"/>
    <cellStyle name="40% - Accent5 2 2 2 2" xfId="5213" xr:uid="{00000000-0005-0000-0000-00001F050000}"/>
    <cellStyle name="40% - Accent5 2 2 2 3" xfId="8585" xr:uid="{00000000-0005-0000-0000-000020050000}"/>
    <cellStyle name="40% - Accent5 2 2 3" xfId="4571" xr:uid="{00000000-0005-0000-0000-000021050000}"/>
    <cellStyle name="40% - Accent5 2 2 4" xfId="7963" xr:uid="{00000000-0005-0000-0000-000022050000}"/>
    <cellStyle name="40% - Accent5 2 3" xfId="2994" xr:uid="{00000000-0005-0000-0000-000023050000}"/>
    <cellStyle name="40% - Accent5 2 3 2" xfId="4656" xr:uid="{00000000-0005-0000-0000-000024050000}"/>
    <cellStyle name="40% - Accent5 2 3 3" xfId="8050" xr:uid="{00000000-0005-0000-0000-000025050000}"/>
    <cellStyle name="40% - Accent5 2 4" xfId="3127" xr:uid="{00000000-0005-0000-0000-000026050000}"/>
    <cellStyle name="40% - Accent5 2 4 2" xfId="4779" xr:uid="{00000000-0005-0000-0000-000027050000}"/>
    <cellStyle name="40% - Accent5 2 4 3" xfId="8183" xr:uid="{00000000-0005-0000-0000-000028050000}"/>
    <cellStyle name="40% - Accent5 2 5" xfId="2790" xr:uid="{00000000-0005-0000-0000-000029050000}"/>
    <cellStyle name="40% - Accent5 2 6" xfId="3927" xr:uid="{00000000-0005-0000-0000-00002A050000}"/>
    <cellStyle name="40% - Accent5 2 7" xfId="6338" xr:uid="{00000000-0005-0000-0000-00002B050000}"/>
    <cellStyle name="40% - Accent5 3" xfId="2903" xr:uid="{00000000-0005-0000-0000-00002C050000}"/>
    <cellStyle name="40% - Accent5 3 2" xfId="3128" xr:uid="{00000000-0005-0000-0000-00002D050000}"/>
    <cellStyle name="40% - Accent5 3 2 2" xfId="4780" xr:uid="{00000000-0005-0000-0000-00002E050000}"/>
    <cellStyle name="40% - Accent5 3 2 3" xfId="8184" xr:uid="{00000000-0005-0000-0000-00002F050000}"/>
    <cellStyle name="40% - Accent5 3 3" xfId="3839" xr:uid="{00000000-0005-0000-0000-000030050000}"/>
    <cellStyle name="40% - Accent5 3 3 2" xfId="6220" xr:uid="{00000000-0005-0000-0000-000031050000}"/>
    <cellStyle name="40% - Accent5 3 3 3" xfId="8750" xr:uid="{00000000-0005-0000-0000-000032050000}"/>
    <cellStyle name="40% - Accent5 3 4" xfId="4570" xr:uid="{00000000-0005-0000-0000-000033050000}"/>
    <cellStyle name="40% - Accent5 3 5" xfId="7962" xr:uid="{00000000-0005-0000-0000-000034050000}"/>
    <cellStyle name="40% - Accent5 4" xfId="2993" xr:uid="{00000000-0005-0000-0000-000035050000}"/>
    <cellStyle name="40% - Accent5 4 2" xfId="3129" xr:uid="{00000000-0005-0000-0000-000036050000}"/>
    <cellStyle name="40% - Accent5 4 2 2" xfId="4781" xr:uid="{00000000-0005-0000-0000-000037050000}"/>
    <cellStyle name="40% - Accent5 4 2 3" xfId="8185" xr:uid="{00000000-0005-0000-0000-000038050000}"/>
    <cellStyle name="40% - Accent5 4 3" xfId="4655" xr:uid="{00000000-0005-0000-0000-000039050000}"/>
    <cellStyle name="40% - Accent5 4 4" xfId="8049" xr:uid="{00000000-0005-0000-0000-00003A050000}"/>
    <cellStyle name="40% - Accent5 5" xfId="3130" xr:uid="{00000000-0005-0000-0000-00003B050000}"/>
    <cellStyle name="40% - Accent5 5 2" xfId="4782" xr:uid="{00000000-0005-0000-0000-00003C050000}"/>
    <cellStyle name="40% - Accent5 5 3" xfId="8186" xr:uid="{00000000-0005-0000-0000-00003D050000}"/>
    <cellStyle name="40% - Accent5 6" xfId="3131" xr:uid="{00000000-0005-0000-0000-00003E050000}"/>
    <cellStyle name="40% - Accent5 6 2" xfId="4783" xr:uid="{00000000-0005-0000-0000-00003F050000}"/>
    <cellStyle name="40% - Accent5 6 3" xfId="8187" xr:uid="{00000000-0005-0000-0000-000040050000}"/>
    <cellStyle name="40% - Accent5 7" xfId="2789" xr:uid="{00000000-0005-0000-0000-000041050000}"/>
    <cellStyle name="40% - Accent5 8" xfId="3926" xr:uid="{00000000-0005-0000-0000-000042050000}"/>
    <cellStyle name="40% - Accent5 9" xfId="7817" xr:uid="{00000000-0005-0000-0000-000043050000}"/>
    <cellStyle name="40% - Accent6" xfId="66" xr:uid="{00000000-0005-0000-0000-000044050000}"/>
    <cellStyle name="40% - Accent6 10" xfId="2598" xr:uid="{00000000-0005-0000-0000-000045050000}"/>
    <cellStyle name="40% - Accent6 2" xfId="1058" xr:uid="{00000000-0005-0000-0000-000046050000}"/>
    <cellStyle name="40% - Accent6 2 2" xfId="2906" xr:uid="{00000000-0005-0000-0000-000047050000}"/>
    <cellStyle name="40% - Accent6 2 2 2" xfId="3605" xr:uid="{00000000-0005-0000-0000-000048050000}"/>
    <cellStyle name="40% - Accent6 2 2 2 2" xfId="5217" xr:uid="{00000000-0005-0000-0000-000049050000}"/>
    <cellStyle name="40% - Accent6 2 2 2 3" xfId="8589" xr:uid="{00000000-0005-0000-0000-00004A050000}"/>
    <cellStyle name="40% - Accent6 2 2 3" xfId="4573" xr:uid="{00000000-0005-0000-0000-00004B050000}"/>
    <cellStyle name="40% - Accent6 2 2 4" xfId="7965" xr:uid="{00000000-0005-0000-0000-00004C050000}"/>
    <cellStyle name="40% - Accent6 2 3" xfId="2996" xr:uid="{00000000-0005-0000-0000-00004D050000}"/>
    <cellStyle name="40% - Accent6 2 3 2" xfId="4658" xr:uid="{00000000-0005-0000-0000-00004E050000}"/>
    <cellStyle name="40% - Accent6 2 3 3" xfId="8052" xr:uid="{00000000-0005-0000-0000-00004F050000}"/>
    <cellStyle name="40% - Accent6 2 4" xfId="3132" xr:uid="{00000000-0005-0000-0000-000050050000}"/>
    <cellStyle name="40% - Accent6 2 4 2" xfId="4784" xr:uid="{00000000-0005-0000-0000-000051050000}"/>
    <cellStyle name="40% - Accent6 2 4 3" xfId="8188" xr:uid="{00000000-0005-0000-0000-000052050000}"/>
    <cellStyle name="40% - Accent6 2 5" xfId="2792" xr:uid="{00000000-0005-0000-0000-000053050000}"/>
    <cellStyle name="40% - Accent6 2 6" xfId="3929" xr:uid="{00000000-0005-0000-0000-000054050000}"/>
    <cellStyle name="40% - Accent6 2 7" xfId="6339" xr:uid="{00000000-0005-0000-0000-000055050000}"/>
    <cellStyle name="40% - Accent6 3" xfId="2905" xr:uid="{00000000-0005-0000-0000-000056050000}"/>
    <cellStyle name="40% - Accent6 3 2" xfId="3133" xr:uid="{00000000-0005-0000-0000-000057050000}"/>
    <cellStyle name="40% - Accent6 3 2 2" xfId="4785" xr:uid="{00000000-0005-0000-0000-000058050000}"/>
    <cellStyle name="40% - Accent6 3 2 3" xfId="8189" xr:uid="{00000000-0005-0000-0000-000059050000}"/>
    <cellStyle name="40% - Accent6 3 3" xfId="3778" xr:uid="{00000000-0005-0000-0000-00005A050000}"/>
    <cellStyle name="40% - Accent6 3 3 2" xfId="6171" xr:uid="{00000000-0005-0000-0000-00005B050000}"/>
    <cellStyle name="40% - Accent6 3 3 3" xfId="8689" xr:uid="{00000000-0005-0000-0000-00005C050000}"/>
    <cellStyle name="40% - Accent6 3 4" xfId="4572" xr:uid="{00000000-0005-0000-0000-00005D050000}"/>
    <cellStyle name="40% - Accent6 3 5" xfId="7964" xr:uid="{00000000-0005-0000-0000-00005E050000}"/>
    <cellStyle name="40% - Accent6 4" xfId="2995" xr:uid="{00000000-0005-0000-0000-00005F050000}"/>
    <cellStyle name="40% - Accent6 4 2" xfId="3134" xr:uid="{00000000-0005-0000-0000-000060050000}"/>
    <cellStyle name="40% - Accent6 4 2 2" xfId="4786" xr:uid="{00000000-0005-0000-0000-000061050000}"/>
    <cellStyle name="40% - Accent6 4 2 3" xfId="8190" xr:uid="{00000000-0005-0000-0000-000062050000}"/>
    <cellStyle name="40% - Accent6 4 3" xfId="4657" xr:uid="{00000000-0005-0000-0000-000063050000}"/>
    <cellStyle name="40% - Accent6 4 4" xfId="8051" xr:uid="{00000000-0005-0000-0000-000064050000}"/>
    <cellStyle name="40% - Accent6 5" xfId="3135" xr:uid="{00000000-0005-0000-0000-000065050000}"/>
    <cellStyle name="40% - Accent6 5 2" xfId="4787" xr:uid="{00000000-0005-0000-0000-000066050000}"/>
    <cellStyle name="40% - Accent6 5 3" xfId="8191" xr:uid="{00000000-0005-0000-0000-000067050000}"/>
    <cellStyle name="40% - Accent6 6" xfId="3136" xr:uid="{00000000-0005-0000-0000-000068050000}"/>
    <cellStyle name="40% - Accent6 6 2" xfId="4788" xr:uid="{00000000-0005-0000-0000-000069050000}"/>
    <cellStyle name="40% - Accent6 6 3" xfId="8192" xr:uid="{00000000-0005-0000-0000-00006A050000}"/>
    <cellStyle name="40% - Accent6 7" xfId="2791" xr:uid="{00000000-0005-0000-0000-00006B050000}"/>
    <cellStyle name="40% - Accent6 8" xfId="3928" xr:uid="{00000000-0005-0000-0000-00006C050000}"/>
    <cellStyle name="40% - Accent6 9" xfId="7816" xr:uid="{00000000-0005-0000-0000-00006D050000}"/>
    <cellStyle name="40% - Cor1 10" xfId="6298" xr:uid="{00000000-0005-0000-0000-00006E050000}"/>
    <cellStyle name="40% - Cor1 11" xfId="1016" xr:uid="{00000000-0005-0000-0000-00006F050000}"/>
    <cellStyle name="40% - Cor1 2" xfId="67" xr:uid="{00000000-0005-0000-0000-000070050000}"/>
    <cellStyle name="40% - Cor1 2 2" xfId="1259" xr:uid="{00000000-0005-0000-0000-000071050000}"/>
    <cellStyle name="40% - Cor1 2 2 2" xfId="1530" xr:uid="{00000000-0005-0000-0000-000072050000}"/>
    <cellStyle name="40% - Cor1 2 2 2 2" xfId="5557" xr:uid="{00000000-0005-0000-0000-000073050000}"/>
    <cellStyle name="40% - Cor1 2 2 2 3" xfId="6782" xr:uid="{00000000-0005-0000-0000-000074050000}"/>
    <cellStyle name="40% - Cor1 2 2 3" xfId="1735" xr:uid="{00000000-0005-0000-0000-000075050000}"/>
    <cellStyle name="40% - Cor1 2 2 3 2" xfId="5757" xr:uid="{00000000-0005-0000-0000-000076050000}"/>
    <cellStyle name="40% - Cor1 2 2 3 3" xfId="6982" xr:uid="{00000000-0005-0000-0000-000077050000}"/>
    <cellStyle name="40% - Cor1 2 2 4" xfId="1638" xr:uid="{00000000-0005-0000-0000-000078050000}"/>
    <cellStyle name="40% - Cor1 2 2 4 2" xfId="5663" xr:uid="{00000000-0005-0000-0000-000079050000}"/>
    <cellStyle name="40% - Cor1 2 2 4 3" xfId="6888" xr:uid="{00000000-0005-0000-0000-00007A050000}"/>
    <cellStyle name="40% - Cor1 2 2 5" xfId="5296" xr:uid="{00000000-0005-0000-0000-00007B050000}"/>
    <cellStyle name="40% - Cor1 2 2 6" xfId="6511" xr:uid="{00000000-0005-0000-0000-00007C050000}"/>
    <cellStyle name="40% - Cor1 2 3" xfId="1306" xr:uid="{00000000-0005-0000-0000-00007D050000}"/>
    <cellStyle name="40% - Cor1 2 3 2" xfId="1575" xr:uid="{00000000-0005-0000-0000-00007E050000}"/>
    <cellStyle name="40% - Cor1 2 3 2 2" xfId="5601" xr:uid="{00000000-0005-0000-0000-00007F050000}"/>
    <cellStyle name="40% - Cor1 2 3 2 3" xfId="6826" xr:uid="{00000000-0005-0000-0000-000080050000}"/>
    <cellStyle name="40% - Cor1 2 3 3" xfId="1779" xr:uid="{00000000-0005-0000-0000-000081050000}"/>
    <cellStyle name="40% - Cor1 2 3 3 2" xfId="5800" xr:uid="{00000000-0005-0000-0000-000082050000}"/>
    <cellStyle name="40% - Cor1 2 3 3 3" xfId="7026" xr:uid="{00000000-0005-0000-0000-000083050000}"/>
    <cellStyle name="40% - Cor1 2 3 4" xfId="1941" xr:uid="{00000000-0005-0000-0000-000084050000}"/>
    <cellStyle name="40% - Cor1 2 3 4 2" xfId="5961" xr:uid="{00000000-0005-0000-0000-000085050000}"/>
    <cellStyle name="40% - Cor1 2 3 4 3" xfId="7188" xr:uid="{00000000-0005-0000-0000-000086050000}"/>
    <cellStyle name="40% - Cor1 2 3 5" xfId="5342" xr:uid="{00000000-0005-0000-0000-000087050000}"/>
    <cellStyle name="40% - Cor1 2 3 6" xfId="6558" xr:uid="{00000000-0005-0000-0000-000088050000}"/>
    <cellStyle name="40% - Cor1 2 4" xfId="1455" xr:uid="{00000000-0005-0000-0000-000089050000}"/>
    <cellStyle name="40% - Cor1 2 4 2" xfId="5483" xr:uid="{00000000-0005-0000-0000-00008A050000}"/>
    <cellStyle name="40% - Cor1 2 4 3" xfId="6707" xr:uid="{00000000-0005-0000-0000-00008B050000}"/>
    <cellStyle name="40% - Cor1 2 5" xfId="1423" xr:uid="{00000000-0005-0000-0000-00008C050000}"/>
    <cellStyle name="40% - Cor1 2 5 2" xfId="5453" xr:uid="{00000000-0005-0000-0000-00008D050000}"/>
    <cellStyle name="40% - Cor1 2 5 3" xfId="6675" xr:uid="{00000000-0005-0000-0000-00008E050000}"/>
    <cellStyle name="40% - Cor1 2 6" xfId="1804" xr:uid="{00000000-0005-0000-0000-00008F050000}"/>
    <cellStyle name="40% - Cor1 2 6 2" xfId="5825" xr:uid="{00000000-0005-0000-0000-000090050000}"/>
    <cellStyle name="40% - Cor1 2 6 3" xfId="7051" xr:uid="{00000000-0005-0000-0000-000091050000}"/>
    <cellStyle name="40% - Cor1 2 7" xfId="5228" xr:uid="{00000000-0005-0000-0000-000092050000}"/>
    <cellStyle name="40% - Cor1 2 8" xfId="6438" xr:uid="{00000000-0005-0000-0000-000093050000}"/>
    <cellStyle name="40% - Cor1 2 9" xfId="1186" xr:uid="{00000000-0005-0000-0000-000094050000}"/>
    <cellStyle name="40% - Cor1 3" xfId="68" xr:uid="{00000000-0005-0000-0000-000095050000}"/>
    <cellStyle name="40% - Cor1 3 2" xfId="1340" xr:uid="{00000000-0005-0000-0000-000096050000}"/>
    <cellStyle name="40% - Cor1 3 2 2" xfId="1608" xr:uid="{00000000-0005-0000-0000-000097050000}"/>
    <cellStyle name="40% - Cor1 3 2 2 2" xfId="5634" xr:uid="{00000000-0005-0000-0000-000098050000}"/>
    <cellStyle name="40% - Cor1 3 2 2 3" xfId="6859" xr:uid="{00000000-0005-0000-0000-000099050000}"/>
    <cellStyle name="40% - Cor1 3 2 3" xfId="1809" xr:uid="{00000000-0005-0000-0000-00009A050000}"/>
    <cellStyle name="40% - Cor1 3 2 3 2" xfId="5830" xr:uid="{00000000-0005-0000-0000-00009B050000}"/>
    <cellStyle name="40% - Cor1 3 2 3 3" xfId="7056" xr:uid="{00000000-0005-0000-0000-00009C050000}"/>
    <cellStyle name="40% - Cor1 3 2 4" xfId="1998" xr:uid="{00000000-0005-0000-0000-00009D050000}"/>
    <cellStyle name="40% - Cor1 3 2 4 2" xfId="6017" xr:uid="{00000000-0005-0000-0000-00009E050000}"/>
    <cellStyle name="40% - Cor1 3 2 4 3" xfId="7245" xr:uid="{00000000-0005-0000-0000-00009F050000}"/>
    <cellStyle name="40% - Cor1 3 2 5" xfId="5374" xr:uid="{00000000-0005-0000-0000-0000A0050000}"/>
    <cellStyle name="40% - Cor1 3 2 6" xfId="6592" xr:uid="{00000000-0005-0000-0000-0000A1050000}"/>
    <cellStyle name="40% - Cor1 3 3" xfId="1495" xr:uid="{00000000-0005-0000-0000-0000A2050000}"/>
    <cellStyle name="40% - Cor1 3 3 2" xfId="5523" xr:uid="{00000000-0005-0000-0000-0000A3050000}"/>
    <cellStyle name="40% - Cor1 3 3 3" xfId="6747" xr:uid="{00000000-0005-0000-0000-0000A4050000}"/>
    <cellStyle name="40% - Cor1 3 4" xfId="1702" xr:uid="{00000000-0005-0000-0000-0000A5050000}"/>
    <cellStyle name="40% - Cor1 3 4 2" xfId="5724" xr:uid="{00000000-0005-0000-0000-0000A6050000}"/>
    <cellStyle name="40% - Cor1 3 4 3" xfId="6949" xr:uid="{00000000-0005-0000-0000-0000A7050000}"/>
    <cellStyle name="40% - Cor1 3 5" xfId="1969" xr:uid="{00000000-0005-0000-0000-0000A8050000}"/>
    <cellStyle name="40% - Cor1 3 5 2" xfId="5989" xr:uid="{00000000-0005-0000-0000-0000A9050000}"/>
    <cellStyle name="40% - Cor1 3 5 3" xfId="7216" xr:uid="{00000000-0005-0000-0000-0000AA050000}"/>
    <cellStyle name="40% - Cor1 3 6" xfId="5264" xr:uid="{00000000-0005-0000-0000-0000AB050000}"/>
    <cellStyle name="40% - Cor1 3 7" xfId="6477" xr:uid="{00000000-0005-0000-0000-0000AC050000}"/>
    <cellStyle name="40% - Cor1 3 8" xfId="1225" xr:uid="{00000000-0005-0000-0000-0000AD050000}"/>
    <cellStyle name="40% - Cor1 4" xfId="69" xr:uid="{00000000-0005-0000-0000-0000AE050000}"/>
    <cellStyle name="40% - Cor1 4 2" xfId="1489" xr:uid="{00000000-0005-0000-0000-0000AF050000}"/>
    <cellStyle name="40% - Cor1 4 2 2" xfId="5517" xr:uid="{00000000-0005-0000-0000-0000B0050000}"/>
    <cellStyle name="40% - Cor1 4 2 3" xfId="6741" xr:uid="{00000000-0005-0000-0000-0000B1050000}"/>
    <cellStyle name="40% - Cor1 4 3" xfId="1696" xr:uid="{00000000-0005-0000-0000-0000B2050000}"/>
    <cellStyle name="40% - Cor1 4 3 2" xfId="5718" xr:uid="{00000000-0005-0000-0000-0000B3050000}"/>
    <cellStyle name="40% - Cor1 4 3 3" xfId="6943" xr:uid="{00000000-0005-0000-0000-0000B4050000}"/>
    <cellStyle name="40% - Cor1 4 4" xfId="1970" xr:uid="{00000000-0005-0000-0000-0000B5050000}"/>
    <cellStyle name="40% - Cor1 4 4 2" xfId="5990" xr:uid="{00000000-0005-0000-0000-0000B6050000}"/>
    <cellStyle name="40% - Cor1 4 4 3" xfId="7217" xr:uid="{00000000-0005-0000-0000-0000B7050000}"/>
    <cellStyle name="40% - Cor1 4 5" xfId="5258" xr:uid="{00000000-0005-0000-0000-0000B8050000}"/>
    <cellStyle name="40% - Cor1 4 6" xfId="6471" xr:uid="{00000000-0005-0000-0000-0000B9050000}"/>
    <cellStyle name="40% - Cor1 4 7" xfId="1219" xr:uid="{00000000-0005-0000-0000-0000BA050000}"/>
    <cellStyle name="40% - Cor1 5" xfId="1377" xr:uid="{00000000-0005-0000-0000-0000BB050000}"/>
    <cellStyle name="40% - Cor1 5 2" xfId="1647" xr:uid="{00000000-0005-0000-0000-0000BC050000}"/>
    <cellStyle name="40% - Cor1 5 2 2" xfId="5671" xr:uid="{00000000-0005-0000-0000-0000BD050000}"/>
    <cellStyle name="40% - Cor1 5 2 3" xfId="6896" xr:uid="{00000000-0005-0000-0000-0000BE050000}"/>
    <cellStyle name="40% - Cor1 5 3" xfId="1843" xr:uid="{00000000-0005-0000-0000-0000BF050000}"/>
    <cellStyle name="40% - Cor1 5 3 2" xfId="5864" xr:uid="{00000000-0005-0000-0000-0000C0050000}"/>
    <cellStyle name="40% - Cor1 5 3 3" xfId="7090" xr:uid="{00000000-0005-0000-0000-0000C1050000}"/>
    <cellStyle name="40% - Cor1 5 4" xfId="2028" xr:uid="{00000000-0005-0000-0000-0000C2050000}"/>
    <cellStyle name="40% - Cor1 5 4 2" xfId="6047" xr:uid="{00000000-0005-0000-0000-0000C3050000}"/>
    <cellStyle name="40% - Cor1 5 4 3" xfId="7275" xr:uid="{00000000-0005-0000-0000-0000C4050000}"/>
    <cellStyle name="40% - Cor1 5 5" xfId="5408" xr:uid="{00000000-0005-0000-0000-0000C5050000}"/>
    <cellStyle name="40% - Cor1 5 6" xfId="6629" xr:uid="{00000000-0005-0000-0000-0000C6050000}"/>
    <cellStyle name="40% - Cor1 6" xfId="1391" xr:uid="{00000000-0005-0000-0000-0000C7050000}"/>
    <cellStyle name="40% - Cor1 6 2" xfId="1661" xr:uid="{00000000-0005-0000-0000-0000C8050000}"/>
    <cellStyle name="40% - Cor1 6 2 2" xfId="5685" xr:uid="{00000000-0005-0000-0000-0000C9050000}"/>
    <cellStyle name="40% - Cor1 6 2 3" xfId="6910" xr:uid="{00000000-0005-0000-0000-0000CA050000}"/>
    <cellStyle name="40% - Cor1 6 3" xfId="1857" xr:uid="{00000000-0005-0000-0000-0000CB050000}"/>
    <cellStyle name="40% - Cor1 6 3 2" xfId="5878" xr:uid="{00000000-0005-0000-0000-0000CC050000}"/>
    <cellStyle name="40% - Cor1 6 3 3" xfId="7104" xr:uid="{00000000-0005-0000-0000-0000CD050000}"/>
    <cellStyle name="40% - Cor1 6 4" xfId="2042" xr:uid="{00000000-0005-0000-0000-0000CE050000}"/>
    <cellStyle name="40% - Cor1 6 4 2" xfId="6061" xr:uid="{00000000-0005-0000-0000-0000CF050000}"/>
    <cellStyle name="40% - Cor1 6 4 3" xfId="7289" xr:uid="{00000000-0005-0000-0000-0000D0050000}"/>
    <cellStyle name="40% - Cor1 6 5" xfId="5422" xr:uid="{00000000-0005-0000-0000-0000D1050000}"/>
    <cellStyle name="40% - Cor1 6 6" xfId="6643" xr:uid="{00000000-0005-0000-0000-0000D2050000}"/>
    <cellStyle name="40% - Cor1 7" xfId="1418" xr:uid="{00000000-0005-0000-0000-0000D3050000}"/>
    <cellStyle name="40% - Cor1 7 2" xfId="1881" xr:uid="{00000000-0005-0000-0000-0000D4050000}"/>
    <cellStyle name="40% - Cor1 7 2 2" xfId="5901" xr:uid="{00000000-0005-0000-0000-0000D5050000}"/>
    <cellStyle name="40% - Cor1 7 2 3" xfId="7128" xr:uid="{00000000-0005-0000-0000-0000D6050000}"/>
    <cellStyle name="40% - Cor1 7 3" xfId="2054" xr:uid="{00000000-0005-0000-0000-0000D7050000}"/>
    <cellStyle name="40% - Cor1 7 3 2" xfId="6073" xr:uid="{00000000-0005-0000-0000-0000D8050000}"/>
    <cellStyle name="40% - Cor1 7 3 3" xfId="7301" xr:uid="{00000000-0005-0000-0000-0000D9050000}"/>
    <cellStyle name="40% - Cor1 7 4" xfId="5448" xr:uid="{00000000-0005-0000-0000-0000DA050000}"/>
    <cellStyle name="40% - Cor1 7 5" xfId="6670" xr:uid="{00000000-0005-0000-0000-0000DB050000}"/>
    <cellStyle name="40% - Cor1 8" xfId="1516" xr:uid="{00000000-0005-0000-0000-0000DC050000}"/>
    <cellStyle name="40% - Cor1 8 2" xfId="2070" xr:uid="{00000000-0005-0000-0000-0000DD050000}"/>
    <cellStyle name="40% - Cor1 8 2 2" xfId="6089" xr:uid="{00000000-0005-0000-0000-0000DE050000}"/>
    <cellStyle name="40% - Cor1 8 2 3" xfId="7317" xr:uid="{00000000-0005-0000-0000-0000DF050000}"/>
    <cellStyle name="40% - Cor1 8 3" xfId="5544" xr:uid="{00000000-0005-0000-0000-0000E0050000}"/>
    <cellStyle name="40% - Cor1 8 4" xfId="6768" xr:uid="{00000000-0005-0000-0000-0000E1050000}"/>
    <cellStyle name="40% - Cor1 9" xfId="1912" xr:uid="{00000000-0005-0000-0000-0000E2050000}"/>
    <cellStyle name="40% - Cor1 9 2" xfId="5932" xr:uid="{00000000-0005-0000-0000-0000E3050000}"/>
    <cellStyle name="40% - Cor1 9 3" xfId="7159" xr:uid="{00000000-0005-0000-0000-0000E4050000}"/>
    <cellStyle name="40% - Cor2 10" xfId="6302" xr:uid="{00000000-0005-0000-0000-0000E5050000}"/>
    <cellStyle name="40% - Cor2 11" xfId="1020" xr:uid="{00000000-0005-0000-0000-0000E6050000}"/>
    <cellStyle name="40% - Cor2 2" xfId="70" xr:uid="{00000000-0005-0000-0000-0000E7050000}"/>
    <cellStyle name="40% - Cor2 2 2" xfId="1261" xr:uid="{00000000-0005-0000-0000-0000E8050000}"/>
    <cellStyle name="40% - Cor2 2 2 2" xfId="1532" xr:uid="{00000000-0005-0000-0000-0000E9050000}"/>
    <cellStyle name="40% - Cor2 2 2 2 2" xfId="5559" xr:uid="{00000000-0005-0000-0000-0000EA050000}"/>
    <cellStyle name="40% - Cor2 2 2 2 3" xfId="6784" xr:uid="{00000000-0005-0000-0000-0000EB050000}"/>
    <cellStyle name="40% - Cor2 2 2 3" xfId="1737" xr:uid="{00000000-0005-0000-0000-0000EC050000}"/>
    <cellStyle name="40% - Cor2 2 2 3 2" xfId="5759" xr:uid="{00000000-0005-0000-0000-0000ED050000}"/>
    <cellStyle name="40% - Cor2 2 2 3 3" xfId="6984" xr:uid="{00000000-0005-0000-0000-0000EE050000}"/>
    <cellStyle name="40% - Cor2 2 2 4" xfId="1415" xr:uid="{00000000-0005-0000-0000-0000EF050000}"/>
    <cellStyle name="40% - Cor2 2 2 4 2" xfId="5445" xr:uid="{00000000-0005-0000-0000-0000F0050000}"/>
    <cellStyle name="40% - Cor2 2 2 4 3" xfId="6667" xr:uid="{00000000-0005-0000-0000-0000F1050000}"/>
    <cellStyle name="40% - Cor2 2 2 5" xfId="5298" xr:uid="{00000000-0005-0000-0000-0000F2050000}"/>
    <cellStyle name="40% - Cor2 2 2 6" xfId="6513" xr:uid="{00000000-0005-0000-0000-0000F3050000}"/>
    <cellStyle name="40% - Cor2 2 3" xfId="1308" xr:uid="{00000000-0005-0000-0000-0000F4050000}"/>
    <cellStyle name="40% - Cor2 2 3 2" xfId="1577" xr:uid="{00000000-0005-0000-0000-0000F5050000}"/>
    <cellStyle name="40% - Cor2 2 3 2 2" xfId="5603" xr:uid="{00000000-0005-0000-0000-0000F6050000}"/>
    <cellStyle name="40% - Cor2 2 3 2 3" xfId="6828" xr:uid="{00000000-0005-0000-0000-0000F7050000}"/>
    <cellStyle name="40% - Cor2 2 3 3" xfId="1781" xr:uid="{00000000-0005-0000-0000-0000F8050000}"/>
    <cellStyle name="40% - Cor2 2 3 3 2" xfId="5802" xr:uid="{00000000-0005-0000-0000-0000F9050000}"/>
    <cellStyle name="40% - Cor2 2 3 3 3" xfId="7028" xr:uid="{00000000-0005-0000-0000-0000FA050000}"/>
    <cellStyle name="40% - Cor2 2 3 4" xfId="1995" xr:uid="{00000000-0005-0000-0000-0000FB050000}"/>
    <cellStyle name="40% - Cor2 2 3 4 2" xfId="6014" xr:uid="{00000000-0005-0000-0000-0000FC050000}"/>
    <cellStyle name="40% - Cor2 2 3 4 3" xfId="7242" xr:uid="{00000000-0005-0000-0000-0000FD050000}"/>
    <cellStyle name="40% - Cor2 2 3 5" xfId="5344" xr:uid="{00000000-0005-0000-0000-0000FE050000}"/>
    <cellStyle name="40% - Cor2 2 3 6" xfId="6560" xr:uid="{00000000-0005-0000-0000-0000FF050000}"/>
    <cellStyle name="40% - Cor2 2 4" xfId="1457" xr:uid="{00000000-0005-0000-0000-000000060000}"/>
    <cellStyle name="40% - Cor2 2 4 2" xfId="5485" xr:uid="{00000000-0005-0000-0000-000001060000}"/>
    <cellStyle name="40% - Cor2 2 4 3" xfId="6709" xr:uid="{00000000-0005-0000-0000-000002060000}"/>
    <cellStyle name="40% - Cor2 2 5" xfId="1416" xr:uid="{00000000-0005-0000-0000-000003060000}"/>
    <cellStyle name="40% - Cor2 2 5 2" xfId="5446" xr:uid="{00000000-0005-0000-0000-000004060000}"/>
    <cellStyle name="40% - Cor2 2 5 3" xfId="6668" xr:uid="{00000000-0005-0000-0000-000005060000}"/>
    <cellStyle name="40% - Cor2 2 6" xfId="1767" xr:uid="{00000000-0005-0000-0000-000006060000}"/>
    <cellStyle name="40% - Cor2 2 6 2" xfId="5789" xr:uid="{00000000-0005-0000-0000-000007060000}"/>
    <cellStyle name="40% - Cor2 2 6 3" xfId="7014" xr:uid="{00000000-0005-0000-0000-000008060000}"/>
    <cellStyle name="40% - Cor2 2 7" xfId="5230" xr:uid="{00000000-0005-0000-0000-000009060000}"/>
    <cellStyle name="40% - Cor2 2 8" xfId="6440" xr:uid="{00000000-0005-0000-0000-00000A060000}"/>
    <cellStyle name="40% - Cor2 2 9" xfId="1188" xr:uid="{00000000-0005-0000-0000-00000B060000}"/>
    <cellStyle name="40% - Cor2 3" xfId="71" xr:uid="{00000000-0005-0000-0000-00000C060000}"/>
    <cellStyle name="40% - Cor2 3 2" xfId="1342" xr:uid="{00000000-0005-0000-0000-00000D060000}"/>
    <cellStyle name="40% - Cor2 3 2 2" xfId="1610" xr:uid="{00000000-0005-0000-0000-00000E060000}"/>
    <cellStyle name="40% - Cor2 3 2 2 2" xfId="5636" xr:uid="{00000000-0005-0000-0000-00000F060000}"/>
    <cellStyle name="40% - Cor2 3 2 2 3" xfId="6861" xr:uid="{00000000-0005-0000-0000-000010060000}"/>
    <cellStyle name="40% - Cor2 3 2 3" xfId="1811" xr:uid="{00000000-0005-0000-0000-000011060000}"/>
    <cellStyle name="40% - Cor2 3 2 3 2" xfId="5832" xr:uid="{00000000-0005-0000-0000-000012060000}"/>
    <cellStyle name="40% - Cor2 3 2 3 3" xfId="7058" xr:uid="{00000000-0005-0000-0000-000013060000}"/>
    <cellStyle name="40% - Cor2 3 2 4" xfId="1927" xr:uid="{00000000-0005-0000-0000-000014060000}"/>
    <cellStyle name="40% - Cor2 3 2 4 2" xfId="5947" xr:uid="{00000000-0005-0000-0000-000015060000}"/>
    <cellStyle name="40% - Cor2 3 2 4 3" xfId="7174" xr:uid="{00000000-0005-0000-0000-000016060000}"/>
    <cellStyle name="40% - Cor2 3 2 5" xfId="5376" xr:uid="{00000000-0005-0000-0000-000017060000}"/>
    <cellStyle name="40% - Cor2 3 2 6" xfId="6594" xr:uid="{00000000-0005-0000-0000-000018060000}"/>
    <cellStyle name="40% - Cor2 3 3" xfId="1497" xr:uid="{00000000-0005-0000-0000-000019060000}"/>
    <cellStyle name="40% - Cor2 3 3 2" xfId="5525" xr:uid="{00000000-0005-0000-0000-00001A060000}"/>
    <cellStyle name="40% - Cor2 3 3 3" xfId="6749" xr:uid="{00000000-0005-0000-0000-00001B060000}"/>
    <cellStyle name="40% - Cor2 3 4" xfId="1704" xr:uid="{00000000-0005-0000-0000-00001C060000}"/>
    <cellStyle name="40% - Cor2 3 4 2" xfId="5726" xr:uid="{00000000-0005-0000-0000-00001D060000}"/>
    <cellStyle name="40% - Cor2 3 4 3" xfId="6951" xr:uid="{00000000-0005-0000-0000-00001E060000}"/>
    <cellStyle name="40% - Cor2 3 5" xfId="1914" xr:uid="{00000000-0005-0000-0000-00001F060000}"/>
    <cellStyle name="40% - Cor2 3 5 2" xfId="5934" xr:uid="{00000000-0005-0000-0000-000020060000}"/>
    <cellStyle name="40% - Cor2 3 5 3" xfId="7161" xr:uid="{00000000-0005-0000-0000-000021060000}"/>
    <cellStyle name="40% - Cor2 3 6" xfId="5266" xr:uid="{00000000-0005-0000-0000-000022060000}"/>
    <cellStyle name="40% - Cor2 3 7" xfId="6479" xr:uid="{00000000-0005-0000-0000-000023060000}"/>
    <cellStyle name="40% - Cor2 3 8" xfId="1227" xr:uid="{00000000-0005-0000-0000-000024060000}"/>
    <cellStyle name="40% - Cor2 4" xfId="72" xr:uid="{00000000-0005-0000-0000-000025060000}"/>
    <cellStyle name="40% - Cor2 4 2" xfId="1498" xr:uid="{00000000-0005-0000-0000-000026060000}"/>
    <cellStyle name="40% - Cor2 4 2 2" xfId="5526" xr:uid="{00000000-0005-0000-0000-000027060000}"/>
    <cellStyle name="40% - Cor2 4 2 3" xfId="6750" xr:uid="{00000000-0005-0000-0000-000028060000}"/>
    <cellStyle name="40% - Cor2 4 3" xfId="1705" xr:uid="{00000000-0005-0000-0000-000029060000}"/>
    <cellStyle name="40% - Cor2 4 3 2" xfId="5727" xr:uid="{00000000-0005-0000-0000-00002A060000}"/>
    <cellStyle name="40% - Cor2 4 3 3" xfId="6952" xr:uid="{00000000-0005-0000-0000-00002B060000}"/>
    <cellStyle name="40% - Cor2 4 4" xfId="1968" xr:uid="{00000000-0005-0000-0000-00002C060000}"/>
    <cellStyle name="40% - Cor2 4 4 2" xfId="5988" xr:uid="{00000000-0005-0000-0000-00002D060000}"/>
    <cellStyle name="40% - Cor2 4 4 3" xfId="7215" xr:uid="{00000000-0005-0000-0000-00002E060000}"/>
    <cellStyle name="40% - Cor2 4 5" xfId="5267" xr:uid="{00000000-0005-0000-0000-00002F060000}"/>
    <cellStyle name="40% - Cor2 4 6" xfId="6480" xr:uid="{00000000-0005-0000-0000-000030060000}"/>
    <cellStyle name="40% - Cor2 4 7" xfId="1228" xr:uid="{00000000-0005-0000-0000-000031060000}"/>
    <cellStyle name="40% - Cor2 5" xfId="1379" xr:uid="{00000000-0005-0000-0000-000032060000}"/>
    <cellStyle name="40% - Cor2 5 2" xfId="1649" xr:uid="{00000000-0005-0000-0000-000033060000}"/>
    <cellStyle name="40% - Cor2 5 2 2" xfId="5673" xr:uid="{00000000-0005-0000-0000-000034060000}"/>
    <cellStyle name="40% - Cor2 5 2 3" xfId="6898" xr:uid="{00000000-0005-0000-0000-000035060000}"/>
    <cellStyle name="40% - Cor2 5 3" xfId="1845" xr:uid="{00000000-0005-0000-0000-000036060000}"/>
    <cellStyle name="40% - Cor2 5 3 2" xfId="5866" xr:uid="{00000000-0005-0000-0000-000037060000}"/>
    <cellStyle name="40% - Cor2 5 3 3" xfId="7092" xr:uid="{00000000-0005-0000-0000-000038060000}"/>
    <cellStyle name="40% - Cor2 5 4" xfId="2030" xr:uid="{00000000-0005-0000-0000-000039060000}"/>
    <cellStyle name="40% - Cor2 5 4 2" xfId="6049" xr:uid="{00000000-0005-0000-0000-00003A060000}"/>
    <cellStyle name="40% - Cor2 5 4 3" xfId="7277" xr:uid="{00000000-0005-0000-0000-00003B060000}"/>
    <cellStyle name="40% - Cor2 5 5" xfId="5410" xr:uid="{00000000-0005-0000-0000-00003C060000}"/>
    <cellStyle name="40% - Cor2 5 6" xfId="6631" xr:uid="{00000000-0005-0000-0000-00003D060000}"/>
    <cellStyle name="40% - Cor2 6" xfId="1393" xr:uid="{00000000-0005-0000-0000-00003E060000}"/>
    <cellStyle name="40% - Cor2 6 2" xfId="1663" xr:uid="{00000000-0005-0000-0000-00003F060000}"/>
    <cellStyle name="40% - Cor2 6 2 2" xfId="5687" xr:uid="{00000000-0005-0000-0000-000040060000}"/>
    <cellStyle name="40% - Cor2 6 2 3" xfId="6912" xr:uid="{00000000-0005-0000-0000-000041060000}"/>
    <cellStyle name="40% - Cor2 6 3" xfId="1859" xr:uid="{00000000-0005-0000-0000-000042060000}"/>
    <cellStyle name="40% - Cor2 6 3 2" xfId="5880" xr:uid="{00000000-0005-0000-0000-000043060000}"/>
    <cellStyle name="40% - Cor2 6 3 3" xfId="7106" xr:uid="{00000000-0005-0000-0000-000044060000}"/>
    <cellStyle name="40% - Cor2 6 4" xfId="2044" xr:uid="{00000000-0005-0000-0000-000045060000}"/>
    <cellStyle name="40% - Cor2 6 4 2" xfId="6063" xr:uid="{00000000-0005-0000-0000-000046060000}"/>
    <cellStyle name="40% - Cor2 6 4 3" xfId="7291" xr:uid="{00000000-0005-0000-0000-000047060000}"/>
    <cellStyle name="40% - Cor2 6 5" xfId="5424" xr:uid="{00000000-0005-0000-0000-000048060000}"/>
    <cellStyle name="40% - Cor2 6 6" xfId="6645" xr:uid="{00000000-0005-0000-0000-000049060000}"/>
    <cellStyle name="40% - Cor2 7" xfId="1422" xr:uid="{00000000-0005-0000-0000-00004A060000}"/>
    <cellStyle name="40% - Cor2 7 2" xfId="1883" xr:uid="{00000000-0005-0000-0000-00004B060000}"/>
    <cellStyle name="40% - Cor2 7 2 2" xfId="5903" xr:uid="{00000000-0005-0000-0000-00004C060000}"/>
    <cellStyle name="40% - Cor2 7 2 3" xfId="7130" xr:uid="{00000000-0005-0000-0000-00004D060000}"/>
    <cellStyle name="40% - Cor2 7 3" xfId="2056" xr:uid="{00000000-0005-0000-0000-00004E060000}"/>
    <cellStyle name="40% - Cor2 7 3 2" xfId="6075" xr:uid="{00000000-0005-0000-0000-00004F060000}"/>
    <cellStyle name="40% - Cor2 7 3 3" xfId="7303" xr:uid="{00000000-0005-0000-0000-000050060000}"/>
    <cellStyle name="40% - Cor2 7 4" xfId="5452" xr:uid="{00000000-0005-0000-0000-000051060000}"/>
    <cellStyle name="40% - Cor2 7 5" xfId="6674" xr:uid="{00000000-0005-0000-0000-000052060000}"/>
    <cellStyle name="40% - Cor2 8" xfId="1480" xr:uid="{00000000-0005-0000-0000-000053060000}"/>
    <cellStyle name="40% - Cor2 8 2" xfId="2068" xr:uid="{00000000-0005-0000-0000-000054060000}"/>
    <cellStyle name="40% - Cor2 8 2 2" xfId="6087" xr:uid="{00000000-0005-0000-0000-000055060000}"/>
    <cellStyle name="40% - Cor2 8 2 3" xfId="7315" xr:uid="{00000000-0005-0000-0000-000056060000}"/>
    <cellStyle name="40% - Cor2 8 3" xfId="5508" xr:uid="{00000000-0005-0000-0000-000057060000}"/>
    <cellStyle name="40% - Cor2 8 4" xfId="6732" xr:uid="{00000000-0005-0000-0000-000058060000}"/>
    <cellStyle name="40% - Cor2 9" xfId="1897" xr:uid="{00000000-0005-0000-0000-000059060000}"/>
    <cellStyle name="40% - Cor2 9 2" xfId="5917" xr:uid="{00000000-0005-0000-0000-00005A060000}"/>
    <cellStyle name="40% - Cor2 9 3" xfId="7144" xr:uid="{00000000-0005-0000-0000-00005B060000}"/>
    <cellStyle name="40% - Cor3 10" xfId="6306" xr:uid="{00000000-0005-0000-0000-00005C060000}"/>
    <cellStyle name="40% - Cor3 11" xfId="1024" xr:uid="{00000000-0005-0000-0000-00005D060000}"/>
    <cellStyle name="40% - Cor3 2" xfId="73" xr:uid="{00000000-0005-0000-0000-00005E060000}"/>
    <cellStyle name="40% - Cor3 2 2" xfId="1263" xr:uid="{00000000-0005-0000-0000-00005F060000}"/>
    <cellStyle name="40% - Cor3 2 2 2" xfId="1534" xr:uid="{00000000-0005-0000-0000-000060060000}"/>
    <cellStyle name="40% - Cor3 2 2 2 2" xfId="5561" xr:uid="{00000000-0005-0000-0000-000061060000}"/>
    <cellStyle name="40% - Cor3 2 2 2 3" xfId="6786" xr:uid="{00000000-0005-0000-0000-000062060000}"/>
    <cellStyle name="40% - Cor3 2 2 3" xfId="1739" xr:uid="{00000000-0005-0000-0000-000063060000}"/>
    <cellStyle name="40% - Cor3 2 2 3 2" xfId="5761" xr:uid="{00000000-0005-0000-0000-000064060000}"/>
    <cellStyle name="40% - Cor3 2 2 3 3" xfId="6986" xr:uid="{00000000-0005-0000-0000-000065060000}"/>
    <cellStyle name="40% - Cor3 2 2 4" xfId="1517" xr:uid="{00000000-0005-0000-0000-000066060000}"/>
    <cellStyle name="40% - Cor3 2 2 4 2" xfId="5545" xr:uid="{00000000-0005-0000-0000-000067060000}"/>
    <cellStyle name="40% - Cor3 2 2 4 3" xfId="6769" xr:uid="{00000000-0005-0000-0000-000068060000}"/>
    <cellStyle name="40% - Cor3 2 2 5" xfId="5300" xr:uid="{00000000-0005-0000-0000-000069060000}"/>
    <cellStyle name="40% - Cor3 2 2 6" xfId="6515" xr:uid="{00000000-0005-0000-0000-00006A060000}"/>
    <cellStyle name="40% - Cor3 2 3" xfId="1310" xr:uid="{00000000-0005-0000-0000-00006B060000}"/>
    <cellStyle name="40% - Cor3 2 3 2" xfId="1579" xr:uid="{00000000-0005-0000-0000-00006C060000}"/>
    <cellStyle name="40% - Cor3 2 3 2 2" xfId="5605" xr:uid="{00000000-0005-0000-0000-00006D060000}"/>
    <cellStyle name="40% - Cor3 2 3 2 3" xfId="6830" xr:uid="{00000000-0005-0000-0000-00006E060000}"/>
    <cellStyle name="40% - Cor3 2 3 3" xfId="1783" xr:uid="{00000000-0005-0000-0000-00006F060000}"/>
    <cellStyle name="40% - Cor3 2 3 3 2" xfId="5804" xr:uid="{00000000-0005-0000-0000-000070060000}"/>
    <cellStyle name="40% - Cor3 2 3 3 3" xfId="7030" xr:uid="{00000000-0005-0000-0000-000071060000}"/>
    <cellStyle name="40% - Cor3 2 3 4" xfId="1923" xr:uid="{00000000-0005-0000-0000-000072060000}"/>
    <cellStyle name="40% - Cor3 2 3 4 2" xfId="5943" xr:uid="{00000000-0005-0000-0000-000073060000}"/>
    <cellStyle name="40% - Cor3 2 3 4 3" xfId="7170" xr:uid="{00000000-0005-0000-0000-000074060000}"/>
    <cellStyle name="40% - Cor3 2 3 5" xfId="5346" xr:uid="{00000000-0005-0000-0000-000075060000}"/>
    <cellStyle name="40% - Cor3 2 3 6" xfId="6562" xr:uid="{00000000-0005-0000-0000-000076060000}"/>
    <cellStyle name="40% - Cor3 2 4" xfId="1459" xr:uid="{00000000-0005-0000-0000-000077060000}"/>
    <cellStyle name="40% - Cor3 2 4 2" xfId="5487" xr:uid="{00000000-0005-0000-0000-000078060000}"/>
    <cellStyle name="40% - Cor3 2 4 3" xfId="6711" xr:uid="{00000000-0005-0000-0000-000079060000}"/>
    <cellStyle name="40% - Cor3 2 5" xfId="1412" xr:uid="{00000000-0005-0000-0000-00007A060000}"/>
    <cellStyle name="40% - Cor3 2 5 2" xfId="5442" xr:uid="{00000000-0005-0000-0000-00007B060000}"/>
    <cellStyle name="40% - Cor3 2 5 3" xfId="6664" xr:uid="{00000000-0005-0000-0000-00007C060000}"/>
    <cellStyle name="40% - Cor3 2 6" xfId="1761" xr:uid="{00000000-0005-0000-0000-00007D060000}"/>
    <cellStyle name="40% - Cor3 2 6 2" xfId="5783" xr:uid="{00000000-0005-0000-0000-00007E060000}"/>
    <cellStyle name="40% - Cor3 2 6 3" xfId="7008" xr:uid="{00000000-0005-0000-0000-00007F060000}"/>
    <cellStyle name="40% - Cor3 2 7" xfId="5232" xr:uid="{00000000-0005-0000-0000-000080060000}"/>
    <cellStyle name="40% - Cor3 2 8" xfId="6442" xr:uid="{00000000-0005-0000-0000-000081060000}"/>
    <cellStyle name="40% - Cor3 2 9" xfId="1190" xr:uid="{00000000-0005-0000-0000-000082060000}"/>
    <cellStyle name="40% - Cor3 3" xfId="74" xr:uid="{00000000-0005-0000-0000-000083060000}"/>
    <cellStyle name="40% - Cor3 3 2" xfId="1344" xr:uid="{00000000-0005-0000-0000-000084060000}"/>
    <cellStyle name="40% - Cor3 3 2 2" xfId="1612" xr:uid="{00000000-0005-0000-0000-000085060000}"/>
    <cellStyle name="40% - Cor3 3 2 2 2" xfId="5638" xr:uid="{00000000-0005-0000-0000-000086060000}"/>
    <cellStyle name="40% - Cor3 3 2 2 3" xfId="6863" xr:uid="{00000000-0005-0000-0000-000087060000}"/>
    <cellStyle name="40% - Cor3 3 2 3" xfId="1813" xr:uid="{00000000-0005-0000-0000-000088060000}"/>
    <cellStyle name="40% - Cor3 3 2 3 2" xfId="5834" xr:uid="{00000000-0005-0000-0000-000089060000}"/>
    <cellStyle name="40% - Cor3 3 2 3 3" xfId="7060" xr:uid="{00000000-0005-0000-0000-00008A060000}"/>
    <cellStyle name="40% - Cor3 3 2 4" xfId="1903" xr:uid="{00000000-0005-0000-0000-00008B060000}"/>
    <cellStyle name="40% - Cor3 3 2 4 2" xfId="5923" xr:uid="{00000000-0005-0000-0000-00008C060000}"/>
    <cellStyle name="40% - Cor3 3 2 4 3" xfId="7150" xr:uid="{00000000-0005-0000-0000-00008D060000}"/>
    <cellStyle name="40% - Cor3 3 2 5" xfId="5378" xr:uid="{00000000-0005-0000-0000-00008E060000}"/>
    <cellStyle name="40% - Cor3 3 2 6" xfId="6596" xr:uid="{00000000-0005-0000-0000-00008F060000}"/>
    <cellStyle name="40% - Cor3 3 3" xfId="1500" xr:uid="{00000000-0005-0000-0000-000090060000}"/>
    <cellStyle name="40% - Cor3 3 3 2" xfId="5528" xr:uid="{00000000-0005-0000-0000-000091060000}"/>
    <cellStyle name="40% - Cor3 3 3 3" xfId="6752" xr:uid="{00000000-0005-0000-0000-000092060000}"/>
    <cellStyle name="40% - Cor3 3 4" xfId="1707" xr:uid="{00000000-0005-0000-0000-000093060000}"/>
    <cellStyle name="40% - Cor3 3 4 2" xfId="5729" xr:uid="{00000000-0005-0000-0000-000094060000}"/>
    <cellStyle name="40% - Cor3 3 4 3" xfId="6954" xr:uid="{00000000-0005-0000-0000-000095060000}"/>
    <cellStyle name="40% - Cor3 3 5" xfId="1913" xr:uid="{00000000-0005-0000-0000-000096060000}"/>
    <cellStyle name="40% - Cor3 3 5 2" xfId="5933" xr:uid="{00000000-0005-0000-0000-000097060000}"/>
    <cellStyle name="40% - Cor3 3 5 3" xfId="7160" xr:uid="{00000000-0005-0000-0000-000098060000}"/>
    <cellStyle name="40% - Cor3 3 6" xfId="5269" xr:uid="{00000000-0005-0000-0000-000099060000}"/>
    <cellStyle name="40% - Cor3 3 7" xfId="6482" xr:uid="{00000000-0005-0000-0000-00009A060000}"/>
    <cellStyle name="40% - Cor3 3 8" xfId="1230" xr:uid="{00000000-0005-0000-0000-00009B060000}"/>
    <cellStyle name="40% - Cor3 4" xfId="75" xr:uid="{00000000-0005-0000-0000-00009C060000}"/>
    <cellStyle name="40% - Cor3 4 2" xfId="1491" xr:uid="{00000000-0005-0000-0000-00009D060000}"/>
    <cellStyle name="40% - Cor3 4 2 2" xfId="5519" xr:uid="{00000000-0005-0000-0000-00009E060000}"/>
    <cellStyle name="40% - Cor3 4 2 3" xfId="6743" xr:uid="{00000000-0005-0000-0000-00009F060000}"/>
    <cellStyle name="40% - Cor3 4 3" xfId="1698" xr:uid="{00000000-0005-0000-0000-0000A0060000}"/>
    <cellStyle name="40% - Cor3 4 3 2" xfId="5720" xr:uid="{00000000-0005-0000-0000-0000A1060000}"/>
    <cellStyle name="40% - Cor3 4 3 3" xfId="6945" xr:uid="{00000000-0005-0000-0000-0000A2060000}"/>
    <cellStyle name="40% - Cor3 4 4" xfId="1988" xr:uid="{00000000-0005-0000-0000-0000A3060000}"/>
    <cellStyle name="40% - Cor3 4 4 2" xfId="6007" xr:uid="{00000000-0005-0000-0000-0000A4060000}"/>
    <cellStyle name="40% - Cor3 4 4 3" xfId="7235" xr:uid="{00000000-0005-0000-0000-0000A5060000}"/>
    <cellStyle name="40% - Cor3 4 5" xfId="5260" xr:uid="{00000000-0005-0000-0000-0000A6060000}"/>
    <cellStyle name="40% - Cor3 4 6" xfId="6473" xr:uid="{00000000-0005-0000-0000-0000A7060000}"/>
    <cellStyle name="40% - Cor3 4 7" xfId="1221" xr:uid="{00000000-0005-0000-0000-0000A8060000}"/>
    <cellStyle name="40% - Cor3 5" xfId="1381" xr:uid="{00000000-0005-0000-0000-0000A9060000}"/>
    <cellStyle name="40% - Cor3 5 2" xfId="1651" xr:uid="{00000000-0005-0000-0000-0000AA060000}"/>
    <cellStyle name="40% - Cor3 5 2 2" xfId="5675" xr:uid="{00000000-0005-0000-0000-0000AB060000}"/>
    <cellStyle name="40% - Cor3 5 2 3" xfId="6900" xr:uid="{00000000-0005-0000-0000-0000AC060000}"/>
    <cellStyle name="40% - Cor3 5 3" xfId="1847" xr:uid="{00000000-0005-0000-0000-0000AD060000}"/>
    <cellStyle name="40% - Cor3 5 3 2" xfId="5868" xr:uid="{00000000-0005-0000-0000-0000AE060000}"/>
    <cellStyle name="40% - Cor3 5 3 3" xfId="7094" xr:uid="{00000000-0005-0000-0000-0000AF060000}"/>
    <cellStyle name="40% - Cor3 5 4" xfId="2032" xr:uid="{00000000-0005-0000-0000-0000B0060000}"/>
    <cellStyle name="40% - Cor3 5 4 2" xfId="6051" xr:uid="{00000000-0005-0000-0000-0000B1060000}"/>
    <cellStyle name="40% - Cor3 5 4 3" xfId="7279" xr:uid="{00000000-0005-0000-0000-0000B2060000}"/>
    <cellStyle name="40% - Cor3 5 5" xfId="5412" xr:uid="{00000000-0005-0000-0000-0000B3060000}"/>
    <cellStyle name="40% - Cor3 5 6" xfId="6633" xr:uid="{00000000-0005-0000-0000-0000B4060000}"/>
    <cellStyle name="40% - Cor3 6" xfId="1395" xr:uid="{00000000-0005-0000-0000-0000B5060000}"/>
    <cellStyle name="40% - Cor3 6 2" xfId="1665" xr:uid="{00000000-0005-0000-0000-0000B6060000}"/>
    <cellStyle name="40% - Cor3 6 2 2" xfId="5689" xr:uid="{00000000-0005-0000-0000-0000B7060000}"/>
    <cellStyle name="40% - Cor3 6 2 3" xfId="6914" xr:uid="{00000000-0005-0000-0000-0000B8060000}"/>
    <cellStyle name="40% - Cor3 6 3" xfId="1861" xr:uid="{00000000-0005-0000-0000-0000B9060000}"/>
    <cellStyle name="40% - Cor3 6 3 2" xfId="5882" xr:uid="{00000000-0005-0000-0000-0000BA060000}"/>
    <cellStyle name="40% - Cor3 6 3 3" xfId="7108" xr:uid="{00000000-0005-0000-0000-0000BB060000}"/>
    <cellStyle name="40% - Cor3 6 4" xfId="2046" xr:uid="{00000000-0005-0000-0000-0000BC060000}"/>
    <cellStyle name="40% - Cor3 6 4 2" xfId="6065" xr:uid="{00000000-0005-0000-0000-0000BD060000}"/>
    <cellStyle name="40% - Cor3 6 4 3" xfId="7293" xr:uid="{00000000-0005-0000-0000-0000BE060000}"/>
    <cellStyle name="40% - Cor3 6 5" xfId="5426" xr:uid="{00000000-0005-0000-0000-0000BF060000}"/>
    <cellStyle name="40% - Cor3 6 6" xfId="6647" xr:uid="{00000000-0005-0000-0000-0000C0060000}"/>
    <cellStyle name="40% - Cor3 7" xfId="1425" xr:uid="{00000000-0005-0000-0000-0000C1060000}"/>
    <cellStyle name="40% - Cor3 7 2" xfId="1885" xr:uid="{00000000-0005-0000-0000-0000C2060000}"/>
    <cellStyle name="40% - Cor3 7 2 2" xfId="5905" xr:uid="{00000000-0005-0000-0000-0000C3060000}"/>
    <cellStyle name="40% - Cor3 7 2 3" xfId="7132" xr:uid="{00000000-0005-0000-0000-0000C4060000}"/>
    <cellStyle name="40% - Cor3 7 3" xfId="2058" xr:uid="{00000000-0005-0000-0000-0000C5060000}"/>
    <cellStyle name="40% - Cor3 7 3 2" xfId="6077" xr:uid="{00000000-0005-0000-0000-0000C6060000}"/>
    <cellStyle name="40% - Cor3 7 3 3" xfId="7305" xr:uid="{00000000-0005-0000-0000-0000C7060000}"/>
    <cellStyle name="40% - Cor3 7 4" xfId="5455" xr:uid="{00000000-0005-0000-0000-0000C8060000}"/>
    <cellStyle name="40% - Cor3 7 5" xfId="6677" xr:uid="{00000000-0005-0000-0000-0000C9060000}"/>
    <cellStyle name="40% - Cor3 8" xfId="1515" xr:uid="{00000000-0005-0000-0000-0000CA060000}"/>
    <cellStyle name="40% - Cor3 8 2" xfId="2069" xr:uid="{00000000-0005-0000-0000-0000CB060000}"/>
    <cellStyle name="40% - Cor3 8 2 2" xfId="6088" xr:uid="{00000000-0005-0000-0000-0000CC060000}"/>
    <cellStyle name="40% - Cor3 8 2 3" xfId="7316" xr:uid="{00000000-0005-0000-0000-0000CD060000}"/>
    <cellStyle name="40% - Cor3 8 3" xfId="5543" xr:uid="{00000000-0005-0000-0000-0000CE060000}"/>
    <cellStyle name="40% - Cor3 8 4" xfId="6767" xr:uid="{00000000-0005-0000-0000-0000CF060000}"/>
    <cellStyle name="40% - Cor3 9" xfId="1966" xr:uid="{00000000-0005-0000-0000-0000D0060000}"/>
    <cellStyle name="40% - Cor3 9 2" xfId="5986" xr:uid="{00000000-0005-0000-0000-0000D1060000}"/>
    <cellStyle name="40% - Cor3 9 3" xfId="7213" xr:uid="{00000000-0005-0000-0000-0000D2060000}"/>
    <cellStyle name="40% - Cor4 10" xfId="6310" xr:uid="{00000000-0005-0000-0000-0000D3060000}"/>
    <cellStyle name="40% - Cor4 11" xfId="1028" xr:uid="{00000000-0005-0000-0000-0000D4060000}"/>
    <cellStyle name="40% - Cor4 2" xfId="76" xr:uid="{00000000-0005-0000-0000-0000D5060000}"/>
    <cellStyle name="40% - Cor4 2 2" xfId="1265" xr:uid="{00000000-0005-0000-0000-0000D6060000}"/>
    <cellStyle name="40% - Cor4 2 2 2" xfId="1536" xr:uid="{00000000-0005-0000-0000-0000D7060000}"/>
    <cellStyle name="40% - Cor4 2 2 2 2" xfId="5563" xr:uid="{00000000-0005-0000-0000-0000D8060000}"/>
    <cellStyle name="40% - Cor4 2 2 2 3" xfId="6788" xr:uid="{00000000-0005-0000-0000-0000D9060000}"/>
    <cellStyle name="40% - Cor4 2 2 3" xfId="1741" xr:uid="{00000000-0005-0000-0000-0000DA060000}"/>
    <cellStyle name="40% - Cor4 2 2 3 2" xfId="5763" xr:uid="{00000000-0005-0000-0000-0000DB060000}"/>
    <cellStyle name="40% - Cor4 2 2 3 3" xfId="6988" xr:uid="{00000000-0005-0000-0000-0000DC060000}"/>
    <cellStyle name="40% - Cor4 2 2 4" xfId="1636" xr:uid="{00000000-0005-0000-0000-0000DD060000}"/>
    <cellStyle name="40% - Cor4 2 2 4 2" xfId="5662" xr:uid="{00000000-0005-0000-0000-0000DE060000}"/>
    <cellStyle name="40% - Cor4 2 2 4 3" xfId="6887" xr:uid="{00000000-0005-0000-0000-0000DF060000}"/>
    <cellStyle name="40% - Cor4 2 2 5" xfId="5302" xr:uid="{00000000-0005-0000-0000-0000E0060000}"/>
    <cellStyle name="40% - Cor4 2 2 6" xfId="6517" xr:uid="{00000000-0005-0000-0000-0000E1060000}"/>
    <cellStyle name="40% - Cor4 2 3" xfId="1312" xr:uid="{00000000-0005-0000-0000-0000E2060000}"/>
    <cellStyle name="40% - Cor4 2 3 2" xfId="1581" xr:uid="{00000000-0005-0000-0000-0000E3060000}"/>
    <cellStyle name="40% - Cor4 2 3 2 2" xfId="5607" xr:uid="{00000000-0005-0000-0000-0000E4060000}"/>
    <cellStyle name="40% - Cor4 2 3 2 3" xfId="6832" xr:uid="{00000000-0005-0000-0000-0000E5060000}"/>
    <cellStyle name="40% - Cor4 2 3 3" xfId="1785" xr:uid="{00000000-0005-0000-0000-0000E6060000}"/>
    <cellStyle name="40% - Cor4 2 3 3 2" xfId="5806" xr:uid="{00000000-0005-0000-0000-0000E7060000}"/>
    <cellStyle name="40% - Cor4 2 3 3 3" xfId="7032" xr:uid="{00000000-0005-0000-0000-0000E8060000}"/>
    <cellStyle name="40% - Cor4 2 3 4" xfId="1901" xr:uid="{00000000-0005-0000-0000-0000E9060000}"/>
    <cellStyle name="40% - Cor4 2 3 4 2" xfId="5921" xr:uid="{00000000-0005-0000-0000-0000EA060000}"/>
    <cellStyle name="40% - Cor4 2 3 4 3" xfId="7148" xr:uid="{00000000-0005-0000-0000-0000EB060000}"/>
    <cellStyle name="40% - Cor4 2 3 5" xfId="5348" xr:uid="{00000000-0005-0000-0000-0000EC060000}"/>
    <cellStyle name="40% - Cor4 2 3 6" xfId="6564" xr:uid="{00000000-0005-0000-0000-0000ED060000}"/>
    <cellStyle name="40% - Cor4 2 4" xfId="1461" xr:uid="{00000000-0005-0000-0000-0000EE060000}"/>
    <cellStyle name="40% - Cor4 2 4 2" xfId="5489" xr:uid="{00000000-0005-0000-0000-0000EF060000}"/>
    <cellStyle name="40% - Cor4 2 4 3" xfId="6713" xr:uid="{00000000-0005-0000-0000-0000F0060000}"/>
    <cellStyle name="40% - Cor4 2 5" xfId="1405" xr:uid="{00000000-0005-0000-0000-0000F1060000}"/>
    <cellStyle name="40% - Cor4 2 5 2" xfId="5436" xr:uid="{00000000-0005-0000-0000-0000F2060000}"/>
    <cellStyle name="40% - Cor4 2 5 3" xfId="6657" xr:uid="{00000000-0005-0000-0000-0000F3060000}"/>
    <cellStyle name="40% - Cor4 2 6" xfId="1830" xr:uid="{00000000-0005-0000-0000-0000F4060000}"/>
    <cellStyle name="40% - Cor4 2 6 2" xfId="5851" xr:uid="{00000000-0005-0000-0000-0000F5060000}"/>
    <cellStyle name="40% - Cor4 2 6 3" xfId="7077" xr:uid="{00000000-0005-0000-0000-0000F6060000}"/>
    <cellStyle name="40% - Cor4 2 7" xfId="5234" xr:uid="{00000000-0005-0000-0000-0000F7060000}"/>
    <cellStyle name="40% - Cor4 2 8" xfId="6444" xr:uid="{00000000-0005-0000-0000-0000F8060000}"/>
    <cellStyle name="40% - Cor4 2 9" xfId="1192" xr:uid="{00000000-0005-0000-0000-0000F9060000}"/>
    <cellStyle name="40% - Cor4 3" xfId="77" xr:uid="{00000000-0005-0000-0000-0000FA060000}"/>
    <cellStyle name="40% - Cor4 3 2" xfId="1346" xr:uid="{00000000-0005-0000-0000-0000FB060000}"/>
    <cellStyle name="40% - Cor4 3 2 2" xfId="1614" xr:uid="{00000000-0005-0000-0000-0000FC060000}"/>
    <cellStyle name="40% - Cor4 3 2 2 2" xfId="5640" xr:uid="{00000000-0005-0000-0000-0000FD060000}"/>
    <cellStyle name="40% - Cor4 3 2 2 3" xfId="6865" xr:uid="{00000000-0005-0000-0000-0000FE060000}"/>
    <cellStyle name="40% - Cor4 3 2 3" xfId="1815" xr:uid="{00000000-0005-0000-0000-0000FF060000}"/>
    <cellStyle name="40% - Cor4 3 2 3 2" xfId="5836" xr:uid="{00000000-0005-0000-0000-000000070000}"/>
    <cellStyle name="40% - Cor4 3 2 3 3" xfId="7062" xr:uid="{00000000-0005-0000-0000-000001070000}"/>
    <cellStyle name="40% - Cor4 3 2 4" xfId="1942" xr:uid="{00000000-0005-0000-0000-000002070000}"/>
    <cellStyle name="40% - Cor4 3 2 4 2" xfId="5962" xr:uid="{00000000-0005-0000-0000-000003070000}"/>
    <cellStyle name="40% - Cor4 3 2 4 3" xfId="7189" xr:uid="{00000000-0005-0000-0000-000004070000}"/>
    <cellStyle name="40% - Cor4 3 2 5" xfId="5380" xr:uid="{00000000-0005-0000-0000-000005070000}"/>
    <cellStyle name="40% - Cor4 3 2 6" xfId="6598" xr:uid="{00000000-0005-0000-0000-000006070000}"/>
    <cellStyle name="40% - Cor4 3 3" xfId="1504" xr:uid="{00000000-0005-0000-0000-000007070000}"/>
    <cellStyle name="40% - Cor4 3 3 2" xfId="5532" xr:uid="{00000000-0005-0000-0000-000008070000}"/>
    <cellStyle name="40% - Cor4 3 3 3" xfId="6756" xr:uid="{00000000-0005-0000-0000-000009070000}"/>
    <cellStyle name="40% - Cor4 3 4" xfId="1711" xr:uid="{00000000-0005-0000-0000-00000A070000}"/>
    <cellStyle name="40% - Cor4 3 4 2" xfId="5733" xr:uid="{00000000-0005-0000-0000-00000B070000}"/>
    <cellStyle name="40% - Cor4 3 4 3" xfId="6958" xr:uid="{00000000-0005-0000-0000-00000C070000}"/>
    <cellStyle name="40% - Cor4 3 5" xfId="1688" xr:uid="{00000000-0005-0000-0000-00000D070000}"/>
    <cellStyle name="40% - Cor4 3 5 2" xfId="5710" xr:uid="{00000000-0005-0000-0000-00000E070000}"/>
    <cellStyle name="40% - Cor4 3 5 3" xfId="6935" xr:uid="{00000000-0005-0000-0000-00000F070000}"/>
    <cellStyle name="40% - Cor4 3 6" xfId="5273" xr:uid="{00000000-0005-0000-0000-000010070000}"/>
    <cellStyle name="40% - Cor4 3 7" xfId="6486" xr:uid="{00000000-0005-0000-0000-000011070000}"/>
    <cellStyle name="40% - Cor4 3 8" xfId="1234" xr:uid="{00000000-0005-0000-0000-000012070000}"/>
    <cellStyle name="40% - Cor4 4" xfId="78" xr:uid="{00000000-0005-0000-0000-000013070000}"/>
    <cellStyle name="40% - Cor4 4 2" xfId="1487" xr:uid="{00000000-0005-0000-0000-000014070000}"/>
    <cellStyle name="40% - Cor4 4 2 2" xfId="5515" xr:uid="{00000000-0005-0000-0000-000015070000}"/>
    <cellStyle name="40% - Cor4 4 2 3" xfId="6739" xr:uid="{00000000-0005-0000-0000-000016070000}"/>
    <cellStyle name="40% - Cor4 4 3" xfId="1694" xr:uid="{00000000-0005-0000-0000-000017070000}"/>
    <cellStyle name="40% - Cor4 4 3 2" xfId="5716" xr:uid="{00000000-0005-0000-0000-000018070000}"/>
    <cellStyle name="40% - Cor4 4 3 3" xfId="6941" xr:uid="{00000000-0005-0000-0000-000019070000}"/>
    <cellStyle name="40% - Cor4 4 4" xfId="1916" xr:uid="{00000000-0005-0000-0000-00001A070000}"/>
    <cellStyle name="40% - Cor4 4 4 2" xfId="5936" xr:uid="{00000000-0005-0000-0000-00001B070000}"/>
    <cellStyle name="40% - Cor4 4 4 3" xfId="7163" xr:uid="{00000000-0005-0000-0000-00001C070000}"/>
    <cellStyle name="40% - Cor4 4 5" xfId="5256" xr:uid="{00000000-0005-0000-0000-00001D070000}"/>
    <cellStyle name="40% - Cor4 4 6" xfId="6469" xr:uid="{00000000-0005-0000-0000-00001E070000}"/>
    <cellStyle name="40% - Cor4 4 7" xfId="1217" xr:uid="{00000000-0005-0000-0000-00001F070000}"/>
    <cellStyle name="40% - Cor4 5" xfId="1383" xr:uid="{00000000-0005-0000-0000-000020070000}"/>
    <cellStyle name="40% - Cor4 5 2" xfId="1653" xr:uid="{00000000-0005-0000-0000-000021070000}"/>
    <cellStyle name="40% - Cor4 5 2 2" xfId="5677" xr:uid="{00000000-0005-0000-0000-000022070000}"/>
    <cellStyle name="40% - Cor4 5 2 3" xfId="6902" xr:uid="{00000000-0005-0000-0000-000023070000}"/>
    <cellStyle name="40% - Cor4 5 3" xfId="1849" xr:uid="{00000000-0005-0000-0000-000024070000}"/>
    <cellStyle name="40% - Cor4 5 3 2" xfId="5870" xr:uid="{00000000-0005-0000-0000-000025070000}"/>
    <cellStyle name="40% - Cor4 5 3 3" xfId="7096" xr:uid="{00000000-0005-0000-0000-000026070000}"/>
    <cellStyle name="40% - Cor4 5 4" xfId="2034" xr:uid="{00000000-0005-0000-0000-000027070000}"/>
    <cellStyle name="40% - Cor4 5 4 2" xfId="6053" xr:uid="{00000000-0005-0000-0000-000028070000}"/>
    <cellStyle name="40% - Cor4 5 4 3" xfId="7281" xr:uid="{00000000-0005-0000-0000-000029070000}"/>
    <cellStyle name="40% - Cor4 5 5" xfId="5414" xr:uid="{00000000-0005-0000-0000-00002A070000}"/>
    <cellStyle name="40% - Cor4 5 6" xfId="6635" xr:uid="{00000000-0005-0000-0000-00002B070000}"/>
    <cellStyle name="40% - Cor4 6" xfId="1397" xr:uid="{00000000-0005-0000-0000-00002C070000}"/>
    <cellStyle name="40% - Cor4 6 2" xfId="1667" xr:uid="{00000000-0005-0000-0000-00002D070000}"/>
    <cellStyle name="40% - Cor4 6 2 2" xfId="5691" xr:uid="{00000000-0005-0000-0000-00002E070000}"/>
    <cellStyle name="40% - Cor4 6 2 3" xfId="6916" xr:uid="{00000000-0005-0000-0000-00002F070000}"/>
    <cellStyle name="40% - Cor4 6 3" xfId="1863" xr:uid="{00000000-0005-0000-0000-000030070000}"/>
    <cellStyle name="40% - Cor4 6 3 2" xfId="5884" xr:uid="{00000000-0005-0000-0000-000031070000}"/>
    <cellStyle name="40% - Cor4 6 3 3" xfId="7110" xr:uid="{00000000-0005-0000-0000-000032070000}"/>
    <cellStyle name="40% - Cor4 6 4" xfId="2048" xr:uid="{00000000-0005-0000-0000-000033070000}"/>
    <cellStyle name="40% - Cor4 6 4 2" xfId="6067" xr:uid="{00000000-0005-0000-0000-000034070000}"/>
    <cellStyle name="40% - Cor4 6 4 3" xfId="7295" xr:uid="{00000000-0005-0000-0000-000035070000}"/>
    <cellStyle name="40% - Cor4 6 5" xfId="5428" xr:uid="{00000000-0005-0000-0000-000036070000}"/>
    <cellStyle name="40% - Cor4 6 6" xfId="6649" xr:uid="{00000000-0005-0000-0000-000037070000}"/>
    <cellStyle name="40% - Cor4 7" xfId="1429" xr:uid="{00000000-0005-0000-0000-000038070000}"/>
    <cellStyle name="40% - Cor4 7 2" xfId="1887" xr:uid="{00000000-0005-0000-0000-000039070000}"/>
    <cellStyle name="40% - Cor4 7 2 2" xfId="5907" xr:uid="{00000000-0005-0000-0000-00003A070000}"/>
    <cellStyle name="40% - Cor4 7 2 3" xfId="7134" xr:uid="{00000000-0005-0000-0000-00003B070000}"/>
    <cellStyle name="40% - Cor4 7 3" xfId="2060" xr:uid="{00000000-0005-0000-0000-00003C070000}"/>
    <cellStyle name="40% - Cor4 7 3 2" xfId="6079" xr:uid="{00000000-0005-0000-0000-00003D070000}"/>
    <cellStyle name="40% - Cor4 7 3 3" xfId="7307" xr:uid="{00000000-0005-0000-0000-00003E070000}"/>
    <cellStyle name="40% - Cor4 7 4" xfId="5459" xr:uid="{00000000-0005-0000-0000-00003F070000}"/>
    <cellStyle name="40% - Cor4 7 5" xfId="6681" xr:uid="{00000000-0005-0000-0000-000040070000}"/>
    <cellStyle name="40% - Cor4 8" xfId="1599" xr:uid="{00000000-0005-0000-0000-000041070000}"/>
    <cellStyle name="40% - Cor4 8 2" xfId="2074" xr:uid="{00000000-0005-0000-0000-000042070000}"/>
    <cellStyle name="40% - Cor4 8 2 2" xfId="6093" xr:uid="{00000000-0005-0000-0000-000043070000}"/>
    <cellStyle name="40% - Cor4 8 2 3" xfId="7321" xr:uid="{00000000-0005-0000-0000-000044070000}"/>
    <cellStyle name="40% - Cor4 8 3" xfId="5625" xr:uid="{00000000-0005-0000-0000-000045070000}"/>
    <cellStyle name="40% - Cor4 8 4" xfId="6850" xr:uid="{00000000-0005-0000-0000-000046070000}"/>
    <cellStyle name="40% - Cor4 9" xfId="1991" xr:uid="{00000000-0005-0000-0000-000047070000}"/>
    <cellStyle name="40% - Cor4 9 2" xfId="6010" xr:uid="{00000000-0005-0000-0000-000048070000}"/>
    <cellStyle name="40% - Cor4 9 3" xfId="7238" xr:uid="{00000000-0005-0000-0000-000049070000}"/>
    <cellStyle name="40% - Cor5 10" xfId="6314" xr:uid="{00000000-0005-0000-0000-00004A070000}"/>
    <cellStyle name="40% - Cor5 11" xfId="1032" xr:uid="{00000000-0005-0000-0000-00004B070000}"/>
    <cellStyle name="40% - Cor5 2" xfId="79" xr:uid="{00000000-0005-0000-0000-00004C070000}"/>
    <cellStyle name="40% - Cor5 2 2" xfId="1267" xr:uid="{00000000-0005-0000-0000-00004D070000}"/>
    <cellStyle name="40% - Cor5 2 2 2" xfId="1538" xr:uid="{00000000-0005-0000-0000-00004E070000}"/>
    <cellStyle name="40% - Cor5 2 2 2 2" xfId="5565" xr:uid="{00000000-0005-0000-0000-00004F070000}"/>
    <cellStyle name="40% - Cor5 2 2 2 3" xfId="6790" xr:uid="{00000000-0005-0000-0000-000050070000}"/>
    <cellStyle name="40% - Cor5 2 2 3" xfId="1743" xr:uid="{00000000-0005-0000-0000-000051070000}"/>
    <cellStyle name="40% - Cor5 2 2 3 2" xfId="5765" xr:uid="{00000000-0005-0000-0000-000052070000}"/>
    <cellStyle name="40% - Cor5 2 2 3 3" xfId="6990" xr:uid="{00000000-0005-0000-0000-000053070000}"/>
    <cellStyle name="40% - Cor5 2 2 4" xfId="1602" xr:uid="{00000000-0005-0000-0000-000054070000}"/>
    <cellStyle name="40% - Cor5 2 2 4 2" xfId="5628" xr:uid="{00000000-0005-0000-0000-000055070000}"/>
    <cellStyle name="40% - Cor5 2 2 4 3" xfId="6853" xr:uid="{00000000-0005-0000-0000-000056070000}"/>
    <cellStyle name="40% - Cor5 2 2 5" xfId="5304" xr:uid="{00000000-0005-0000-0000-000057070000}"/>
    <cellStyle name="40% - Cor5 2 2 6" xfId="6519" xr:uid="{00000000-0005-0000-0000-000058070000}"/>
    <cellStyle name="40% - Cor5 2 3" xfId="1314" xr:uid="{00000000-0005-0000-0000-000059070000}"/>
    <cellStyle name="40% - Cor5 2 3 2" xfId="1583" xr:uid="{00000000-0005-0000-0000-00005A070000}"/>
    <cellStyle name="40% - Cor5 2 3 2 2" xfId="5609" xr:uid="{00000000-0005-0000-0000-00005B070000}"/>
    <cellStyle name="40% - Cor5 2 3 2 3" xfId="6834" xr:uid="{00000000-0005-0000-0000-00005C070000}"/>
    <cellStyle name="40% - Cor5 2 3 3" xfId="1787" xr:uid="{00000000-0005-0000-0000-00005D070000}"/>
    <cellStyle name="40% - Cor5 2 3 3 2" xfId="5808" xr:uid="{00000000-0005-0000-0000-00005E070000}"/>
    <cellStyle name="40% - Cor5 2 3 3 3" xfId="7034" xr:uid="{00000000-0005-0000-0000-00005F070000}"/>
    <cellStyle name="40% - Cor5 2 3 4" xfId="1939" xr:uid="{00000000-0005-0000-0000-000060070000}"/>
    <cellStyle name="40% - Cor5 2 3 4 2" xfId="5959" xr:uid="{00000000-0005-0000-0000-000061070000}"/>
    <cellStyle name="40% - Cor5 2 3 4 3" xfId="7186" xr:uid="{00000000-0005-0000-0000-000062070000}"/>
    <cellStyle name="40% - Cor5 2 3 5" xfId="5350" xr:uid="{00000000-0005-0000-0000-000063070000}"/>
    <cellStyle name="40% - Cor5 2 3 6" xfId="6566" xr:uid="{00000000-0005-0000-0000-000064070000}"/>
    <cellStyle name="40% - Cor5 2 4" xfId="1463" xr:uid="{00000000-0005-0000-0000-000065070000}"/>
    <cellStyle name="40% - Cor5 2 4 2" xfId="5491" xr:uid="{00000000-0005-0000-0000-000066070000}"/>
    <cellStyle name="40% - Cor5 2 4 3" xfId="6715" xr:uid="{00000000-0005-0000-0000-000067070000}"/>
    <cellStyle name="40% - Cor5 2 5" xfId="1403" xr:uid="{00000000-0005-0000-0000-000068070000}"/>
    <cellStyle name="40% - Cor5 2 5 2" xfId="5434" xr:uid="{00000000-0005-0000-0000-000069070000}"/>
    <cellStyle name="40% - Cor5 2 5 3" xfId="6655" xr:uid="{00000000-0005-0000-0000-00006A070000}"/>
    <cellStyle name="40% - Cor5 2 6" xfId="1835" xr:uid="{00000000-0005-0000-0000-00006B070000}"/>
    <cellStyle name="40% - Cor5 2 6 2" xfId="5856" xr:uid="{00000000-0005-0000-0000-00006C070000}"/>
    <cellStyle name="40% - Cor5 2 6 3" xfId="7082" xr:uid="{00000000-0005-0000-0000-00006D070000}"/>
    <cellStyle name="40% - Cor5 2 7" xfId="5236" xr:uid="{00000000-0005-0000-0000-00006E070000}"/>
    <cellStyle name="40% - Cor5 2 8" xfId="6446" xr:uid="{00000000-0005-0000-0000-00006F070000}"/>
    <cellStyle name="40% - Cor5 2 9" xfId="1194" xr:uid="{00000000-0005-0000-0000-000070070000}"/>
    <cellStyle name="40% - Cor5 3" xfId="80" xr:uid="{00000000-0005-0000-0000-000071070000}"/>
    <cellStyle name="40% - Cor5 3 2" xfId="1348" xr:uid="{00000000-0005-0000-0000-000072070000}"/>
    <cellStyle name="40% - Cor5 3 2 2" xfId="1616" xr:uid="{00000000-0005-0000-0000-000073070000}"/>
    <cellStyle name="40% - Cor5 3 2 2 2" xfId="5642" xr:uid="{00000000-0005-0000-0000-000074070000}"/>
    <cellStyle name="40% - Cor5 3 2 2 3" xfId="6867" xr:uid="{00000000-0005-0000-0000-000075070000}"/>
    <cellStyle name="40% - Cor5 3 2 3" xfId="1817" xr:uid="{00000000-0005-0000-0000-000076070000}"/>
    <cellStyle name="40% - Cor5 3 2 3 2" xfId="5838" xr:uid="{00000000-0005-0000-0000-000077070000}"/>
    <cellStyle name="40% - Cor5 3 2 3 3" xfId="7064" xr:uid="{00000000-0005-0000-0000-000078070000}"/>
    <cellStyle name="40% - Cor5 3 2 4" xfId="1996" xr:uid="{00000000-0005-0000-0000-000079070000}"/>
    <cellStyle name="40% - Cor5 3 2 4 2" xfId="6015" xr:uid="{00000000-0005-0000-0000-00007A070000}"/>
    <cellStyle name="40% - Cor5 3 2 4 3" xfId="7243" xr:uid="{00000000-0005-0000-0000-00007B070000}"/>
    <cellStyle name="40% - Cor5 3 2 5" xfId="5382" xr:uid="{00000000-0005-0000-0000-00007C070000}"/>
    <cellStyle name="40% - Cor5 3 2 6" xfId="6600" xr:uid="{00000000-0005-0000-0000-00007D070000}"/>
    <cellStyle name="40% - Cor5 3 3" xfId="1507" xr:uid="{00000000-0005-0000-0000-00007E070000}"/>
    <cellStyle name="40% - Cor5 3 3 2" xfId="5535" xr:uid="{00000000-0005-0000-0000-00007F070000}"/>
    <cellStyle name="40% - Cor5 3 3 3" xfId="6759" xr:uid="{00000000-0005-0000-0000-000080070000}"/>
    <cellStyle name="40% - Cor5 3 4" xfId="1714" xr:uid="{00000000-0005-0000-0000-000081070000}"/>
    <cellStyle name="40% - Cor5 3 4 2" xfId="5736" xr:uid="{00000000-0005-0000-0000-000082070000}"/>
    <cellStyle name="40% - Cor5 3 4 3" xfId="6961" xr:uid="{00000000-0005-0000-0000-000083070000}"/>
    <cellStyle name="40% - Cor5 3 5" xfId="1938" xr:uid="{00000000-0005-0000-0000-000084070000}"/>
    <cellStyle name="40% - Cor5 3 5 2" xfId="5958" xr:uid="{00000000-0005-0000-0000-000085070000}"/>
    <cellStyle name="40% - Cor5 3 5 3" xfId="7185" xr:uid="{00000000-0005-0000-0000-000086070000}"/>
    <cellStyle name="40% - Cor5 3 6" xfId="5276" xr:uid="{00000000-0005-0000-0000-000087070000}"/>
    <cellStyle name="40% - Cor5 3 7" xfId="6489" xr:uid="{00000000-0005-0000-0000-000088070000}"/>
    <cellStyle name="40% - Cor5 3 8" xfId="1237" xr:uid="{00000000-0005-0000-0000-000089070000}"/>
    <cellStyle name="40% - Cor5 4" xfId="81" xr:uid="{00000000-0005-0000-0000-00008A070000}"/>
    <cellStyle name="40% - Cor5 4 2" xfId="1501" xr:uid="{00000000-0005-0000-0000-00008B070000}"/>
    <cellStyle name="40% - Cor5 4 2 2" xfId="5529" xr:uid="{00000000-0005-0000-0000-00008C070000}"/>
    <cellStyle name="40% - Cor5 4 2 3" xfId="6753" xr:uid="{00000000-0005-0000-0000-00008D070000}"/>
    <cellStyle name="40% - Cor5 4 3" xfId="1708" xr:uid="{00000000-0005-0000-0000-00008E070000}"/>
    <cellStyle name="40% - Cor5 4 3 2" xfId="5730" xr:uid="{00000000-0005-0000-0000-00008F070000}"/>
    <cellStyle name="40% - Cor5 4 3 3" xfId="6955" xr:uid="{00000000-0005-0000-0000-000090070000}"/>
    <cellStyle name="40% - Cor5 4 4" xfId="1967" xr:uid="{00000000-0005-0000-0000-000091070000}"/>
    <cellStyle name="40% - Cor5 4 4 2" xfId="5987" xr:uid="{00000000-0005-0000-0000-000092070000}"/>
    <cellStyle name="40% - Cor5 4 4 3" xfId="7214" xr:uid="{00000000-0005-0000-0000-000093070000}"/>
    <cellStyle name="40% - Cor5 4 5" xfId="5270" xr:uid="{00000000-0005-0000-0000-000094070000}"/>
    <cellStyle name="40% - Cor5 4 6" xfId="6483" xr:uid="{00000000-0005-0000-0000-000095070000}"/>
    <cellStyle name="40% - Cor5 4 7" xfId="1231" xr:uid="{00000000-0005-0000-0000-000096070000}"/>
    <cellStyle name="40% - Cor5 5" xfId="1385" xr:uid="{00000000-0005-0000-0000-000097070000}"/>
    <cellStyle name="40% - Cor5 5 2" xfId="1655" xr:uid="{00000000-0005-0000-0000-000098070000}"/>
    <cellStyle name="40% - Cor5 5 2 2" xfId="5679" xr:uid="{00000000-0005-0000-0000-000099070000}"/>
    <cellStyle name="40% - Cor5 5 2 3" xfId="6904" xr:uid="{00000000-0005-0000-0000-00009A070000}"/>
    <cellStyle name="40% - Cor5 5 3" xfId="1851" xr:uid="{00000000-0005-0000-0000-00009B070000}"/>
    <cellStyle name="40% - Cor5 5 3 2" xfId="5872" xr:uid="{00000000-0005-0000-0000-00009C070000}"/>
    <cellStyle name="40% - Cor5 5 3 3" xfId="7098" xr:uid="{00000000-0005-0000-0000-00009D070000}"/>
    <cellStyle name="40% - Cor5 5 4" xfId="2036" xr:uid="{00000000-0005-0000-0000-00009E070000}"/>
    <cellStyle name="40% - Cor5 5 4 2" xfId="6055" xr:uid="{00000000-0005-0000-0000-00009F070000}"/>
    <cellStyle name="40% - Cor5 5 4 3" xfId="7283" xr:uid="{00000000-0005-0000-0000-0000A0070000}"/>
    <cellStyle name="40% - Cor5 5 5" xfId="5416" xr:uid="{00000000-0005-0000-0000-0000A1070000}"/>
    <cellStyle name="40% - Cor5 5 6" xfId="6637" xr:uid="{00000000-0005-0000-0000-0000A2070000}"/>
    <cellStyle name="40% - Cor5 6" xfId="1399" xr:uid="{00000000-0005-0000-0000-0000A3070000}"/>
    <cellStyle name="40% - Cor5 6 2" xfId="1669" xr:uid="{00000000-0005-0000-0000-0000A4070000}"/>
    <cellStyle name="40% - Cor5 6 2 2" xfId="5693" xr:uid="{00000000-0005-0000-0000-0000A5070000}"/>
    <cellStyle name="40% - Cor5 6 2 3" xfId="6918" xr:uid="{00000000-0005-0000-0000-0000A6070000}"/>
    <cellStyle name="40% - Cor5 6 3" xfId="1865" xr:uid="{00000000-0005-0000-0000-0000A7070000}"/>
    <cellStyle name="40% - Cor5 6 3 2" xfId="5886" xr:uid="{00000000-0005-0000-0000-0000A8070000}"/>
    <cellStyle name="40% - Cor5 6 3 3" xfId="7112" xr:uid="{00000000-0005-0000-0000-0000A9070000}"/>
    <cellStyle name="40% - Cor5 6 4" xfId="2050" xr:uid="{00000000-0005-0000-0000-0000AA070000}"/>
    <cellStyle name="40% - Cor5 6 4 2" xfId="6069" xr:uid="{00000000-0005-0000-0000-0000AB070000}"/>
    <cellStyle name="40% - Cor5 6 4 3" xfId="7297" xr:uid="{00000000-0005-0000-0000-0000AC070000}"/>
    <cellStyle name="40% - Cor5 6 5" xfId="5430" xr:uid="{00000000-0005-0000-0000-0000AD070000}"/>
    <cellStyle name="40% - Cor5 6 6" xfId="6651" xr:uid="{00000000-0005-0000-0000-0000AE070000}"/>
    <cellStyle name="40% - Cor5 7" xfId="1433" xr:uid="{00000000-0005-0000-0000-0000AF070000}"/>
    <cellStyle name="40% - Cor5 7 2" xfId="1889" xr:uid="{00000000-0005-0000-0000-0000B0070000}"/>
    <cellStyle name="40% - Cor5 7 2 2" xfId="5909" xr:uid="{00000000-0005-0000-0000-0000B1070000}"/>
    <cellStyle name="40% - Cor5 7 2 3" xfId="7136" xr:uid="{00000000-0005-0000-0000-0000B2070000}"/>
    <cellStyle name="40% - Cor5 7 3" xfId="2062" xr:uid="{00000000-0005-0000-0000-0000B3070000}"/>
    <cellStyle name="40% - Cor5 7 3 2" xfId="6081" xr:uid="{00000000-0005-0000-0000-0000B4070000}"/>
    <cellStyle name="40% - Cor5 7 3 3" xfId="7309" xr:uid="{00000000-0005-0000-0000-0000B5070000}"/>
    <cellStyle name="40% - Cor5 7 4" xfId="5463" xr:uid="{00000000-0005-0000-0000-0000B6070000}"/>
    <cellStyle name="40% - Cor5 7 5" xfId="6685" xr:uid="{00000000-0005-0000-0000-0000B7070000}"/>
    <cellStyle name="40% - Cor5 8" xfId="1557" xr:uid="{00000000-0005-0000-0000-0000B8070000}"/>
    <cellStyle name="40% - Cor5 8 2" xfId="2071" xr:uid="{00000000-0005-0000-0000-0000B9070000}"/>
    <cellStyle name="40% - Cor5 8 2 2" xfId="6090" xr:uid="{00000000-0005-0000-0000-0000BA070000}"/>
    <cellStyle name="40% - Cor5 8 2 3" xfId="7318" xr:uid="{00000000-0005-0000-0000-0000BB070000}"/>
    <cellStyle name="40% - Cor5 8 3" xfId="5583" xr:uid="{00000000-0005-0000-0000-0000BC070000}"/>
    <cellStyle name="40% - Cor5 8 4" xfId="6808" xr:uid="{00000000-0005-0000-0000-0000BD070000}"/>
    <cellStyle name="40% - Cor5 9" xfId="1562" xr:uid="{00000000-0005-0000-0000-0000BE070000}"/>
    <cellStyle name="40% - Cor5 9 2" xfId="5588" xr:uid="{00000000-0005-0000-0000-0000BF070000}"/>
    <cellStyle name="40% - Cor5 9 3" xfId="6813" xr:uid="{00000000-0005-0000-0000-0000C0070000}"/>
    <cellStyle name="40% - Cor6 10" xfId="6318" xr:uid="{00000000-0005-0000-0000-0000C1070000}"/>
    <cellStyle name="40% - Cor6 11" xfId="1036" xr:uid="{00000000-0005-0000-0000-0000C2070000}"/>
    <cellStyle name="40% - Cor6 2" xfId="82" xr:uid="{00000000-0005-0000-0000-0000C3070000}"/>
    <cellStyle name="40% - Cor6 2 2" xfId="1269" xr:uid="{00000000-0005-0000-0000-0000C4070000}"/>
    <cellStyle name="40% - Cor6 2 2 2" xfId="1540" xr:uid="{00000000-0005-0000-0000-0000C5070000}"/>
    <cellStyle name="40% - Cor6 2 2 2 2" xfId="5567" xr:uid="{00000000-0005-0000-0000-0000C6070000}"/>
    <cellStyle name="40% - Cor6 2 2 2 3" xfId="6792" xr:uid="{00000000-0005-0000-0000-0000C7070000}"/>
    <cellStyle name="40% - Cor6 2 2 3" xfId="1745" xr:uid="{00000000-0005-0000-0000-0000C8070000}"/>
    <cellStyle name="40% - Cor6 2 2 3 2" xfId="5767" xr:uid="{00000000-0005-0000-0000-0000C9070000}"/>
    <cellStyle name="40% - Cor6 2 2 3 3" xfId="6992" xr:uid="{00000000-0005-0000-0000-0000CA070000}"/>
    <cellStyle name="40% - Cor6 2 2 4" xfId="2014" xr:uid="{00000000-0005-0000-0000-0000CB070000}"/>
    <cellStyle name="40% - Cor6 2 2 4 2" xfId="6033" xr:uid="{00000000-0005-0000-0000-0000CC070000}"/>
    <cellStyle name="40% - Cor6 2 2 4 3" xfId="7261" xr:uid="{00000000-0005-0000-0000-0000CD070000}"/>
    <cellStyle name="40% - Cor6 2 2 5" xfId="5306" xr:uid="{00000000-0005-0000-0000-0000CE070000}"/>
    <cellStyle name="40% - Cor6 2 2 6" xfId="6521" xr:uid="{00000000-0005-0000-0000-0000CF070000}"/>
    <cellStyle name="40% - Cor6 2 3" xfId="1316" xr:uid="{00000000-0005-0000-0000-0000D0070000}"/>
    <cellStyle name="40% - Cor6 2 3 2" xfId="1585" xr:uid="{00000000-0005-0000-0000-0000D1070000}"/>
    <cellStyle name="40% - Cor6 2 3 2 2" xfId="5611" xr:uid="{00000000-0005-0000-0000-0000D2070000}"/>
    <cellStyle name="40% - Cor6 2 3 2 3" xfId="6836" xr:uid="{00000000-0005-0000-0000-0000D3070000}"/>
    <cellStyle name="40% - Cor6 2 3 3" xfId="1789" xr:uid="{00000000-0005-0000-0000-0000D4070000}"/>
    <cellStyle name="40% - Cor6 2 3 3 2" xfId="5810" xr:uid="{00000000-0005-0000-0000-0000D5070000}"/>
    <cellStyle name="40% - Cor6 2 3 3 3" xfId="7036" xr:uid="{00000000-0005-0000-0000-0000D6070000}"/>
    <cellStyle name="40% - Cor6 2 3 4" xfId="2002" xr:uid="{00000000-0005-0000-0000-0000D7070000}"/>
    <cellStyle name="40% - Cor6 2 3 4 2" xfId="6021" xr:uid="{00000000-0005-0000-0000-0000D8070000}"/>
    <cellStyle name="40% - Cor6 2 3 4 3" xfId="7249" xr:uid="{00000000-0005-0000-0000-0000D9070000}"/>
    <cellStyle name="40% - Cor6 2 3 5" xfId="5352" xr:uid="{00000000-0005-0000-0000-0000DA070000}"/>
    <cellStyle name="40% - Cor6 2 3 6" xfId="6568" xr:uid="{00000000-0005-0000-0000-0000DB070000}"/>
    <cellStyle name="40% - Cor6 2 4" xfId="1465" xr:uid="{00000000-0005-0000-0000-0000DC070000}"/>
    <cellStyle name="40% - Cor6 2 4 2" xfId="5493" xr:uid="{00000000-0005-0000-0000-0000DD070000}"/>
    <cellStyle name="40% - Cor6 2 4 3" xfId="6717" xr:uid="{00000000-0005-0000-0000-0000DE070000}"/>
    <cellStyle name="40% - Cor6 2 5" xfId="1434" xr:uid="{00000000-0005-0000-0000-0000DF070000}"/>
    <cellStyle name="40% - Cor6 2 5 2" xfId="5464" xr:uid="{00000000-0005-0000-0000-0000E0070000}"/>
    <cellStyle name="40% - Cor6 2 5 3" xfId="6686" xr:uid="{00000000-0005-0000-0000-0000E1070000}"/>
    <cellStyle name="40% - Cor6 2 6" xfId="1821" xr:uid="{00000000-0005-0000-0000-0000E2070000}"/>
    <cellStyle name="40% - Cor6 2 6 2" xfId="5842" xr:uid="{00000000-0005-0000-0000-0000E3070000}"/>
    <cellStyle name="40% - Cor6 2 6 3" xfId="7068" xr:uid="{00000000-0005-0000-0000-0000E4070000}"/>
    <cellStyle name="40% - Cor6 2 7" xfId="5238" xr:uid="{00000000-0005-0000-0000-0000E5070000}"/>
    <cellStyle name="40% - Cor6 2 8" xfId="6448" xr:uid="{00000000-0005-0000-0000-0000E6070000}"/>
    <cellStyle name="40% - Cor6 2 9" xfId="1196" xr:uid="{00000000-0005-0000-0000-0000E7070000}"/>
    <cellStyle name="40% - Cor6 3" xfId="83" xr:uid="{00000000-0005-0000-0000-0000E8070000}"/>
    <cellStyle name="40% - Cor6 3 2" xfId="1350" xr:uid="{00000000-0005-0000-0000-0000E9070000}"/>
    <cellStyle name="40% - Cor6 3 2 2" xfId="1618" xr:uid="{00000000-0005-0000-0000-0000EA070000}"/>
    <cellStyle name="40% - Cor6 3 2 2 2" xfId="5644" xr:uid="{00000000-0005-0000-0000-0000EB070000}"/>
    <cellStyle name="40% - Cor6 3 2 2 3" xfId="6869" xr:uid="{00000000-0005-0000-0000-0000EC070000}"/>
    <cellStyle name="40% - Cor6 3 2 3" xfId="1819" xr:uid="{00000000-0005-0000-0000-0000ED070000}"/>
    <cellStyle name="40% - Cor6 3 2 3 2" xfId="5840" xr:uid="{00000000-0005-0000-0000-0000EE070000}"/>
    <cellStyle name="40% - Cor6 3 2 3 3" xfId="7066" xr:uid="{00000000-0005-0000-0000-0000EF070000}"/>
    <cellStyle name="40% - Cor6 3 2 4" xfId="1924" xr:uid="{00000000-0005-0000-0000-0000F0070000}"/>
    <cellStyle name="40% - Cor6 3 2 4 2" xfId="5944" xr:uid="{00000000-0005-0000-0000-0000F1070000}"/>
    <cellStyle name="40% - Cor6 3 2 4 3" xfId="7171" xr:uid="{00000000-0005-0000-0000-0000F2070000}"/>
    <cellStyle name="40% - Cor6 3 2 5" xfId="5384" xr:uid="{00000000-0005-0000-0000-0000F3070000}"/>
    <cellStyle name="40% - Cor6 3 2 6" xfId="6602" xr:uid="{00000000-0005-0000-0000-0000F4070000}"/>
    <cellStyle name="40% - Cor6 3 3" xfId="1509" xr:uid="{00000000-0005-0000-0000-0000F5070000}"/>
    <cellStyle name="40% - Cor6 3 3 2" xfId="5537" xr:uid="{00000000-0005-0000-0000-0000F6070000}"/>
    <cellStyle name="40% - Cor6 3 3 3" xfId="6761" xr:uid="{00000000-0005-0000-0000-0000F7070000}"/>
    <cellStyle name="40% - Cor6 3 4" xfId="1716" xr:uid="{00000000-0005-0000-0000-0000F8070000}"/>
    <cellStyle name="40% - Cor6 3 4 2" xfId="5738" xr:uid="{00000000-0005-0000-0000-0000F9070000}"/>
    <cellStyle name="40% - Cor6 3 4 3" xfId="6963" xr:uid="{00000000-0005-0000-0000-0000FA070000}"/>
    <cellStyle name="40% - Cor6 3 5" xfId="1957" xr:uid="{00000000-0005-0000-0000-0000FB070000}"/>
    <cellStyle name="40% - Cor6 3 5 2" xfId="5977" xr:uid="{00000000-0005-0000-0000-0000FC070000}"/>
    <cellStyle name="40% - Cor6 3 5 3" xfId="7204" xr:uid="{00000000-0005-0000-0000-0000FD070000}"/>
    <cellStyle name="40% - Cor6 3 6" xfId="5278" xr:uid="{00000000-0005-0000-0000-0000FE070000}"/>
    <cellStyle name="40% - Cor6 3 7" xfId="6491" xr:uid="{00000000-0005-0000-0000-0000FF070000}"/>
    <cellStyle name="40% - Cor6 3 8" xfId="1239" xr:uid="{00000000-0005-0000-0000-000000080000}"/>
    <cellStyle name="40% - Cor6 4" xfId="84" xr:uid="{00000000-0005-0000-0000-000001080000}"/>
    <cellStyle name="40% - Cor6 4 2" xfId="1560" xr:uid="{00000000-0005-0000-0000-000002080000}"/>
    <cellStyle name="40% - Cor6 4 2 2" xfId="5586" xr:uid="{00000000-0005-0000-0000-000003080000}"/>
    <cellStyle name="40% - Cor6 4 2 3" xfId="6811" xr:uid="{00000000-0005-0000-0000-000004080000}"/>
    <cellStyle name="40% - Cor6 4 3" xfId="1765" xr:uid="{00000000-0005-0000-0000-000005080000}"/>
    <cellStyle name="40% - Cor6 4 3 2" xfId="5787" xr:uid="{00000000-0005-0000-0000-000006080000}"/>
    <cellStyle name="40% - Cor6 4 3 3" xfId="7012" xr:uid="{00000000-0005-0000-0000-000007080000}"/>
    <cellStyle name="40% - Cor6 4 4" xfId="1963" xr:uid="{00000000-0005-0000-0000-000008080000}"/>
    <cellStyle name="40% - Cor6 4 4 2" xfId="5983" xr:uid="{00000000-0005-0000-0000-000009080000}"/>
    <cellStyle name="40% - Cor6 4 4 3" xfId="7210" xr:uid="{00000000-0005-0000-0000-00000A080000}"/>
    <cellStyle name="40% - Cor6 4 5" xfId="5326" xr:uid="{00000000-0005-0000-0000-00000B080000}"/>
    <cellStyle name="40% - Cor6 4 6" xfId="6542" xr:uid="{00000000-0005-0000-0000-00000C080000}"/>
    <cellStyle name="40% - Cor6 4 7" xfId="1290" xr:uid="{00000000-0005-0000-0000-00000D080000}"/>
    <cellStyle name="40% - Cor6 5" xfId="1387" xr:uid="{00000000-0005-0000-0000-00000E080000}"/>
    <cellStyle name="40% - Cor6 5 2" xfId="1657" xr:uid="{00000000-0005-0000-0000-00000F080000}"/>
    <cellStyle name="40% - Cor6 5 2 2" xfId="5681" xr:uid="{00000000-0005-0000-0000-000010080000}"/>
    <cellStyle name="40% - Cor6 5 2 3" xfId="6906" xr:uid="{00000000-0005-0000-0000-000011080000}"/>
    <cellStyle name="40% - Cor6 5 3" xfId="1853" xr:uid="{00000000-0005-0000-0000-000012080000}"/>
    <cellStyle name="40% - Cor6 5 3 2" xfId="5874" xr:uid="{00000000-0005-0000-0000-000013080000}"/>
    <cellStyle name="40% - Cor6 5 3 3" xfId="7100" xr:uid="{00000000-0005-0000-0000-000014080000}"/>
    <cellStyle name="40% - Cor6 5 4" xfId="2038" xr:uid="{00000000-0005-0000-0000-000015080000}"/>
    <cellStyle name="40% - Cor6 5 4 2" xfId="6057" xr:uid="{00000000-0005-0000-0000-000016080000}"/>
    <cellStyle name="40% - Cor6 5 4 3" xfId="7285" xr:uid="{00000000-0005-0000-0000-000017080000}"/>
    <cellStyle name="40% - Cor6 5 5" xfId="5418" xr:uid="{00000000-0005-0000-0000-000018080000}"/>
    <cellStyle name="40% - Cor6 5 6" xfId="6639" xr:uid="{00000000-0005-0000-0000-000019080000}"/>
    <cellStyle name="40% - Cor6 6" xfId="1401" xr:uid="{00000000-0005-0000-0000-00001A080000}"/>
    <cellStyle name="40% - Cor6 6 2" xfId="1671" xr:uid="{00000000-0005-0000-0000-00001B080000}"/>
    <cellStyle name="40% - Cor6 6 2 2" xfId="5695" xr:uid="{00000000-0005-0000-0000-00001C080000}"/>
    <cellStyle name="40% - Cor6 6 2 3" xfId="6920" xr:uid="{00000000-0005-0000-0000-00001D080000}"/>
    <cellStyle name="40% - Cor6 6 3" xfId="1867" xr:uid="{00000000-0005-0000-0000-00001E080000}"/>
    <cellStyle name="40% - Cor6 6 3 2" xfId="5888" xr:uid="{00000000-0005-0000-0000-00001F080000}"/>
    <cellStyle name="40% - Cor6 6 3 3" xfId="7114" xr:uid="{00000000-0005-0000-0000-000020080000}"/>
    <cellStyle name="40% - Cor6 6 4" xfId="2052" xr:uid="{00000000-0005-0000-0000-000021080000}"/>
    <cellStyle name="40% - Cor6 6 4 2" xfId="6071" xr:uid="{00000000-0005-0000-0000-000022080000}"/>
    <cellStyle name="40% - Cor6 6 4 3" xfId="7299" xr:uid="{00000000-0005-0000-0000-000023080000}"/>
    <cellStyle name="40% - Cor6 6 5" xfId="5432" xr:uid="{00000000-0005-0000-0000-000024080000}"/>
    <cellStyle name="40% - Cor6 6 6" xfId="6653" xr:uid="{00000000-0005-0000-0000-000025080000}"/>
    <cellStyle name="40% - Cor6 7" xfId="1437" xr:uid="{00000000-0005-0000-0000-000026080000}"/>
    <cellStyle name="40% - Cor6 7 2" xfId="1891" xr:uid="{00000000-0005-0000-0000-000027080000}"/>
    <cellStyle name="40% - Cor6 7 2 2" xfId="5911" xr:uid="{00000000-0005-0000-0000-000028080000}"/>
    <cellStyle name="40% - Cor6 7 2 3" xfId="7138" xr:uid="{00000000-0005-0000-0000-000029080000}"/>
    <cellStyle name="40% - Cor6 7 3" xfId="2064" xr:uid="{00000000-0005-0000-0000-00002A080000}"/>
    <cellStyle name="40% - Cor6 7 3 2" xfId="6083" xr:uid="{00000000-0005-0000-0000-00002B080000}"/>
    <cellStyle name="40% - Cor6 7 3 3" xfId="7311" xr:uid="{00000000-0005-0000-0000-00002C080000}"/>
    <cellStyle name="40% - Cor6 7 4" xfId="5467" xr:uid="{00000000-0005-0000-0000-00002D080000}"/>
    <cellStyle name="40% - Cor6 7 5" xfId="6689" xr:uid="{00000000-0005-0000-0000-00002E080000}"/>
    <cellStyle name="40% - Cor6 8" xfId="1586" xr:uid="{00000000-0005-0000-0000-00002F080000}"/>
    <cellStyle name="40% - Cor6 8 2" xfId="2073" xr:uid="{00000000-0005-0000-0000-000030080000}"/>
    <cellStyle name="40% - Cor6 8 2 2" xfId="6092" xr:uid="{00000000-0005-0000-0000-000031080000}"/>
    <cellStyle name="40% - Cor6 8 2 3" xfId="7320" xr:uid="{00000000-0005-0000-0000-000032080000}"/>
    <cellStyle name="40% - Cor6 8 3" xfId="5612" xr:uid="{00000000-0005-0000-0000-000033080000}"/>
    <cellStyle name="40% - Cor6 8 4" xfId="6837" xr:uid="{00000000-0005-0000-0000-000034080000}"/>
    <cellStyle name="40% - Cor6 9" xfId="1993" xr:uid="{00000000-0005-0000-0000-000035080000}"/>
    <cellStyle name="40% - Cor6 9 2" xfId="6012" xr:uid="{00000000-0005-0000-0000-000036080000}"/>
    <cellStyle name="40% - Cor6 9 3" xfId="7240" xr:uid="{00000000-0005-0000-0000-000037080000}"/>
    <cellStyle name="60% - Accent1" xfId="85" xr:uid="{00000000-0005-0000-0000-000038080000}"/>
    <cellStyle name="60% - Accent1 2" xfId="1059" xr:uid="{00000000-0005-0000-0000-000039080000}"/>
    <cellStyle name="60% - Accent1 2 2" xfId="3586" xr:uid="{00000000-0005-0000-0000-00003A080000}"/>
    <cellStyle name="60% - Accent1 2 2 2" xfId="5198" xr:uid="{00000000-0005-0000-0000-00003B080000}"/>
    <cellStyle name="60% - Accent1 2 2 3" xfId="8570" xr:uid="{00000000-0005-0000-0000-00003C080000}"/>
    <cellStyle name="60% - Accent1 2 3" xfId="3137" xr:uid="{00000000-0005-0000-0000-00003D080000}"/>
    <cellStyle name="60% - Accent1 2 3 2" xfId="4789" xr:uid="{00000000-0005-0000-0000-00003E080000}"/>
    <cellStyle name="60% - Accent1 2 3 3" xfId="8193" xr:uid="{00000000-0005-0000-0000-00003F080000}"/>
    <cellStyle name="60% - Accent1 2 4" xfId="3931" xr:uid="{00000000-0005-0000-0000-000040080000}"/>
    <cellStyle name="60% - Accent1 2 5" xfId="6340" xr:uid="{00000000-0005-0000-0000-000041080000}"/>
    <cellStyle name="60% - Accent1 3" xfId="3138" xr:uid="{00000000-0005-0000-0000-000042080000}"/>
    <cellStyle name="60% - Accent1 3 2" xfId="4790" xr:uid="{00000000-0005-0000-0000-000043080000}"/>
    <cellStyle name="60% - Accent1 3 3" xfId="8194" xr:uid="{00000000-0005-0000-0000-000044080000}"/>
    <cellStyle name="60% - Accent1 4" xfId="3139" xr:uid="{00000000-0005-0000-0000-000045080000}"/>
    <cellStyle name="60% - Accent1 4 2" xfId="4791" xr:uid="{00000000-0005-0000-0000-000046080000}"/>
    <cellStyle name="60% - Accent1 4 3" xfId="8195" xr:uid="{00000000-0005-0000-0000-000047080000}"/>
    <cellStyle name="60% - Accent1 5" xfId="3140" xr:uid="{00000000-0005-0000-0000-000048080000}"/>
    <cellStyle name="60% - Accent1 5 2" xfId="4792" xr:uid="{00000000-0005-0000-0000-000049080000}"/>
    <cellStyle name="60% - Accent1 5 3" xfId="8196" xr:uid="{00000000-0005-0000-0000-00004A080000}"/>
    <cellStyle name="60% - Accent1 6" xfId="3141" xr:uid="{00000000-0005-0000-0000-00004B080000}"/>
    <cellStyle name="60% - Accent1 6 2" xfId="4793" xr:uid="{00000000-0005-0000-0000-00004C080000}"/>
    <cellStyle name="60% - Accent1 6 3" xfId="8197" xr:uid="{00000000-0005-0000-0000-00004D080000}"/>
    <cellStyle name="60% - Accent1 7" xfId="3930" xr:uid="{00000000-0005-0000-0000-00004E080000}"/>
    <cellStyle name="60% - Accent1 8" xfId="7815" xr:uid="{00000000-0005-0000-0000-00004F080000}"/>
    <cellStyle name="60% - Accent1 9" xfId="2597" xr:uid="{00000000-0005-0000-0000-000050080000}"/>
    <cellStyle name="60% - Accent2" xfId="86" xr:uid="{00000000-0005-0000-0000-000051080000}"/>
    <cellStyle name="60% - Accent2 2" xfId="1060" xr:uid="{00000000-0005-0000-0000-000052080000}"/>
    <cellStyle name="60% - Accent2 2 2" xfId="3590" xr:uid="{00000000-0005-0000-0000-000053080000}"/>
    <cellStyle name="60% - Accent2 2 2 2" xfId="5202" xr:uid="{00000000-0005-0000-0000-000054080000}"/>
    <cellStyle name="60% - Accent2 2 2 3" xfId="8574" xr:uid="{00000000-0005-0000-0000-000055080000}"/>
    <cellStyle name="60% - Accent2 2 3" xfId="3142" xr:uid="{00000000-0005-0000-0000-000056080000}"/>
    <cellStyle name="60% - Accent2 2 3 2" xfId="4794" xr:uid="{00000000-0005-0000-0000-000057080000}"/>
    <cellStyle name="60% - Accent2 2 3 3" xfId="8198" xr:uid="{00000000-0005-0000-0000-000058080000}"/>
    <cellStyle name="60% - Accent2 2 4" xfId="3933" xr:uid="{00000000-0005-0000-0000-000059080000}"/>
    <cellStyle name="60% - Accent2 2 5" xfId="6341" xr:uid="{00000000-0005-0000-0000-00005A080000}"/>
    <cellStyle name="60% - Accent2 3" xfId="3143" xr:uid="{00000000-0005-0000-0000-00005B080000}"/>
    <cellStyle name="60% - Accent2 3 2" xfId="4795" xr:uid="{00000000-0005-0000-0000-00005C080000}"/>
    <cellStyle name="60% - Accent2 3 3" xfId="8199" xr:uid="{00000000-0005-0000-0000-00005D080000}"/>
    <cellStyle name="60% - Accent2 4" xfId="3144" xr:uid="{00000000-0005-0000-0000-00005E080000}"/>
    <cellStyle name="60% - Accent2 4 2" xfId="4796" xr:uid="{00000000-0005-0000-0000-00005F080000}"/>
    <cellStyle name="60% - Accent2 4 3" xfId="8200" xr:uid="{00000000-0005-0000-0000-000060080000}"/>
    <cellStyle name="60% - Accent2 5" xfId="3145" xr:uid="{00000000-0005-0000-0000-000061080000}"/>
    <cellStyle name="60% - Accent2 5 2" xfId="4797" xr:uid="{00000000-0005-0000-0000-000062080000}"/>
    <cellStyle name="60% - Accent2 5 3" xfId="8201" xr:uid="{00000000-0005-0000-0000-000063080000}"/>
    <cellStyle name="60% - Accent2 6" xfId="3146" xr:uid="{00000000-0005-0000-0000-000064080000}"/>
    <cellStyle name="60% - Accent2 6 2" xfId="4798" xr:uid="{00000000-0005-0000-0000-000065080000}"/>
    <cellStyle name="60% - Accent2 6 3" xfId="8202" xr:uid="{00000000-0005-0000-0000-000066080000}"/>
    <cellStyle name="60% - Accent2 7" xfId="3932" xr:uid="{00000000-0005-0000-0000-000067080000}"/>
    <cellStyle name="60% - Accent2 8" xfId="7814" xr:uid="{00000000-0005-0000-0000-000068080000}"/>
    <cellStyle name="60% - Accent2 9" xfId="2596" xr:uid="{00000000-0005-0000-0000-000069080000}"/>
    <cellStyle name="60% - Accent3" xfId="87" xr:uid="{00000000-0005-0000-0000-00006A080000}"/>
    <cellStyle name="60% - Accent3 2" xfId="1061" xr:uid="{00000000-0005-0000-0000-00006B080000}"/>
    <cellStyle name="60% - Accent3 2 2" xfId="3594" xr:uid="{00000000-0005-0000-0000-00006C080000}"/>
    <cellStyle name="60% - Accent3 2 2 2" xfId="5206" xr:uid="{00000000-0005-0000-0000-00006D080000}"/>
    <cellStyle name="60% - Accent3 2 2 3" xfId="8578" xr:uid="{00000000-0005-0000-0000-00006E080000}"/>
    <cellStyle name="60% - Accent3 2 3" xfId="3147" xr:uid="{00000000-0005-0000-0000-00006F080000}"/>
    <cellStyle name="60% - Accent3 2 3 2" xfId="4799" xr:uid="{00000000-0005-0000-0000-000070080000}"/>
    <cellStyle name="60% - Accent3 2 3 3" xfId="8203" xr:uid="{00000000-0005-0000-0000-000071080000}"/>
    <cellStyle name="60% - Accent3 2 4" xfId="3935" xr:uid="{00000000-0005-0000-0000-000072080000}"/>
    <cellStyle name="60% - Accent3 2 5" xfId="6342" xr:uid="{00000000-0005-0000-0000-000073080000}"/>
    <cellStyle name="60% - Accent3 3" xfId="3148" xr:uid="{00000000-0005-0000-0000-000074080000}"/>
    <cellStyle name="60% - Accent3 3 2" xfId="4800" xr:uid="{00000000-0005-0000-0000-000075080000}"/>
    <cellStyle name="60% - Accent3 3 3" xfId="8204" xr:uid="{00000000-0005-0000-0000-000076080000}"/>
    <cellStyle name="60% - Accent3 4" xfId="3149" xr:uid="{00000000-0005-0000-0000-000077080000}"/>
    <cellStyle name="60% - Accent3 4 2" xfId="4801" xr:uid="{00000000-0005-0000-0000-000078080000}"/>
    <cellStyle name="60% - Accent3 4 3" xfId="8205" xr:uid="{00000000-0005-0000-0000-000079080000}"/>
    <cellStyle name="60% - Accent3 5" xfId="3150" xr:uid="{00000000-0005-0000-0000-00007A080000}"/>
    <cellStyle name="60% - Accent3 5 2" xfId="4802" xr:uid="{00000000-0005-0000-0000-00007B080000}"/>
    <cellStyle name="60% - Accent3 5 3" xfId="8206" xr:uid="{00000000-0005-0000-0000-00007C080000}"/>
    <cellStyle name="60% - Accent3 6" xfId="3151" xr:uid="{00000000-0005-0000-0000-00007D080000}"/>
    <cellStyle name="60% - Accent3 6 2" xfId="4803" xr:uid="{00000000-0005-0000-0000-00007E080000}"/>
    <cellStyle name="60% - Accent3 6 3" xfId="8207" xr:uid="{00000000-0005-0000-0000-00007F080000}"/>
    <cellStyle name="60% - Accent3 7" xfId="3934" xr:uid="{00000000-0005-0000-0000-000080080000}"/>
    <cellStyle name="60% - Accent3 8" xfId="7813" xr:uid="{00000000-0005-0000-0000-000081080000}"/>
    <cellStyle name="60% - Accent3 9" xfId="2595" xr:uid="{00000000-0005-0000-0000-000082080000}"/>
    <cellStyle name="60% - Accent4" xfId="88" xr:uid="{00000000-0005-0000-0000-000083080000}"/>
    <cellStyle name="60% - Accent4 2" xfId="1062" xr:uid="{00000000-0005-0000-0000-000084080000}"/>
    <cellStyle name="60% - Accent4 2 2" xfId="3598" xr:uid="{00000000-0005-0000-0000-000085080000}"/>
    <cellStyle name="60% - Accent4 2 2 2" xfId="5210" xr:uid="{00000000-0005-0000-0000-000086080000}"/>
    <cellStyle name="60% - Accent4 2 2 3" xfId="8582" xr:uid="{00000000-0005-0000-0000-000087080000}"/>
    <cellStyle name="60% - Accent4 2 3" xfId="3152" xr:uid="{00000000-0005-0000-0000-000088080000}"/>
    <cellStyle name="60% - Accent4 2 3 2" xfId="4804" xr:uid="{00000000-0005-0000-0000-000089080000}"/>
    <cellStyle name="60% - Accent4 2 3 3" xfId="8208" xr:uid="{00000000-0005-0000-0000-00008A080000}"/>
    <cellStyle name="60% - Accent4 2 4" xfId="3937" xr:uid="{00000000-0005-0000-0000-00008B080000}"/>
    <cellStyle name="60% - Accent4 2 5" xfId="6343" xr:uid="{00000000-0005-0000-0000-00008C080000}"/>
    <cellStyle name="60% - Accent4 3" xfId="3153" xr:uid="{00000000-0005-0000-0000-00008D080000}"/>
    <cellStyle name="60% - Accent4 3 2" xfId="4805" xr:uid="{00000000-0005-0000-0000-00008E080000}"/>
    <cellStyle name="60% - Accent4 3 3" xfId="8209" xr:uid="{00000000-0005-0000-0000-00008F080000}"/>
    <cellStyle name="60% - Accent4 4" xfId="3154" xr:uid="{00000000-0005-0000-0000-000090080000}"/>
    <cellStyle name="60% - Accent4 4 2" xfId="4806" xr:uid="{00000000-0005-0000-0000-000091080000}"/>
    <cellStyle name="60% - Accent4 4 3" xfId="8210" xr:uid="{00000000-0005-0000-0000-000092080000}"/>
    <cellStyle name="60% - Accent4 5" xfId="3155" xr:uid="{00000000-0005-0000-0000-000093080000}"/>
    <cellStyle name="60% - Accent4 5 2" xfId="4807" xr:uid="{00000000-0005-0000-0000-000094080000}"/>
    <cellStyle name="60% - Accent4 5 3" xfId="8211" xr:uid="{00000000-0005-0000-0000-000095080000}"/>
    <cellStyle name="60% - Accent4 6" xfId="3156" xr:uid="{00000000-0005-0000-0000-000096080000}"/>
    <cellStyle name="60% - Accent4 6 2" xfId="4808" xr:uid="{00000000-0005-0000-0000-000097080000}"/>
    <cellStyle name="60% - Accent4 6 3" xfId="8212" xr:uid="{00000000-0005-0000-0000-000098080000}"/>
    <cellStyle name="60% - Accent4 7" xfId="3936" xr:uid="{00000000-0005-0000-0000-000099080000}"/>
    <cellStyle name="60% - Accent4 8" xfId="7812" xr:uid="{00000000-0005-0000-0000-00009A080000}"/>
    <cellStyle name="60% - Accent4 9" xfId="2594" xr:uid="{00000000-0005-0000-0000-00009B080000}"/>
    <cellStyle name="60% - Accent5" xfId="89" xr:uid="{00000000-0005-0000-0000-00009C080000}"/>
    <cellStyle name="60% - Accent5 2" xfId="1063" xr:uid="{00000000-0005-0000-0000-00009D080000}"/>
    <cellStyle name="60% - Accent5 2 2" xfId="3602" xr:uid="{00000000-0005-0000-0000-00009E080000}"/>
    <cellStyle name="60% - Accent5 2 2 2" xfId="5214" xr:uid="{00000000-0005-0000-0000-00009F080000}"/>
    <cellStyle name="60% - Accent5 2 2 3" xfId="8586" xr:uid="{00000000-0005-0000-0000-0000A0080000}"/>
    <cellStyle name="60% - Accent5 2 3" xfId="3157" xr:uid="{00000000-0005-0000-0000-0000A1080000}"/>
    <cellStyle name="60% - Accent5 2 3 2" xfId="4809" xr:uid="{00000000-0005-0000-0000-0000A2080000}"/>
    <cellStyle name="60% - Accent5 2 3 3" xfId="8213" xr:uid="{00000000-0005-0000-0000-0000A3080000}"/>
    <cellStyle name="60% - Accent5 2 4" xfId="3939" xr:uid="{00000000-0005-0000-0000-0000A4080000}"/>
    <cellStyle name="60% - Accent5 2 5" xfId="6344" xr:uid="{00000000-0005-0000-0000-0000A5080000}"/>
    <cellStyle name="60% - Accent5 3" xfId="3158" xr:uid="{00000000-0005-0000-0000-0000A6080000}"/>
    <cellStyle name="60% - Accent5 3 2" xfId="4810" xr:uid="{00000000-0005-0000-0000-0000A7080000}"/>
    <cellStyle name="60% - Accent5 3 3" xfId="8214" xr:uid="{00000000-0005-0000-0000-0000A8080000}"/>
    <cellStyle name="60% - Accent5 4" xfId="3159" xr:uid="{00000000-0005-0000-0000-0000A9080000}"/>
    <cellStyle name="60% - Accent5 4 2" xfId="4811" xr:uid="{00000000-0005-0000-0000-0000AA080000}"/>
    <cellStyle name="60% - Accent5 4 3" xfId="8215" xr:uid="{00000000-0005-0000-0000-0000AB080000}"/>
    <cellStyle name="60% - Accent5 5" xfId="3160" xr:uid="{00000000-0005-0000-0000-0000AC080000}"/>
    <cellStyle name="60% - Accent5 5 2" xfId="4812" xr:uid="{00000000-0005-0000-0000-0000AD080000}"/>
    <cellStyle name="60% - Accent5 5 3" xfId="8216" xr:uid="{00000000-0005-0000-0000-0000AE080000}"/>
    <cellStyle name="60% - Accent5 6" xfId="3161" xr:uid="{00000000-0005-0000-0000-0000AF080000}"/>
    <cellStyle name="60% - Accent5 6 2" xfId="4813" xr:uid="{00000000-0005-0000-0000-0000B0080000}"/>
    <cellStyle name="60% - Accent5 6 3" xfId="8217" xr:uid="{00000000-0005-0000-0000-0000B1080000}"/>
    <cellStyle name="60% - Accent5 7" xfId="3938" xr:uid="{00000000-0005-0000-0000-0000B2080000}"/>
    <cellStyle name="60% - Accent5 8" xfId="7811" xr:uid="{00000000-0005-0000-0000-0000B3080000}"/>
    <cellStyle name="60% - Accent5 9" xfId="2593" xr:uid="{00000000-0005-0000-0000-0000B4080000}"/>
    <cellStyle name="60% - Accent6" xfId="90" xr:uid="{00000000-0005-0000-0000-0000B5080000}"/>
    <cellStyle name="60% - Accent6 2" xfId="1064" xr:uid="{00000000-0005-0000-0000-0000B6080000}"/>
    <cellStyle name="60% - Accent6 2 2" xfId="3606" xr:uid="{00000000-0005-0000-0000-0000B7080000}"/>
    <cellStyle name="60% - Accent6 2 2 2" xfId="5218" xr:uid="{00000000-0005-0000-0000-0000B8080000}"/>
    <cellStyle name="60% - Accent6 2 2 3" xfId="8590" xr:uid="{00000000-0005-0000-0000-0000B9080000}"/>
    <cellStyle name="60% - Accent6 2 3" xfId="3162" xr:uid="{00000000-0005-0000-0000-0000BA080000}"/>
    <cellStyle name="60% - Accent6 2 3 2" xfId="4814" xr:uid="{00000000-0005-0000-0000-0000BB080000}"/>
    <cellStyle name="60% - Accent6 2 3 3" xfId="8218" xr:uid="{00000000-0005-0000-0000-0000BC080000}"/>
    <cellStyle name="60% - Accent6 2 4" xfId="3941" xr:uid="{00000000-0005-0000-0000-0000BD080000}"/>
    <cellStyle name="60% - Accent6 2 5" xfId="6345" xr:uid="{00000000-0005-0000-0000-0000BE080000}"/>
    <cellStyle name="60% - Accent6 3" xfId="3163" xr:uid="{00000000-0005-0000-0000-0000BF080000}"/>
    <cellStyle name="60% - Accent6 3 2" xfId="4815" xr:uid="{00000000-0005-0000-0000-0000C0080000}"/>
    <cellStyle name="60% - Accent6 3 3" xfId="8219" xr:uid="{00000000-0005-0000-0000-0000C1080000}"/>
    <cellStyle name="60% - Accent6 4" xfId="3164" xr:uid="{00000000-0005-0000-0000-0000C2080000}"/>
    <cellStyle name="60% - Accent6 4 2" xfId="4816" xr:uid="{00000000-0005-0000-0000-0000C3080000}"/>
    <cellStyle name="60% - Accent6 4 3" xfId="8220" xr:uid="{00000000-0005-0000-0000-0000C4080000}"/>
    <cellStyle name="60% - Accent6 5" xfId="3165" xr:uid="{00000000-0005-0000-0000-0000C5080000}"/>
    <cellStyle name="60% - Accent6 5 2" xfId="4817" xr:uid="{00000000-0005-0000-0000-0000C6080000}"/>
    <cellStyle name="60% - Accent6 5 3" xfId="8221" xr:uid="{00000000-0005-0000-0000-0000C7080000}"/>
    <cellStyle name="60% - Accent6 6" xfId="3166" xr:uid="{00000000-0005-0000-0000-0000C8080000}"/>
    <cellStyle name="60% - Accent6 6 2" xfId="4818" xr:uid="{00000000-0005-0000-0000-0000C9080000}"/>
    <cellStyle name="60% - Accent6 6 3" xfId="8222" xr:uid="{00000000-0005-0000-0000-0000CA080000}"/>
    <cellStyle name="60% - Accent6 7" xfId="3940" xr:uid="{00000000-0005-0000-0000-0000CB080000}"/>
    <cellStyle name="60% - Accent6 8" xfId="7810" xr:uid="{00000000-0005-0000-0000-0000CC080000}"/>
    <cellStyle name="60% - Accent6 9" xfId="2592" xr:uid="{00000000-0005-0000-0000-0000CD080000}"/>
    <cellStyle name="60% - Cor1 2" xfId="91" xr:uid="{00000000-0005-0000-0000-0000CE080000}"/>
    <cellStyle name="60% - Cor1 2 2" xfId="6299" xr:uid="{00000000-0005-0000-0000-0000CF080000}"/>
    <cellStyle name="60% - Cor1 3" xfId="92" xr:uid="{00000000-0005-0000-0000-0000D0080000}"/>
    <cellStyle name="60% - Cor1 3 2" xfId="1017" xr:uid="{00000000-0005-0000-0000-0000D1080000}"/>
    <cellStyle name="60% - Cor1 4" xfId="93" xr:uid="{00000000-0005-0000-0000-0000D2080000}"/>
    <cellStyle name="60% - Cor2 2" xfId="94" xr:uid="{00000000-0005-0000-0000-0000D3080000}"/>
    <cellStyle name="60% - Cor2 2 2" xfId="6303" xr:uid="{00000000-0005-0000-0000-0000D4080000}"/>
    <cellStyle name="60% - Cor2 3" xfId="95" xr:uid="{00000000-0005-0000-0000-0000D5080000}"/>
    <cellStyle name="60% - Cor2 3 2" xfId="1021" xr:uid="{00000000-0005-0000-0000-0000D6080000}"/>
    <cellStyle name="60% - Cor2 4" xfId="96" xr:uid="{00000000-0005-0000-0000-0000D7080000}"/>
    <cellStyle name="60% - Cor3 2" xfId="97" xr:uid="{00000000-0005-0000-0000-0000D8080000}"/>
    <cellStyle name="60% - Cor3 2 2" xfId="6307" xr:uid="{00000000-0005-0000-0000-0000D9080000}"/>
    <cellStyle name="60% - Cor3 3" xfId="98" xr:uid="{00000000-0005-0000-0000-0000DA080000}"/>
    <cellStyle name="60% - Cor3 3 2" xfId="1025" xr:uid="{00000000-0005-0000-0000-0000DB080000}"/>
    <cellStyle name="60% - Cor3 4" xfId="99" xr:uid="{00000000-0005-0000-0000-0000DC080000}"/>
    <cellStyle name="60% - Cor4 2" xfId="100" xr:uid="{00000000-0005-0000-0000-0000DD080000}"/>
    <cellStyle name="60% - Cor4 2 2" xfId="6311" xr:uid="{00000000-0005-0000-0000-0000DE080000}"/>
    <cellStyle name="60% - Cor4 3" xfId="101" xr:uid="{00000000-0005-0000-0000-0000DF080000}"/>
    <cellStyle name="60% - Cor4 3 2" xfId="1029" xr:uid="{00000000-0005-0000-0000-0000E0080000}"/>
    <cellStyle name="60% - Cor4 4" xfId="102" xr:uid="{00000000-0005-0000-0000-0000E1080000}"/>
    <cellStyle name="60% - Cor5 2" xfId="103" xr:uid="{00000000-0005-0000-0000-0000E2080000}"/>
    <cellStyle name="60% - Cor5 2 2" xfId="6315" xr:uid="{00000000-0005-0000-0000-0000E3080000}"/>
    <cellStyle name="60% - Cor5 3" xfId="104" xr:uid="{00000000-0005-0000-0000-0000E4080000}"/>
    <cellStyle name="60% - Cor5 3 2" xfId="1033" xr:uid="{00000000-0005-0000-0000-0000E5080000}"/>
    <cellStyle name="60% - Cor5 4" xfId="105" xr:uid="{00000000-0005-0000-0000-0000E6080000}"/>
    <cellStyle name="60% - Cor6 2" xfId="106" xr:uid="{00000000-0005-0000-0000-0000E7080000}"/>
    <cellStyle name="60% - Cor6 2 2" xfId="6319" xr:uid="{00000000-0005-0000-0000-0000E8080000}"/>
    <cellStyle name="60% - Cor6 3" xfId="107" xr:uid="{00000000-0005-0000-0000-0000E9080000}"/>
    <cellStyle name="60% - Cor6 3 2" xfId="1037"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0" xr:uid="{00000000-0005-0000-0000-0000EE080000}"/>
    <cellStyle name="Accent1 - 20% 3" xfId="8224" xr:uid="{00000000-0005-0000-0000-0000EF080000}"/>
    <cellStyle name="Accent1 - 20% 4" xfId="3168" xr:uid="{00000000-0005-0000-0000-0000F0080000}"/>
    <cellStyle name="Accent1 - 40%" xfId="111" xr:uid="{00000000-0005-0000-0000-0000F1080000}"/>
    <cellStyle name="Accent1 - 40% 2" xfId="4821" xr:uid="{00000000-0005-0000-0000-0000F2080000}"/>
    <cellStyle name="Accent1 - 40% 3" xfId="8225" xr:uid="{00000000-0005-0000-0000-0000F3080000}"/>
    <cellStyle name="Accent1 - 40% 4" xfId="3169" xr:uid="{00000000-0005-0000-0000-0000F4080000}"/>
    <cellStyle name="Accent1 - 60%" xfId="112" xr:uid="{00000000-0005-0000-0000-0000F5080000}"/>
    <cellStyle name="Accent1 - 60% 2" xfId="4822" xr:uid="{00000000-0005-0000-0000-0000F6080000}"/>
    <cellStyle name="Accent1 - 60% 3" xfId="8226" xr:uid="{00000000-0005-0000-0000-0000F7080000}"/>
    <cellStyle name="Accent1 - 60% 4" xfId="3170" xr:uid="{00000000-0005-0000-0000-0000F8080000}"/>
    <cellStyle name="Accent1 10" xfId="3942" xr:uid="{00000000-0005-0000-0000-0000F9080000}"/>
    <cellStyle name="Accent1 11" xfId="4516" xr:uid="{00000000-0005-0000-0000-0000FA080000}"/>
    <cellStyle name="Accent1 12" xfId="4527" xr:uid="{00000000-0005-0000-0000-0000FB080000}"/>
    <cellStyle name="Accent1 13" xfId="4535" xr:uid="{00000000-0005-0000-0000-0000FC080000}"/>
    <cellStyle name="Accent1 14" xfId="4600" xr:uid="{00000000-0005-0000-0000-0000FD080000}"/>
    <cellStyle name="Accent1 15" xfId="7809" xr:uid="{00000000-0005-0000-0000-0000FE080000}"/>
    <cellStyle name="Accent1 16" xfId="6264" xr:uid="{00000000-0005-0000-0000-0000FF080000}"/>
    <cellStyle name="Accent1 17" xfId="8768" xr:uid="{00000000-0005-0000-0000-000000090000}"/>
    <cellStyle name="Accent1 18" xfId="2591" xr:uid="{00000000-0005-0000-0000-000001090000}"/>
    <cellStyle name="Accent1 2" xfId="1065" xr:uid="{00000000-0005-0000-0000-000002090000}"/>
    <cellStyle name="Accent1 2 2" xfId="3585" xr:uid="{00000000-0005-0000-0000-000003090000}"/>
    <cellStyle name="Accent1 2 2 2" xfId="5197" xr:uid="{00000000-0005-0000-0000-000004090000}"/>
    <cellStyle name="Accent1 2 2 3" xfId="8569" xr:uid="{00000000-0005-0000-0000-000005090000}"/>
    <cellStyle name="Accent1 2 3" xfId="3171" xr:uid="{00000000-0005-0000-0000-000006090000}"/>
    <cellStyle name="Accent1 2 3 2" xfId="4823" xr:uid="{00000000-0005-0000-0000-000007090000}"/>
    <cellStyle name="Accent1 2 3 3" xfId="8227" xr:uid="{00000000-0005-0000-0000-000008090000}"/>
    <cellStyle name="Accent1 2 4" xfId="3943" xr:uid="{00000000-0005-0000-0000-000009090000}"/>
    <cellStyle name="Accent1 2 5" xfId="6346" xr:uid="{00000000-0005-0000-0000-00000A090000}"/>
    <cellStyle name="Accent1 3" xfId="3172" xr:uid="{00000000-0005-0000-0000-00000B090000}"/>
    <cellStyle name="Accent1 3 2" xfId="4824" xr:uid="{00000000-0005-0000-0000-00000C090000}"/>
    <cellStyle name="Accent1 3 3" xfId="8228" xr:uid="{00000000-0005-0000-0000-00000D090000}"/>
    <cellStyle name="Accent1 4" xfId="3173" xr:uid="{00000000-0005-0000-0000-00000E090000}"/>
    <cellStyle name="Accent1 4 2" xfId="4825" xr:uid="{00000000-0005-0000-0000-00000F090000}"/>
    <cellStyle name="Accent1 4 3" xfId="8229" xr:uid="{00000000-0005-0000-0000-000010090000}"/>
    <cellStyle name="Accent1 5" xfId="3174" xr:uid="{00000000-0005-0000-0000-000011090000}"/>
    <cellStyle name="Accent1 5 2" xfId="4826" xr:uid="{00000000-0005-0000-0000-000012090000}"/>
    <cellStyle name="Accent1 5 3" xfId="8230" xr:uid="{00000000-0005-0000-0000-000013090000}"/>
    <cellStyle name="Accent1 6" xfId="3175" xr:uid="{00000000-0005-0000-0000-000014090000}"/>
    <cellStyle name="Accent1 6 2" xfId="4827" xr:uid="{00000000-0005-0000-0000-000015090000}"/>
    <cellStyle name="Accent1 6 3" xfId="8231" xr:uid="{00000000-0005-0000-0000-000016090000}"/>
    <cellStyle name="Accent1 7" xfId="3167" xr:uid="{00000000-0005-0000-0000-000017090000}"/>
    <cellStyle name="Accent1 7 2" xfId="4819" xr:uid="{00000000-0005-0000-0000-000018090000}"/>
    <cellStyle name="Accent1 7 3" xfId="8223" xr:uid="{00000000-0005-0000-0000-000019090000}"/>
    <cellStyle name="Accent1 8" xfId="3729" xr:uid="{00000000-0005-0000-0000-00001A090000}"/>
    <cellStyle name="Accent1 8 2" xfId="6131" xr:uid="{00000000-0005-0000-0000-00001B090000}"/>
    <cellStyle name="Accent1 8 3" xfId="8643" xr:uid="{00000000-0005-0000-0000-00001C090000}"/>
    <cellStyle name="Accent1 9" xfId="3763" xr:uid="{00000000-0005-0000-0000-00001D090000}"/>
    <cellStyle name="Accent1 9 2" xfId="6159" xr:uid="{00000000-0005-0000-0000-00001E090000}"/>
    <cellStyle name="Accent1 9 3" xfId="8676"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29" xr:uid="{00000000-0005-0000-0000-000023090000}"/>
    <cellStyle name="Accent2 - 20% 3" xfId="8233" xr:uid="{00000000-0005-0000-0000-000024090000}"/>
    <cellStyle name="Accent2 - 20% 4" xfId="3177" xr:uid="{00000000-0005-0000-0000-000025090000}"/>
    <cellStyle name="Accent2 - 40%" xfId="116" xr:uid="{00000000-0005-0000-0000-000026090000}"/>
    <cellStyle name="Accent2 - 40% 2" xfId="4830" xr:uid="{00000000-0005-0000-0000-000027090000}"/>
    <cellStyle name="Accent2 - 40% 3" xfId="8234" xr:uid="{00000000-0005-0000-0000-000028090000}"/>
    <cellStyle name="Accent2 - 40% 4" xfId="3178" xr:uid="{00000000-0005-0000-0000-000029090000}"/>
    <cellStyle name="Accent2 - 60%" xfId="117" xr:uid="{00000000-0005-0000-0000-00002A090000}"/>
    <cellStyle name="Accent2 - 60% 2" xfId="4831" xr:uid="{00000000-0005-0000-0000-00002B090000}"/>
    <cellStyle name="Accent2 - 60% 3" xfId="8235" xr:uid="{00000000-0005-0000-0000-00002C090000}"/>
    <cellStyle name="Accent2 - 60% 4" xfId="3179" xr:uid="{00000000-0005-0000-0000-00002D090000}"/>
    <cellStyle name="Accent2 10" xfId="3944" xr:uid="{00000000-0005-0000-0000-00002E090000}"/>
    <cellStyle name="Accent2 11" xfId="4517" xr:uid="{00000000-0005-0000-0000-00002F090000}"/>
    <cellStyle name="Accent2 12" xfId="4526" xr:uid="{00000000-0005-0000-0000-000030090000}"/>
    <cellStyle name="Accent2 13" xfId="4536" xr:uid="{00000000-0005-0000-0000-000031090000}"/>
    <cellStyle name="Accent2 14" xfId="4545" xr:uid="{00000000-0005-0000-0000-000032090000}"/>
    <cellStyle name="Accent2 15" xfId="7808" xr:uid="{00000000-0005-0000-0000-000033090000}"/>
    <cellStyle name="Accent2 16" xfId="6265" xr:uid="{00000000-0005-0000-0000-000034090000}"/>
    <cellStyle name="Accent2 17" xfId="8766" xr:uid="{00000000-0005-0000-0000-000035090000}"/>
    <cellStyle name="Accent2 18" xfId="2590" xr:uid="{00000000-0005-0000-0000-000036090000}"/>
    <cellStyle name="Accent2 2" xfId="1066" xr:uid="{00000000-0005-0000-0000-000037090000}"/>
    <cellStyle name="Accent2 2 2" xfId="3587" xr:uid="{00000000-0005-0000-0000-000038090000}"/>
    <cellStyle name="Accent2 2 2 2" xfId="5199" xr:uid="{00000000-0005-0000-0000-000039090000}"/>
    <cellStyle name="Accent2 2 2 3" xfId="8571" xr:uid="{00000000-0005-0000-0000-00003A090000}"/>
    <cellStyle name="Accent2 2 3" xfId="3180" xr:uid="{00000000-0005-0000-0000-00003B090000}"/>
    <cellStyle name="Accent2 2 3 2" xfId="4832" xr:uid="{00000000-0005-0000-0000-00003C090000}"/>
    <cellStyle name="Accent2 2 3 3" xfId="8236" xr:uid="{00000000-0005-0000-0000-00003D090000}"/>
    <cellStyle name="Accent2 2 4" xfId="3945" xr:uid="{00000000-0005-0000-0000-00003E090000}"/>
    <cellStyle name="Accent2 2 5" xfId="6347" xr:uid="{00000000-0005-0000-0000-00003F090000}"/>
    <cellStyle name="Accent2 3" xfId="3181" xr:uid="{00000000-0005-0000-0000-000040090000}"/>
    <cellStyle name="Accent2 3 2" xfId="4833" xr:uid="{00000000-0005-0000-0000-000041090000}"/>
    <cellStyle name="Accent2 3 3" xfId="8237" xr:uid="{00000000-0005-0000-0000-000042090000}"/>
    <cellStyle name="Accent2 4" xfId="3182" xr:uid="{00000000-0005-0000-0000-000043090000}"/>
    <cellStyle name="Accent2 4 2" xfId="4834" xr:uid="{00000000-0005-0000-0000-000044090000}"/>
    <cellStyle name="Accent2 4 3" xfId="8238" xr:uid="{00000000-0005-0000-0000-000045090000}"/>
    <cellStyle name="Accent2 5" xfId="3183" xr:uid="{00000000-0005-0000-0000-000046090000}"/>
    <cellStyle name="Accent2 5 2" xfId="4835" xr:uid="{00000000-0005-0000-0000-000047090000}"/>
    <cellStyle name="Accent2 5 3" xfId="8239" xr:uid="{00000000-0005-0000-0000-000048090000}"/>
    <cellStyle name="Accent2 6" xfId="3184" xr:uid="{00000000-0005-0000-0000-000049090000}"/>
    <cellStyle name="Accent2 6 2" xfId="4836" xr:uid="{00000000-0005-0000-0000-00004A090000}"/>
    <cellStyle name="Accent2 6 3" xfId="8240" xr:uid="{00000000-0005-0000-0000-00004B090000}"/>
    <cellStyle name="Accent2 7" xfId="3176" xr:uid="{00000000-0005-0000-0000-00004C090000}"/>
    <cellStyle name="Accent2 7 2" xfId="4828" xr:uid="{00000000-0005-0000-0000-00004D090000}"/>
    <cellStyle name="Accent2 7 3" xfId="8232" xr:uid="{00000000-0005-0000-0000-00004E090000}"/>
    <cellStyle name="Accent2 8" xfId="3730" xr:uid="{00000000-0005-0000-0000-00004F090000}"/>
    <cellStyle name="Accent2 8 2" xfId="6132" xr:uid="{00000000-0005-0000-0000-000050090000}"/>
    <cellStyle name="Accent2 8 3" xfId="8644" xr:uid="{00000000-0005-0000-0000-000051090000}"/>
    <cellStyle name="Accent2 9" xfId="3762" xr:uid="{00000000-0005-0000-0000-000052090000}"/>
    <cellStyle name="Accent2 9 2" xfId="6158" xr:uid="{00000000-0005-0000-0000-000053090000}"/>
    <cellStyle name="Accent2 9 3" xfId="8675"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8" xr:uid="{00000000-0005-0000-0000-000058090000}"/>
    <cellStyle name="Accent3 - 20% 3" xfId="8242" xr:uid="{00000000-0005-0000-0000-000059090000}"/>
    <cellStyle name="Accent3 - 20% 4" xfId="3186" xr:uid="{00000000-0005-0000-0000-00005A090000}"/>
    <cellStyle name="Accent3 - 40%" xfId="121" xr:uid="{00000000-0005-0000-0000-00005B090000}"/>
    <cellStyle name="Accent3 - 40% 2" xfId="4839" xr:uid="{00000000-0005-0000-0000-00005C090000}"/>
    <cellStyle name="Accent3 - 40% 3" xfId="8243" xr:uid="{00000000-0005-0000-0000-00005D090000}"/>
    <cellStyle name="Accent3 - 40% 4" xfId="3187" xr:uid="{00000000-0005-0000-0000-00005E090000}"/>
    <cellStyle name="Accent3 - 60%" xfId="122" xr:uid="{00000000-0005-0000-0000-00005F090000}"/>
    <cellStyle name="Accent3 - 60% 2" xfId="4840" xr:uid="{00000000-0005-0000-0000-000060090000}"/>
    <cellStyle name="Accent3 - 60% 3" xfId="8244" xr:uid="{00000000-0005-0000-0000-000061090000}"/>
    <cellStyle name="Accent3 - 60% 4" xfId="3188" xr:uid="{00000000-0005-0000-0000-000062090000}"/>
    <cellStyle name="Accent3 10" xfId="3946" xr:uid="{00000000-0005-0000-0000-000063090000}"/>
    <cellStyle name="Accent3 11" xfId="4518" xr:uid="{00000000-0005-0000-0000-000064090000}"/>
    <cellStyle name="Accent3 12" xfId="4525" xr:uid="{00000000-0005-0000-0000-000065090000}"/>
    <cellStyle name="Accent3 13" xfId="4537" xr:uid="{00000000-0005-0000-0000-000066090000}"/>
    <cellStyle name="Accent3 14" xfId="5147" xr:uid="{00000000-0005-0000-0000-000067090000}"/>
    <cellStyle name="Accent3 15" xfId="7807" xr:uid="{00000000-0005-0000-0000-000068090000}"/>
    <cellStyle name="Accent3 16" xfId="6266" xr:uid="{00000000-0005-0000-0000-000069090000}"/>
    <cellStyle name="Accent3 17" xfId="6272" xr:uid="{00000000-0005-0000-0000-00006A090000}"/>
    <cellStyle name="Accent3 18" xfId="2589" xr:uid="{00000000-0005-0000-0000-00006B090000}"/>
    <cellStyle name="Accent3 2" xfId="1067" xr:uid="{00000000-0005-0000-0000-00006C090000}"/>
    <cellStyle name="Accent3 2 2" xfId="3591" xr:uid="{00000000-0005-0000-0000-00006D090000}"/>
    <cellStyle name="Accent3 2 2 2" xfId="5203" xr:uid="{00000000-0005-0000-0000-00006E090000}"/>
    <cellStyle name="Accent3 2 2 3" xfId="8575" xr:uid="{00000000-0005-0000-0000-00006F090000}"/>
    <cellStyle name="Accent3 2 3" xfId="3189" xr:uid="{00000000-0005-0000-0000-000070090000}"/>
    <cellStyle name="Accent3 2 3 2" xfId="4841" xr:uid="{00000000-0005-0000-0000-000071090000}"/>
    <cellStyle name="Accent3 2 3 3" xfId="8245" xr:uid="{00000000-0005-0000-0000-000072090000}"/>
    <cellStyle name="Accent3 2 4" xfId="3947" xr:uid="{00000000-0005-0000-0000-000073090000}"/>
    <cellStyle name="Accent3 2 5" xfId="6348" xr:uid="{00000000-0005-0000-0000-000074090000}"/>
    <cellStyle name="Accent3 3" xfId="3190" xr:uid="{00000000-0005-0000-0000-000075090000}"/>
    <cellStyle name="Accent3 3 2" xfId="4842" xr:uid="{00000000-0005-0000-0000-000076090000}"/>
    <cellStyle name="Accent3 3 3" xfId="8246" xr:uid="{00000000-0005-0000-0000-000077090000}"/>
    <cellStyle name="Accent3 4" xfId="3191" xr:uid="{00000000-0005-0000-0000-000078090000}"/>
    <cellStyle name="Accent3 4 2" xfId="4843" xr:uid="{00000000-0005-0000-0000-000079090000}"/>
    <cellStyle name="Accent3 4 3" xfId="8247" xr:uid="{00000000-0005-0000-0000-00007A090000}"/>
    <cellStyle name="Accent3 5" xfId="3192" xr:uid="{00000000-0005-0000-0000-00007B090000}"/>
    <cellStyle name="Accent3 5 2" xfId="4844" xr:uid="{00000000-0005-0000-0000-00007C090000}"/>
    <cellStyle name="Accent3 5 3" xfId="8248" xr:uid="{00000000-0005-0000-0000-00007D090000}"/>
    <cellStyle name="Accent3 6" xfId="3193" xr:uid="{00000000-0005-0000-0000-00007E090000}"/>
    <cellStyle name="Accent3 6 2" xfId="4845" xr:uid="{00000000-0005-0000-0000-00007F090000}"/>
    <cellStyle name="Accent3 6 3" xfId="8249" xr:uid="{00000000-0005-0000-0000-000080090000}"/>
    <cellStyle name="Accent3 7" xfId="3185" xr:uid="{00000000-0005-0000-0000-000081090000}"/>
    <cellStyle name="Accent3 7 2" xfId="4837" xr:uid="{00000000-0005-0000-0000-000082090000}"/>
    <cellStyle name="Accent3 7 3" xfId="8241" xr:uid="{00000000-0005-0000-0000-000083090000}"/>
    <cellStyle name="Accent3 8" xfId="3731" xr:uid="{00000000-0005-0000-0000-000084090000}"/>
    <cellStyle name="Accent3 8 2" xfId="6133" xr:uid="{00000000-0005-0000-0000-000085090000}"/>
    <cellStyle name="Accent3 8 3" xfId="8645" xr:uid="{00000000-0005-0000-0000-000086090000}"/>
    <cellStyle name="Accent3 9" xfId="3761" xr:uid="{00000000-0005-0000-0000-000087090000}"/>
    <cellStyle name="Accent3 9 2" xfId="6157" xr:uid="{00000000-0005-0000-0000-000088090000}"/>
    <cellStyle name="Accent3 9 3" xfId="8674"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7" xr:uid="{00000000-0005-0000-0000-00008D090000}"/>
    <cellStyle name="Accent4 - 20% 3" xfId="8251" xr:uid="{00000000-0005-0000-0000-00008E090000}"/>
    <cellStyle name="Accent4 - 20% 4" xfId="3195" xr:uid="{00000000-0005-0000-0000-00008F090000}"/>
    <cellStyle name="Accent4 - 40%" xfId="126" xr:uid="{00000000-0005-0000-0000-000090090000}"/>
    <cellStyle name="Accent4 - 40% 2" xfId="4848" xr:uid="{00000000-0005-0000-0000-000091090000}"/>
    <cellStyle name="Accent4 - 40% 3" xfId="8252" xr:uid="{00000000-0005-0000-0000-000092090000}"/>
    <cellStyle name="Accent4 - 40% 4" xfId="3196" xr:uid="{00000000-0005-0000-0000-000093090000}"/>
    <cellStyle name="Accent4 - 60%" xfId="127" xr:uid="{00000000-0005-0000-0000-000094090000}"/>
    <cellStyle name="Accent4 - 60% 2" xfId="4849" xr:uid="{00000000-0005-0000-0000-000095090000}"/>
    <cellStyle name="Accent4 - 60% 3" xfId="8253" xr:uid="{00000000-0005-0000-0000-000096090000}"/>
    <cellStyle name="Accent4 - 60% 4" xfId="3197" xr:uid="{00000000-0005-0000-0000-000097090000}"/>
    <cellStyle name="Accent4 10" xfId="3948" xr:uid="{00000000-0005-0000-0000-000098090000}"/>
    <cellStyle name="Accent4 11" xfId="4519" xr:uid="{00000000-0005-0000-0000-000099090000}"/>
    <cellStyle name="Accent4 12" xfId="4524" xr:uid="{00000000-0005-0000-0000-00009A090000}"/>
    <cellStyle name="Accent4 13" xfId="4538" xr:uid="{00000000-0005-0000-0000-00009B090000}"/>
    <cellStyle name="Accent4 14" xfId="4601" xr:uid="{00000000-0005-0000-0000-00009C090000}"/>
    <cellStyle name="Accent4 15" xfId="7806" xr:uid="{00000000-0005-0000-0000-00009D090000}"/>
    <cellStyle name="Accent4 16" xfId="6267" xr:uid="{00000000-0005-0000-0000-00009E090000}"/>
    <cellStyle name="Accent4 17" xfId="8765" xr:uid="{00000000-0005-0000-0000-00009F090000}"/>
    <cellStyle name="Accent4 18" xfId="2588" xr:uid="{00000000-0005-0000-0000-0000A0090000}"/>
    <cellStyle name="Accent4 2" xfId="1068" xr:uid="{00000000-0005-0000-0000-0000A1090000}"/>
    <cellStyle name="Accent4 2 2" xfId="3595" xr:uid="{00000000-0005-0000-0000-0000A2090000}"/>
    <cellStyle name="Accent4 2 2 2" xfId="5207" xr:uid="{00000000-0005-0000-0000-0000A3090000}"/>
    <cellStyle name="Accent4 2 2 3" xfId="8579" xr:uid="{00000000-0005-0000-0000-0000A4090000}"/>
    <cellStyle name="Accent4 2 3" xfId="3198" xr:uid="{00000000-0005-0000-0000-0000A5090000}"/>
    <cellStyle name="Accent4 2 3 2" xfId="4850" xr:uid="{00000000-0005-0000-0000-0000A6090000}"/>
    <cellStyle name="Accent4 2 3 3" xfId="8254" xr:uid="{00000000-0005-0000-0000-0000A7090000}"/>
    <cellStyle name="Accent4 2 4" xfId="3949" xr:uid="{00000000-0005-0000-0000-0000A8090000}"/>
    <cellStyle name="Accent4 2 5" xfId="6349" xr:uid="{00000000-0005-0000-0000-0000A9090000}"/>
    <cellStyle name="Accent4 3" xfId="3199" xr:uid="{00000000-0005-0000-0000-0000AA090000}"/>
    <cellStyle name="Accent4 3 2" xfId="4851" xr:uid="{00000000-0005-0000-0000-0000AB090000}"/>
    <cellStyle name="Accent4 3 3" xfId="8255" xr:uid="{00000000-0005-0000-0000-0000AC090000}"/>
    <cellStyle name="Accent4 4" xfId="3200" xr:uid="{00000000-0005-0000-0000-0000AD090000}"/>
    <cellStyle name="Accent4 4 2" xfId="4852" xr:uid="{00000000-0005-0000-0000-0000AE090000}"/>
    <cellStyle name="Accent4 4 3" xfId="8256" xr:uid="{00000000-0005-0000-0000-0000AF090000}"/>
    <cellStyle name="Accent4 5" xfId="3201" xr:uid="{00000000-0005-0000-0000-0000B0090000}"/>
    <cellStyle name="Accent4 5 2" xfId="4853" xr:uid="{00000000-0005-0000-0000-0000B1090000}"/>
    <cellStyle name="Accent4 5 3" xfId="8257" xr:uid="{00000000-0005-0000-0000-0000B2090000}"/>
    <cellStyle name="Accent4 6" xfId="3202" xr:uid="{00000000-0005-0000-0000-0000B3090000}"/>
    <cellStyle name="Accent4 6 2" xfId="4854" xr:uid="{00000000-0005-0000-0000-0000B4090000}"/>
    <cellStyle name="Accent4 6 3" xfId="8258" xr:uid="{00000000-0005-0000-0000-0000B5090000}"/>
    <cellStyle name="Accent4 7" xfId="3194" xr:uid="{00000000-0005-0000-0000-0000B6090000}"/>
    <cellStyle name="Accent4 7 2" xfId="4846" xr:uid="{00000000-0005-0000-0000-0000B7090000}"/>
    <cellStyle name="Accent4 7 3" xfId="8250" xr:uid="{00000000-0005-0000-0000-0000B8090000}"/>
    <cellStyle name="Accent4 8" xfId="3734" xr:uid="{00000000-0005-0000-0000-0000B9090000}"/>
    <cellStyle name="Accent4 8 2" xfId="6135" xr:uid="{00000000-0005-0000-0000-0000BA090000}"/>
    <cellStyle name="Accent4 8 3" xfId="8648" xr:uid="{00000000-0005-0000-0000-0000BB090000}"/>
    <cellStyle name="Accent4 9" xfId="3760" xr:uid="{00000000-0005-0000-0000-0000BC090000}"/>
    <cellStyle name="Accent4 9 2" xfId="6156" xr:uid="{00000000-0005-0000-0000-0000BD090000}"/>
    <cellStyle name="Accent4 9 3" xfId="8673"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6" xr:uid="{00000000-0005-0000-0000-0000C2090000}"/>
    <cellStyle name="Accent5 - 20% 3" xfId="8260" xr:uid="{00000000-0005-0000-0000-0000C3090000}"/>
    <cellStyle name="Accent5 - 20% 4" xfId="3204" xr:uid="{00000000-0005-0000-0000-0000C4090000}"/>
    <cellStyle name="Accent5 - 40%" xfId="131" xr:uid="{00000000-0005-0000-0000-0000C5090000}"/>
    <cellStyle name="Accent5 - 40% 2" xfId="4857" xr:uid="{00000000-0005-0000-0000-0000C6090000}"/>
    <cellStyle name="Accent5 - 40% 3" xfId="8261" xr:uid="{00000000-0005-0000-0000-0000C7090000}"/>
    <cellStyle name="Accent5 - 40% 4" xfId="3205" xr:uid="{00000000-0005-0000-0000-0000C8090000}"/>
    <cellStyle name="Accent5 - 60%" xfId="132" xr:uid="{00000000-0005-0000-0000-0000C9090000}"/>
    <cellStyle name="Accent5 - 60% 2" xfId="4858" xr:uid="{00000000-0005-0000-0000-0000CA090000}"/>
    <cellStyle name="Accent5 - 60% 3" xfId="8262" xr:uid="{00000000-0005-0000-0000-0000CB090000}"/>
    <cellStyle name="Accent5 - 60% 4" xfId="3206" xr:uid="{00000000-0005-0000-0000-0000CC090000}"/>
    <cellStyle name="Accent5 10" xfId="3950" xr:uid="{00000000-0005-0000-0000-0000CD090000}"/>
    <cellStyle name="Accent5 11" xfId="4520" xr:uid="{00000000-0005-0000-0000-0000CE090000}"/>
    <cellStyle name="Accent5 12" xfId="4523" xr:uid="{00000000-0005-0000-0000-0000CF090000}"/>
    <cellStyle name="Accent5 13" xfId="4539" xr:uid="{00000000-0005-0000-0000-0000D0090000}"/>
    <cellStyle name="Accent5 14" xfId="4684" xr:uid="{00000000-0005-0000-0000-0000D1090000}"/>
    <cellStyle name="Accent5 15" xfId="7805" xr:uid="{00000000-0005-0000-0000-0000D2090000}"/>
    <cellStyle name="Accent5 16" xfId="6268" xr:uid="{00000000-0005-0000-0000-0000D3090000}"/>
    <cellStyle name="Accent5 17" xfId="6271" xr:uid="{00000000-0005-0000-0000-0000D4090000}"/>
    <cellStyle name="Accent5 18" xfId="2587" xr:uid="{00000000-0005-0000-0000-0000D5090000}"/>
    <cellStyle name="Accent5 2" xfId="1069" xr:uid="{00000000-0005-0000-0000-0000D6090000}"/>
    <cellStyle name="Accent5 2 2" xfId="3599" xr:uid="{00000000-0005-0000-0000-0000D7090000}"/>
    <cellStyle name="Accent5 2 2 2" xfId="5211" xr:uid="{00000000-0005-0000-0000-0000D8090000}"/>
    <cellStyle name="Accent5 2 2 3" xfId="8583" xr:uid="{00000000-0005-0000-0000-0000D9090000}"/>
    <cellStyle name="Accent5 2 3" xfId="3207" xr:uid="{00000000-0005-0000-0000-0000DA090000}"/>
    <cellStyle name="Accent5 2 3 2" xfId="4859" xr:uid="{00000000-0005-0000-0000-0000DB090000}"/>
    <cellStyle name="Accent5 2 3 3" xfId="8263" xr:uid="{00000000-0005-0000-0000-0000DC090000}"/>
    <cellStyle name="Accent5 2 4" xfId="3951" xr:uid="{00000000-0005-0000-0000-0000DD090000}"/>
    <cellStyle name="Accent5 2 5" xfId="6350" xr:uid="{00000000-0005-0000-0000-0000DE090000}"/>
    <cellStyle name="Accent5 3" xfId="3208" xr:uid="{00000000-0005-0000-0000-0000DF090000}"/>
    <cellStyle name="Accent5 3 2" xfId="4860" xr:uid="{00000000-0005-0000-0000-0000E0090000}"/>
    <cellStyle name="Accent5 3 3" xfId="8264" xr:uid="{00000000-0005-0000-0000-0000E1090000}"/>
    <cellStyle name="Accent5 4" xfId="3209" xr:uid="{00000000-0005-0000-0000-0000E2090000}"/>
    <cellStyle name="Accent5 4 2" xfId="4861" xr:uid="{00000000-0005-0000-0000-0000E3090000}"/>
    <cellStyle name="Accent5 4 3" xfId="8265" xr:uid="{00000000-0005-0000-0000-0000E4090000}"/>
    <cellStyle name="Accent5 5" xfId="3210" xr:uid="{00000000-0005-0000-0000-0000E5090000}"/>
    <cellStyle name="Accent5 5 2" xfId="4862" xr:uid="{00000000-0005-0000-0000-0000E6090000}"/>
    <cellStyle name="Accent5 5 3" xfId="8266" xr:uid="{00000000-0005-0000-0000-0000E7090000}"/>
    <cellStyle name="Accent5 6" xfId="3211" xr:uid="{00000000-0005-0000-0000-0000E8090000}"/>
    <cellStyle name="Accent5 6 2" xfId="4863" xr:uid="{00000000-0005-0000-0000-0000E9090000}"/>
    <cellStyle name="Accent5 6 3" xfId="8267" xr:uid="{00000000-0005-0000-0000-0000EA090000}"/>
    <cellStyle name="Accent5 7" xfId="3203" xr:uid="{00000000-0005-0000-0000-0000EB090000}"/>
    <cellStyle name="Accent5 7 2" xfId="4855" xr:uid="{00000000-0005-0000-0000-0000EC090000}"/>
    <cellStyle name="Accent5 7 3" xfId="8259" xr:uid="{00000000-0005-0000-0000-0000ED090000}"/>
    <cellStyle name="Accent5 8" xfId="3737" xr:uid="{00000000-0005-0000-0000-0000EE090000}"/>
    <cellStyle name="Accent5 8 2" xfId="6138" xr:uid="{00000000-0005-0000-0000-0000EF090000}"/>
    <cellStyle name="Accent5 8 3" xfId="8651" xr:uid="{00000000-0005-0000-0000-0000F0090000}"/>
    <cellStyle name="Accent5 9" xfId="3759" xr:uid="{00000000-0005-0000-0000-0000F1090000}"/>
    <cellStyle name="Accent5 9 2" xfId="6155" xr:uid="{00000000-0005-0000-0000-0000F2090000}"/>
    <cellStyle name="Accent5 9 3" xfId="8672"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5" xr:uid="{00000000-0005-0000-0000-0000F7090000}"/>
    <cellStyle name="Accent6 - 20% 3" xfId="8269" xr:uid="{00000000-0005-0000-0000-0000F8090000}"/>
    <cellStyle name="Accent6 - 20% 4" xfId="3213" xr:uid="{00000000-0005-0000-0000-0000F9090000}"/>
    <cellStyle name="Accent6 - 40%" xfId="136" xr:uid="{00000000-0005-0000-0000-0000FA090000}"/>
    <cellStyle name="Accent6 - 40% 2" xfId="4866" xr:uid="{00000000-0005-0000-0000-0000FB090000}"/>
    <cellStyle name="Accent6 - 40% 3" xfId="8270" xr:uid="{00000000-0005-0000-0000-0000FC090000}"/>
    <cellStyle name="Accent6 - 40% 4" xfId="3214" xr:uid="{00000000-0005-0000-0000-0000FD090000}"/>
    <cellStyle name="Accent6 - 60%" xfId="137" xr:uid="{00000000-0005-0000-0000-0000FE090000}"/>
    <cellStyle name="Accent6 - 60% 2" xfId="4867" xr:uid="{00000000-0005-0000-0000-0000FF090000}"/>
    <cellStyle name="Accent6 - 60% 3" xfId="8271" xr:uid="{00000000-0005-0000-0000-0000000A0000}"/>
    <cellStyle name="Accent6 - 60% 4" xfId="3215" xr:uid="{00000000-0005-0000-0000-0000010A0000}"/>
    <cellStyle name="Accent6 10" xfId="3952" xr:uid="{00000000-0005-0000-0000-0000020A0000}"/>
    <cellStyle name="Accent6 11" xfId="4521" xr:uid="{00000000-0005-0000-0000-0000030A0000}"/>
    <cellStyle name="Accent6 12" xfId="4522" xr:uid="{00000000-0005-0000-0000-0000040A0000}"/>
    <cellStyle name="Accent6 13" xfId="4540" xr:uid="{00000000-0005-0000-0000-0000050A0000}"/>
    <cellStyle name="Accent6 14" xfId="4546" xr:uid="{00000000-0005-0000-0000-0000060A0000}"/>
    <cellStyle name="Accent6 15" xfId="7804" xr:uid="{00000000-0005-0000-0000-0000070A0000}"/>
    <cellStyle name="Accent6 16" xfId="6269" xr:uid="{00000000-0005-0000-0000-0000080A0000}"/>
    <cellStyle name="Accent6 17" xfId="8764" xr:uid="{00000000-0005-0000-0000-0000090A0000}"/>
    <cellStyle name="Accent6 18" xfId="2586" xr:uid="{00000000-0005-0000-0000-00000A0A0000}"/>
    <cellStyle name="Accent6 2" xfId="1070" xr:uid="{00000000-0005-0000-0000-00000B0A0000}"/>
    <cellStyle name="Accent6 2 2" xfId="3603" xr:uid="{00000000-0005-0000-0000-00000C0A0000}"/>
    <cellStyle name="Accent6 2 2 2" xfId="5215" xr:uid="{00000000-0005-0000-0000-00000D0A0000}"/>
    <cellStyle name="Accent6 2 2 3" xfId="8587" xr:uid="{00000000-0005-0000-0000-00000E0A0000}"/>
    <cellStyle name="Accent6 2 3" xfId="3216" xr:uid="{00000000-0005-0000-0000-00000F0A0000}"/>
    <cellStyle name="Accent6 2 3 2" xfId="4868" xr:uid="{00000000-0005-0000-0000-0000100A0000}"/>
    <cellStyle name="Accent6 2 3 3" xfId="8272" xr:uid="{00000000-0005-0000-0000-0000110A0000}"/>
    <cellStyle name="Accent6 2 4" xfId="3953" xr:uid="{00000000-0005-0000-0000-0000120A0000}"/>
    <cellStyle name="Accent6 2 5" xfId="6351" xr:uid="{00000000-0005-0000-0000-0000130A0000}"/>
    <cellStyle name="Accent6 3" xfId="3217" xr:uid="{00000000-0005-0000-0000-0000140A0000}"/>
    <cellStyle name="Accent6 3 2" xfId="4869" xr:uid="{00000000-0005-0000-0000-0000150A0000}"/>
    <cellStyle name="Accent6 3 3" xfId="8273" xr:uid="{00000000-0005-0000-0000-0000160A0000}"/>
    <cellStyle name="Accent6 4" xfId="3218" xr:uid="{00000000-0005-0000-0000-0000170A0000}"/>
    <cellStyle name="Accent6 4 2" xfId="4870" xr:uid="{00000000-0005-0000-0000-0000180A0000}"/>
    <cellStyle name="Accent6 4 3" xfId="8274" xr:uid="{00000000-0005-0000-0000-0000190A0000}"/>
    <cellStyle name="Accent6 5" xfId="3219" xr:uid="{00000000-0005-0000-0000-00001A0A0000}"/>
    <cellStyle name="Accent6 5 2" xfId="4871" xr:uid="{00000000-0005-0000-0000-00001B0A0000}"/>
    <cellStyle name="Accent6 5 3" xfId="8275" xr:uid="{00000000-0005-0000-0000-00001C0A0000}"/>
    <cellStyle name="Accent6 6" xfId="3220" xr:uid="{00000000-0005-0000-0000-00001D0A0000}"/>
    <cellStyle name="Accent6 6 2" xfId="4872" xr:uid="{00000000-0005-0000-0000-00001E0A0000}"/>
    <cellStyle name="Accent6 6 3" xfId="8276" xr:uid="{00000000-0005-0000-0000-00001F0A0000}"/>
    <cellStyle name="Accent6 7" xfId="3212" xr:uid="{00000000-0005-0000-0000-0000200A0000}"/>
    <cellStyle name="Accent6 7 2" xfId="4864" xr:uid="{00000000-0005-0000-0000-0000210A0000}"/>
    <cellStyle name="Accent6 7 3" xfId="8268" xr:uid="{00000000-0005-0000-0000-0000220A0000}"/>
    <cellStyle name="Accent6 8" xfId="3738" xr:uid="{00000000-0005-0000-0000-0000230A0000}"/>
    <cellStyle name="Accent6 8 2" xfId="6139" xr:uid="{00000000-0005-0000-0000-0000240A0000}"/>
    <cellStyle name="Accent6 8 3" xfId="8652" xr:uid="{00000000-0005-0000-0000-0000250A0000}"/>
    <cellStyle name="Accent6 9" xfId="3757" xr:uid="{00000000-0005-0000-0000-0000260A0000}"/>
    <cellStyle name="Accent6 9 2" xfId="6153" xr:uid="{00000000-0005-0000-0000-0000270A0000}"/>
    <cellStyle name="Accent6 9 3" xfId="8670" xr:uid="{00000000-0005-0000-0000-0000280A0000}"/>
    <cellStyle name="Accent6_Saldos" xfId="138" xr:uid="{00000000-0005-0000-0000-0000290A0000}"/>
    <cellStyle name="Annotations Cell - PerformancePoint" xfId="8774" xr:uid="{00000000-0005-0000-0000-00002A0A0000}"/>
    <cellStyle name="Anos" xfId="139" xr:uid="{00000000-0005-0000-0000-00002B0A0000}"/>
    <cellStyle name="Bad" xfId="140" xr:uid="{00000000-0005-0000-0000-00002C0A0000}"/>
    <cellStyle name="Bad 10" xfId="7803" xr:uid="{00000000-0005-0000-0000-00002D0A0000}"/>
    <cellStyle name="Bad 11" xfId="2585" xr:uid="{00000000-0005-0000-0000-00002E0A0000}"/>
    <cellStyle name="Bad 2" xfId="1071" xr:uid="{00000000-0005-0000-0000-00002F0A0000}"/>
    <cellStyle name="Bad 2 2" xfId="3575" xr:uid="{00000000-0005-0000-0000-0000300A0000}"/>
    <cellStyle name="Bad 2 2 2" xfId="5187" xr:uid="{00000000-0005-0000-0000-0000310A0000}"/>
    <cellStyle name="Bad 2 2 3" xfId="8559" xr:uid="{00000000-0005-0000-0000-0000320A0000}"/>
    <cellStyle name="Bad 2 3" xfId="3222" xr:uid="{00000000-0005-0000-0000-0000330A0000}"/>
    <cellStyle name="Bad 2 3 2" xfId="4874" xr:uid="{00000000-0005-0000-0000-0000340A0000}"/>
    <cellStyle name="Bad 2 3 3" xfId="8278" xr:uid="{00000000-0005-0000-0000-0000350A0000}"/>
    <cellStyle name="Bad 2 4" xfId="3955" xr:uid="{00000000-0005-0000-0000-0000360A0000}"/>
    <cellStyle name="Bad 2 5" xfId="6352" xr:uid="{00000000-0005-0000-0000-0000370A0000}"/>
    <cellStyle name="Bad 3" xfId="3223" xr:uid="{00000000-0005-0000-0000-0000380A0000}"/>
    <cellStyle name="Bad 3 2" xfId="4875" xr:uid="{00000000-0005-0000-0000-0000390A0000}"/>
    <cellStyle name="Bad 3 3" xfId="8279" xr:uid="{00000000-0005-0000-0000-00003A0A0000}"/>
    <cellStyle name="Bad 4" xfId="3224" xr:uid="{00000000-0005-0000-0000-00003B0A0000}"/>
    <cellStyle name="Bad 4 2" xfId="4876" xr:uid="{00000000-0005-0000-0000-00003C0A0000}"/>
    <cellStyle name="Bad 4 3" xfId="8280" xr:uid="{00000000-0005-0000-0000-00003D0A0000}"/>
    <cellStyle name="Bad 5" xfId="3225" xr:uid="{00000000-0005-0000-0000-00003E0A0000}"/>
    <cellStyle name="Bad 5 2" xfId="4877" xr:uid="{00000000-0005-0000-0000-00003F0A0000}"/>
    <cellStyle name="Bad 5 3" xfId="8281" xr:uid="{00000000-0005-0000-0000-0000400A0000}"/>
    <cellStyle name="Bad 6" xfId="3226" xr:uid="{00000000-0005-0000-0000-0000410A0000}"/>
    <cellStyle name="Bad 6 2" xfId="4878" xr:uid="{00000000-0005-0000-0000-0000420A0000}"/>
    <cellStyle name="Bad 6 3" xfId="8282" xr:uid="{00000000-0005-0000-0000-0000430A0000}"/>
    <cellStyle name="Bad 7" xfId="3227" xr:uid="{00000000-0005-0000-0000-0000440A0000}"/>
    <cellStyle name="Bad 7 2" xfId="4879" xr:uid="{00000000-0005-0000-0000-0000450A0000}"/>
    <cellStyle name="Bad 7 3" xfId="8283" xr:uid="{00000000-0005-0000-0000-0000460A0000}"/>
    <cellStyle name="Bad 8" xfId="3221" xr:uid="{00000000-0005-0000-0000-0000470A0000}"/>
    <cellStyle name="Bad 8 2" xfId="4873" xr:uid="{00000000-0005-0000-0000-0000480A0000}"/>
    <cellStyle name="Bad 8 3" xfId="8277" xr:uid="{00000000-0005-0000-0000-0000490A0000}"/>
    <cellStyle name="Bad 9" xfId="3954" xr:uid="{00000000-0005-0000-0000-00004A0A0000}"/>
    <cellStyle name="CABECALHO" xfId="3228"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29" xr:uid="{00000000-0005-0000-0000-0000540A0000}"/>
    <cellStyle name="Cabeçalho 1 2 2" xfId="149" xr:uid="{00000000-0005-0000-0000-0000550A0000}"/>
    <cellStyle name="Cabeçalho 1 2 2 2" xfId="3956" xr:uid="{00000000-0005-0000-0000-0000560A0000}"/>
    <cellStyle name="Cabeçalho 1 2 3" xfId="150" xr:uid="{00000000-0005-0000-0000-0000570A0000}"/>
    <cellStyle name="Cabeçalho 1 2 3 2" xfId="7369"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6" xr:uid="{00000000-0005-0000-0000-0000600A0000}"/>
    <cellStyle name="Cabeçalho 1 4" xfId="158" xr:uid="{00000000-0005-0000-0000-0000610A0000}"/>
    <cellStyle name="Cabeçalho 1 4 2" xfId="6280" xr:uid="{00000000-0005-0000-0000-0000620A0000}"/>
    <cellStyle name="Cabeçalho 1 5" xfId="159" xr:uid="{00000000-0005-0000-0000-0000630A0000}"/>
    <cellStyle name="Cabeçalho 1 5 2" xfId="998"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29" xr:uid="{00000000-0005-0000-0000-0000690A0000}"/>
    <cellStyle name="Cabeçalho 2 10" xfId="164" xr:uid="{00000000-0005-0000-0000-00006A0A0000}"/>
    <cellStyle name="Cabeçalho 2 11" xfId="165" xr:uid="{00000000-0005-0000-0000-00006B0A0000}"/>
    <cellStyle name="CABECALHO 2 2" xfId="4881"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0" xr:uid="{00000000-0005-0000-0000-0000700A0000}"/>
    <cellStyle name="Cabeçalho 2 2 2" xfId="169" xr:uid="{00000000-0005-0000-0000-0000710A0000}"/>
    <cellStyle name="Cabeçalho 2 2 2 2" xfId="3957" xr:uid="{00000000-0005-0000-0000-0000720A0000}"/>
    <cellStyle name="Cabeçalho 2 2 3" xfId="170" xr:uid="{00000000-0005-0000-0000-0000730A0000}"/>
    <cellStyle name="Cabeçalho 2 2 3 2" xfId="7370"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5" xr:uid="{00000000-0005-0000-0000-00007B0A0000}"/>
    <cellStyle name="Cabeçalho 2 3" xfId="177" xr:uid="{00000000-0005-0000-0000-00007C0A0000}"/>
    <cellStyle name="Cabeçalho 2 3 2" xfId="4717" xr:uid="{00000000-0005-0000-0000-00007D0A0000}"/>
    <cellStyle name="Cabeçalho 2 4" xfId="178" xr:uid="{00000000-0005-0000-0000-00007E0A0000}"/>
    <cellStyle name="Cabeçalho 2 4 2" xfId="6230" xr:uid="{00000000-0005-0000-0000-00007F0A0000}"/>
    <cellStyle name="Cabeçalho 2 5" xfId="179" xr:uid="{00000000-0005-0000-0000-0000800A0000}"/>
    <cellStyle name="Cabeçalho 2 5 2" xfId="6281" xr:uid="{00000000-0005-0000-0000-0000810A0000}"/>
    <cellStyle name="Cabeçalho 2 6" xfId="180" xr:uid="{00000000-0005-0000-0000-0000820A0000}"/>
    <cellStyle name="Cabeçalho 2 6 2" xfId="6270" xr:uid="{00000000-0005-0000-0000-0000830A0000}"/>
    <cellStyle name="Cabeçalho 2 7" xfId="181" xr:uid="{00000000-0005-0000-0000-0000840A0000}"/>
    <cellStyle name="Cabeçalho 2 7 2" xfId="8536" xr:uid="{00000000-0005-0000-0000-0000850A0000}"/>
    <cellStyle name="Cabeçalho 2 8" xfId="182" xr:uid="{00000000-0005-0000-0000-0000860A0000}"/>
    <cellStyle name="Cabeçalho 2 8 2" xfId="999" xr:uid="{00000000-0005-0000-0000-0000870A0000}"/>
    <cellStyle name="Cabeçalho 2 9" xfId="183" xr:uid="{00000000-0005-0000-0000-0000880A0000}"/>
    <cellStyle name="Cabeçalho 2 9 2" xfId="8868" xr:uid="{00000000-0005-0000-0000-0000890A0000}"/>
    <cellStyle name="CABECALHO 3" xfId="4880"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1" xr:uid="{00000000-0005-0000-0000-0000900A0000}"/>
    <cellStyle name="Cabeçalho 3 2 2" xfId="189" xr:uid="{00000000-0005-0000-0000-0000910A0000}"/>
    <cellStyle name="Cabeçalho 3 2 2 2" xfId="3958" xr:uid="{00000000-0005-0000-0000-0000920A0000}"/>
    <cellStyle name="Cabeçalho 3 2 3" xfId="190" xr:uid="{00000000-0005-0000-0000-0000930A0000}"/>
    <cellStyle name="Cabeçalho 3 2 3 2" xfId="7371"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8" xr:uid="{00000000-0005-0000-0000-00009C0A0000}"/>
    <cellStyle name="Cabeçalho 3 4" xfId="198" xr:uid="{00000000-0005-0000-0000-00009D0A0000}"/>
    <cellStyle name="Cabeçalho 3 4 2" xfId="6282" xr:uid="{00000000-0005-0000-0000-00009E0A0000}"/>
    <cellStyle name="Cabeçalho 3 5" xfId="199" xr:uid="{00000000-0005-0000-0000-00009F0A0000}"/>
    <cellStyle name="Cabeçalho 3 5 2" xfId="1000"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1"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2" xr:uid="{00000000-0005-0000-0000-0000AB0A0000}"/>
    <cellStyle name="Cabeçalho 4 2 2" xfId="209" xr:uid="{00000000-0005-0000-0000-0000AC0A0000}"/>
    <cellStyle name="Cabeçalho 4 2 2 2" xfId="3959" xr:uid="{00000000-0005-0000-0000-0000AD0A0000}"/>
    <cellStyle name="Cabeçalho 4 2 3" xfId="210" xr:uid="{00000000-0005-0000-0000-0000AE0A0000}"/>
    <cellStyle name="Cabeçalho 4 2 3 2" xfId="7372"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19" xr:uid="{00000000-0005-0000-0000-0000B70A0000}"/>
    <cellStyle name="Cabeçalho 4 4" xfId="218" xr:uid="{00000000-0005-0000-0000-0000B80A0000}"/>
    <cellStyle name="Cabeçalho 4 4 2" xfId="6283" xr:uid="{00000000-0005-0000-0000-0000B90A0000}"/>
    <cellStyle name="Cabeçalho 4 5" xfId="219" xr:uid="{00000000-0005-0000-0000-0000BA0A0000}"/>
    <cellStyle name="Cabeçalho 4 5 2" xfId="1001"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4" xr:uid="{00000000-0005-0000-0000-0000C00A0000}"/>
    <cellStyle name="CABECALHO 6" xfId="6273" xr:uid="{00000000-0005-0000-0000-0000C10A0000}"/>
    <cellStyle name="CABECALHO 7" xfId="8763"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0" xr:uid="{00000000-0005-0000-0000-0000CA0A0000}"/>
    <cellStyle name="Calculation 10 2" xfId="4882" xr:uid="{00000000-0005-0000-0000-0000CB0A0000}"/>
    <cellStyle name="Calculation 10 3" xfId="8286" xr:uid="{00000000-0005-0000-0000-0000CC0A0000}"/>
    <cellStyle name="Calculation 11" xfId="3960" xr:uid="{00000000-0005-0000-0000-0000CD0A0000}"/>
    <cellStyle name="Calculation 12" xfId="7802" xr:uid="{00000000-0005-0000-0000-0000CE0A0000}"/>
    <cellStyle name="Calculation 13" xfId="2584" xr:uid="{00000000-0005-0000-0000-0000CF0A0000}"/>
    <cellStyle name="Calculation 2" xfId="231" xr:uid="{00000000-0005-0000-0000-0000D00A0000}"/>
    <cellStyle name="Calculation 2 2" xfId="3232" xr:uid="{00000000-0005-0000-0000-0000D10A0000}"/>
    <cellStyle name="Calculation 2 2 2" xfId="4884" xr:uid="{00000000-0005-0000-0000-0000D20A0000}"/>
    <cellStyle name="Calculation 2 2 3" xfId="8288" xr:uid="{00000000-0005-0000-0000-0000D30A0000}"/>
    <cellStyle name="Calculation 2 3" xfId="3233" xr:uid="{00000000-0005-0000-0000-0000D40A0000}"/>
    <cellStyle name="Calculation 2 3 2" xfId="4885" xr:uid="{00000000-0005-0000-0000-0000D50A0000}"/>
    <cellStyle name="Calculation 2 3 3" xfId="8289" xr:uid="{00000000-0005-0000-0000-0000D60A0000}"/>
    <cellStyle name="Calculation 2 4" xfId="3234" xr:uid="{00000000-0005-0000-0000-0000D70A0000}"/>
    <cellStyle name="Calculation 2 4 2" xfId="4886" xr:uid="{00000000-0005-0000-0000-0000D80A0000}"/>
    <cellStyle name="Calculation 2 4 3" xfId="8290" xr:uid="{00000000-0005-0000-0000-0000D90A0000}"/>
    <cellStyle name="Calculation 2 5" xfId="3579" xr:uid="{00000000-0005-0000-0000-0000DA0A0000}"/>
    <cellStyle name="Calculation 2 5 2" xfId="5191" xr:uid="{00000000-0005-0000-0000-0000DB0A0000}"/>
    <cellStyle name="Calculation 2 5 3" xfId="8563" xr:uid="{00000000-0005-0000-0000-0000DC0A0000}"/>
    <cellStyle name="Calculation 2 6" xfId="3231" xr:uid="{00000000-0005-0000-0000-0000DD0A0000}"/>
    <cellStyle name="Calculation 2 6 2" xfId="4883" xr:uid="{00000000-0005-0000-0000-0000DE0A0000}"/>
    <cellStyle name="Calculation 2 6 3" xfId="8287" xr:uid="{00000000-0005-0000-0000-0000DF0A0000}"/>
    <cellStyle name="Calculation 2 7" xfId="3961" xr:uid="{00000000-0005-0000-0000-0000E00A0000}"/>
    <cellStyle name="Calculation 2 8" xfId="6353" xr:uid="{00000000-0005-0000-0000-0000E10A0000}"/>
    <cellStyle name="Calculation 2 9" xfId="1072" xr:uid="{00000000-0005-0000-0000-0000E20A0000}"/>
    <cellStyle name="Calculation 3" xfId="3235" xr:uid="{00000000-0005-0000-0000-0000E30A0000}"/>
    <cellStyle name="Calculation 3 2" xfId="3236" xr:uid="{00000000-0005-0000-0000-0000E40A0000}"/>
    <cellStyle name="Calculation 3 2 2" xfId="4888" xr:uid="{00000000-0005-0000-0000-0000E50A0000}"/>
    <cellStyle name="Calculation 3 2 3" xfId="8292" xr:uid="{00000000-0005-0000-0000-0000E60A0000}"/>
    <cellStyle name="Calculation 3 3" xfId="3237" xr:uid="{00000000-0005-0000-0000-0000E70A0000}"/>
    <cellStyle name="Calculation 3 3 2" xfId="4889" xr:uid="{00000000-0005-0000-0000-0000E80A0000}"/>
    <cellStyle name="Calculation 3 3 3" xfId="8293" xr:uid="{00000000-0005-0000-0000-0000E90A0000}"/>
    <cellStyle name="Calculation 3 4" xfId="3238" xr:uid="{00000000-0005-0000-0000-0000EA0A0000}"/>
    <cellStyle name="Calculation 3 4 2" xfId="4890" xr:uid="{00000000-0005-0000-0000-0000EB0A0000}"/>
    <cellStyle name="Calculation 3 4 3" xfId="8294" xr:uid="{00000000-0005-0000-0000-0000EC0A0000}"/>
    <cellStyle name="Calculation 3 5" xfId="4887" xr:uid="{00000000-0005-0000-0000-0000ED0A0000}"/>
    <cellStyle name="Calculation 3 6" xfId="8291" xr:uid="{00000000-0005-0000-0000-0000EE0A0000}"/>
    <cellStyle name="Calculation 4" xfId="3239" xr:uid="{00000000-0005-0000-0000-0000EF0A0000}"/>
    <cellStyle name="Calculation 4 2" xfId="3240" xr:uid="{00000000-0005-0000-0000-0000F00A0000}"/>
    <cellStyle name="Calculation 4 2 2" xfId="4892" xr:uid="{00000000-0005-0000-0000-0000F10A0000}"/>
    <cellStyle name="Calculation 4 2 3" xfId="8296" xr:uid="{00000000-0005-0000-0000-0000F20A0000}"/>
    <cellStyle name="Calculation 4 3" xfId="3241" xr:uid="{00000000-0005-0000-0000-0000F30A0000}"/>
    <cellStyle name="Calculation 4 3 2" xfId="4893" xr:uid="{00000000-0005-0000-0000-0000F40A0000}"/>
    <cellStyle name="Calculation 4 3 3" xfId="8297" xr:uid="{00000000-0005-0000-0000-0000F50A0000}"/>
    <cellStyle name="Calculation 4 4" xfId="3242" xr:uid="{00000000-0005-0000-0000-0000F60A0000}"/>
    <cellStyle name="Calculation 4 4 2" xfId="4894" xr:uid="{00000000-0005-0000-0000-0000F70A0000}"/>
    <cellStyle name="Calculation 4 4 3" xfId="8298" xr:uid="{00000000-0005-0000-0000-0000F80A0000}"/>
    <cellStyle name="Calculation 4 5" xfId="4891" xr:uid="{00000000-0005-0000-0000-0000F90A0000}"/>
    <cellStyle name="Calculation 4 6" xfId="8295" xr:uid="{00000000-0005-0000-0000-0000FA0A0000}"/>
    <cellStyle name="Calculation 5" xfId="3243" xr:uid="{00000000-0005-0000-0000-0000FB0A0000}"/>
    <cellStyle name="Calculation 5 2" xfId="3244" xr:uid="{00000000-0005-0000-0000-0000FC0A0000}"/>
    <cellStyle name="Calculation 5 2 2" xfId="4896" xr:uid="{00000000-0005-0000-0000-0000FD0A0000}"/>
    <cellStyle name="Calculation 5 2 3" xfId="8300" xr:uid="{00000000-0005-0000-0000-0000FE0A0000}"/>
    <cellStyle name="Calculation 5 3" xfId="3245" xr:uid="{00000000-0005-0000-0000-0000FF0A0000}"/>
    <cellStyle name="Calculation 5 3 2" xfId="4897" xr:uid="{00000000-0005-0000-0000-0000000B0000}"/>
    <cellStyle name="Calculation 5 3 3" xfId="8301" xr:uid="{00000000-0005-0000-0000-0000010B0000}"/>
    <cellStyle name="Calculation 5 4" xfId="3246" xr:uid="{00000000-0005-0000-0000-0000020B0000}"/>
    <cellStyle name="Calculation 5 4 2" xfId="4898" xr:uid="{00000000-0005-0000-0000-0000030B0000}"/>
    <cellStyle name="Calculation 5 4 3" xfId="8302" xr:uid="{00000000-0005-0000-0000-0000040B0000}"/>
    <cellStyle name="Calculation 5 5" xfId="4895" xr:uid="{00000000-0005-0000-0000-0000050B0000}"/>
    <cellStyle name="Calculation 5 6" xfId="8299" xr:uid="{00000000-0005-0000-0000-0000060B0000}"/>
    <cellStyle name="Calculation 6" xfId="3247" xr:uid="{00000000-0005-0000-0000-0000070B0000}"/>
    <cellStyle name="Calculation 6 2" xfId="3248" xr:uid="{00000000-0005-0000-0000-0000080B0000}"/>
    <cellStyle name="Calculation 6 2 2" xfId="4900" xr:uid="{00000000-0005-0000-0000-0000090B0000}"/>
    <cellStyle name="Calculation 6 2 3" xfId="8304" xr:uid="{00000000-0005-0000-0000-00000A0B0000}"/>
    <cellStyle name="Calculation 6 3" xfId="3249" xr:uid="{00000000-0005-0000-0000-00000B0B0000}"/>
    <cellStyle name="Calculation 6 3 2" xfId="4901" xr:uid="{00000000-0005-0000-0000-00000C0B0000}"/>
    <cellStyle name="Calculation 6 3 3" xfId="8305" xr:uid="{00000000-0005-0000-0000-00000D0B0000}"/>
    <cellStyle name="Calculation 6 4" xfId="3250" xr:uid="{00000000-0005-0000-0000-00000E0B0000}"/>
    <cellStyle name="Calculation 6 4 2" xfId="4902" xr:uid="{00000000-0005-0000-0000-00000F0B0000}"/>
    <cellStyle name="Calculation 6 4 3" xfId="8306" xr:uid="{00000000-0005-0000-0000-0000100B0000}"/>
    <cellStyle name="Calculation 6 5" xfId="4899" xr:uid="{00000000-0005-0000-0000-0000110B0000}"/>
    <cellStyle name="Calculation 6 6" xfId="8303" xr:uid="{00000000-0005-0000-0000-0000120B0000}"/>
    <cellStyle name="Calculation 7" xfId="3251" xr:uid="{00000000-0005-0000-0000-0000130B0000}"/>
    <cellStyle name="Calculation 7 2" xfId="4903" xr:uid="{00000000-0005-0000-0000-0000140B0000}"/>
    <cellStyle name="Calculation 7 3" xfId="8307" xr:uid="{00000000-0005-0000-0000-0000150B0000}"/>
    <cellStyle name="Calculation 8" xfId="3252" xr:uid="{00000000-0005-0000-0000-0000160B0000}"/>
    <cellStyle name="Calculation 8 2" xfId="4904" xr:uid="{00000000-0005-0000-0000-0000170B0000}"/>
    <cellStyle name="Calculation 8 3" xfId="8308" xr:uid="{00000000-0005-0000-0000-0000180B0000}"/>
    <cellStyle name="Calculation 9" xfId="3253" xr:uid="{00000000-0005-0000-0000-0000190B0000}"/>
    <cellStyle name="Calculation 9 2" xfId="4905" xr:uid="{00000000-0005-0000-0000-00001A0B0000}"/>
    <cellStyle name="Calculation 9 3" xfId="8309" xr:uid="{00000000-0005-0000-0000-00001B0B0000}"/>
    <cellStyle name="Cálculo 2" xfId="232" xr:uid="{00000000-0005-0000-0000-00001C0B0000}"/>
    <cellStyle name="Cálculo 2 2" xfId="6289" xr:uid="{00000000-0005-0000-0000-00001D0B0000}"/>
    <cellStyle name="Cálculo 3" xfId="233" xr:uid="{00000000-0005-0000-0000-00001E0B0000}"/>
    <cellStyle name="Cálculo 3 2" xfId="1007" xr:uid="{00000000-0005-0000-0000-00001F0B0000}"/>
    <cellStyle name="Cálculo 4" xfId="234" xr:uid="{00000000-0005-0000-0000-0000200B0000}"/>
    <cellStyle name="Cancel" xfId="2632" xr:uid="{00000000-0005-0000-0000-0000210B0000}"/>
    <cellStyle name="Cancel 2" xfId="3962" xr:uid="{00000000-0005-0000-0000-0000220B0000}"/>
    <cellStyle name="Cancel 3" xfId="7848"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3" xr:uid="{00000000-0005-0000-0000-0000290B0000}"/>
    <cellStyle name="Célula Ligada 2 2" xfId="240" xr:uid="{00000000-0005-0000-0000-00002A0B0000}"/>
    <cellStyle name="Célula Ligada 2 2 2" xfId="3963" xr:uid="{00000000-0005-0000-0000-00002B0B0000}"/>
    <cellStyle name="Célula Ligada 2 3" xfId="241" xr:uid="{00000000-0005-0000-0000-00002C0B0000}"/>
    <cellStyle name="Célula Ligada 2 3 2" xfId="7373"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2" xr:uid="{00000000-0005-0000-0000-0000350B0000}"/>
    <cellStyle name="Célula Ligada 4" xfId="249" xr:uid="{00000000-0005-0000-0000-0000360B0000}"/>
    <cellStyle name="Célula Ligada 4 2" xfId="6290" xr:uid="{00000000-0005-0000-0000-0000370B0000}"/>
    <cellStyle name="Célula Ligada 5" xfId="250" xr:uid="{00000000-0005-0000-0000-0000380B0000}"/>
    <cellStyle name="Célula Ligada 5 2" xfId="1008"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3" xr:uid="{00000000-0005-0000-0000-00003F0B0000}"/>
    <cellStyle name="Check Cell 2" xfId="1073" xr:uid="{00000000-0005-0000-0000-0000400B0000}"/>
    <cellStyle name="Check Cell 2 2" xfId="3581" xr:uid="{00000000-0005-0000-0000-0000410B0000}"/>
    <cellStyle name="Check Cell 2 2 2" xfId="5193" xr:uid="{00000000-0005-0000-0000-0000420B0000}"/>
    <cellStyle name="Check Cell 2 2 3" xfId="8565" xr:uid="{00000000-0005-0000-0000-0000430B0000}"/>
    <cellStyle name="Check Cell 2 3" xfId="3255" xr:uid="{00000000-0005-0000-0000-0000440B0000}"/>
    <cellStyle name="Check Cell 2 3 2" xfId="4907" xr:uid="{00000000-0005-0000-0000-0000450B0000}"/>
    <cellStyle name="Check Cell 2 3 3" xfId="8311" xr:uid="{00000000-0005-0000-0000-0000460B0000}"/>
    <cellStyle name="Check Cell 2 4" xfId="3965" xr:uid="{00000000-0005-0000-0000-0000470B0000}"/>
    <cellStyle name="Check Cell 2 5" xfId="6354" xr:uid="{00000000-0005-0000-0000-0000480B0000}"/>
    <cellStyle name="Check Cell 3" xfId="3256" xr:uid="{00000000-0005-0000-0000-0000490B0000}"/>
    <cellStyle name="Check Cell 3 2" xfId="4908" xr:uid="{00000000-0005-0000-0000-00004A0B0000}"/>
    <cellStyle name="Check Cell 3 3" xfId="8312" xr:uid="{00000000-0005-0000-0000-00004B0B0000}"/>
    <cellStyle name="Check Cell 4" xfId="3257" xr:uid="{00000000-0005-0000-0000-00004C0B0000}"/>
    <cellStyle name="Check Cell 4 2" xfId="4909" xr:uid="{00000000-0005-0000-0000-00004D0B0000}"/>
    <cellStyle name="Check Cell 4 3" xfId="8313" xr:uid="{00000000-0005-0000-0000-00004E0B0000}"/>
    <cellStyle name="Check Cell 5" xfId="3258" xr:uid="{00000000-0005-0000-0000-00004F0B0000}"/>
    <cellStyle name="Check Cell 5 2" xfId="4910" xr:uid="{00000000-0005-0000-0000-0000500B0000}"/>
    <cellStyle name="Check Cell 5 3" xfId="8314" xr:uid="{00000000-0005-0000-0000-0000510B0000}"/>
    <cellStyle name="Check Cell 6" xfId="3259" xr:uid="{00000000-0005-0000-0000-0000520B0000}"/>
    <cellStyle name="Check Cell 6 2" xfId="4911" xr:uid="{00000000-0005-0000-0000-0000530B0000}"/>
    <cellStyle name="Check Cell 6 3" xfId="8315" xr:uid="{00000000-0005-0000-0000-0000540B0000}"/>
    <cellStyle name="Check Cell 7" xfId="3254" xr:uid="{00000000-0005-0000-0000-0000550B0000}"/>
    <cellStyle name="Check Cell 7 2" xfId="4906" xr:uid="{00000000-0005-0000-0000-0000560B0000}"/>
    <cellStyle name="Check Cell 7 3" xfId="8310" xr:uid="{00000000-0005-0000-0000-0000570B0000}"/>
    <cellStyle name="Check Cell 8" xfId="3964" xr:uid="{00000000-0005-0000-0000-0000580B0000}"/>
    <cellStyle name="Check Cell 9" xfId="7801"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4" xr:uid="{00000000-0005-0000-0000-0000770B0000}"/>
    <cellStyle name="Comma 2 2" xfId="285" xr:uid="{00000000-0005-0000-0000-0000780B0000}"/>
    <cellStyle name="Comma 2 2 2" xfId="3565" xr:uid="{00000000-0005-0000-0000-0000790B0000}"/>
    <cellStyle name="Comma 2 3" xfId="286" xr:uid="{00000000-0005-0000-0000-00007A0B0000}"/>
    <cellStyle name="Comma 2 3 2" xfId="3261"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2" xr:uid="{00000000-0005-0000-0000-00008B0B0000}"/>
    <cellStyle name="Comma 4" xfId="3260"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4" xr:uid="{00000000-0005-0000-0000-0000960B0000}"/>
    <cellStyle name="Comma0 3" xfId="3265" xr:uid="{00000000-0005-0000-0000-0000970B0000}"/>
    <cellStyle name="Comma0 4" xfId="3266" xr:uid="{00000000-0005-0000-0000-0000980B0000}"/>
    <cellStyle name="Comma0 5" xfId="3263" xr:uid="{00000000-0005-0000-0000-0000990B0000}"/>
    <cellStyle name="Cor1 2" xfId="311" xr:uid="{00000000-0005-0000-0000-00009A0B0000}"/>
    <cellStyle name="Cor1 2 2" xfId="6296" xr:uid="{00000000-0005-0000-0000-00009B0B0000}"/>
    <cellStyle name="Cor1 3" xfId="312" xr:uid="{00000000-0005-0000-0000-00009C0B0000}"/>
    <cellStyle name="Cor1 3 2" xfId="1014" xr:uid="{00000000-0005-0000-0000-00009D0B0000}"/>
    <cellStyle name="Cor1 4" xfId="313" xr:uid="{00000000-0005-0000-0000-00009E0B0000}"/>
    <cellStyle name="Cor2 2" xfId="314" xr:uid="{00000000-0005-0000-0000-00009F0B0000}"/>
    <cellStyle name="Cor2 2 2" xfId="6300" xr:uid="{00000000-0005-0000-0000-0000A00B0000}"/>
    <cellStyle name="Cor2 3" xfId="315" xr:uid="{00000000-0005-0000-0000-0000A10B0000}"/>
    <cellStyle name="Cor2 3 2" xfId="1018" xr:uid="{00000000-0005-0000-0000-0000A20B0000}"/>
    <cellStyle name="Cor2 4" xfId="316" xr:uid="{00000000-0005-0000-0000-0000A30B0000}"/>
    <cellStyle name="Cor3 2" xfId="317" xr:uid="{00000000-0005-0000-0000-0000A40B0000}"/>
    <cellStyle name="Cor3 2 2" xfId="6304" xr:uid="{00000000-0005-0000-0000-0000A50B0000}"/>
    <cellStyle name="Cor3 3" xfId="318" xr:uid="{00000000-0005-0000-0000-0000A60B0000}"/>
    <cellStyle name="Cor3 3 2" xfId="1022" xr:uid="{00000000-0005-0000-0000-0000A70B0000}"/>
    <cellStyle name="Cor3 4" xfId="319" xr:uid="{00000000-0005-0000-0000-0000A80B0000}"/>
    <cellStyle name="Cor4 2" xfId="320" xr:uid="{00000000-0005-0000-0000-0000A90B0000}"/>
    <cellStyle name="Cor4 2 2" xfId="6308" xr:uid="{00000000-0005-0000-0000-0000AA0B0000}"/>
    <cellStyle name="Cor4 3" xfId="321" xr:uid="{00000000-0005-0000-0000-0000AB0B0000}"/>
    <cellStyle name="Cor4 3 2" xfId="1026" xr:uid="{00000000-0005-0000-0000-0000AC0B0000}"/>
    <cellStyle name="Cor4 4" xfId="322" xr:uid="{00000000-0005-0000-0000-0000AD0B0000}"/>
    <cellStyle name="Cor5 2" xfId="323" xr:uid="{00000000-0005-0000-0000-0000AE0B0000}"/>
    <cellStyle name="Cor5 2 2" xfId="6312" xr:uid="{00000000-0005-0000-0000-0000AF0B0000}"/>
    <cellStyle name="Cor5 3" xfId="324" xr:uid="{00000000-0005-0000-0000-0000B00B0000}"/>
    <cellStyle name="Cor5 3 2" xfId="1030" xr:uid="{00000000-0005-0000-0000-0000B10B0000}"/>
    <cellStyle name="Cor5 4" xfId="325" xr:uid="{00000000-0005-0000-0000-0000B20B0000}"/>
    <cellStyle name="Cor6 2" xfId="326" xr:uid="{00000000-0005-0000-0000-0000B30B0000}"/>
    <cellStyle name="Cor6 2 2" xfId="6316" xr:uid="{00000000-0005-0000-0000-0000B40B0000}"/>
    <cellStyle name="Cor6 3" xfId="327" xr:uid="{00000000-0005-0000-0000-0000B50B0000}"/>
    <cellStyle name="Cor6 3 2" xfId="1034"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5" xr:uid="{00000000-0005-0000-0000-0000BD0B0000}"/>
    <cellStyle name="Correcto 2 2" xfId="334" xr:uid="{00000000-0005-0000-0000-0000BE0B0000}"/>
    <cellStyle name="Correcto 2 2 2" xfId="3966" xr:uid="{00000000-0005-0000-0000-0000BF0B0000}"/>
    <cellStyle name="Correcto 2 3" xfId="335" xr:uid="{00000000-0005-0000-0000-0000C00B0000}"/>
    <cellStyle name="Correcto 2 3 2" xfId="7375"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0" xr:uid="{00000000-0005-0000-0000-0000C90B0000}"/>
    <cellStyle name="Correcto 4" xfId="343" xr:uid="{00000000-0005-0000-0000-0000CA0B0000}"/>
    <cellStyle name="Correcto 4 2" xfId="6284" xr:uid="{00000000-0005-0000-0000-0000CB0B0000}"/>
    <cellStyle name="Correcto 5" xfId="344" xr:uid="{00000000-0005-0000-0000-0000CC0B0000}"/>
    <cellStyle name="Correcto 5 2" xfId="1002"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5"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6" xr:uid="{00000000-0005-0000-0000-0000D80B0000}"/>
    <cellStyle name="Currency 2 2 2 2" xfId="8959" xr:uid="{00000000-0005-0000-0000-0000D90B0000}"/>
    <cellStyle name="Currency 2 2 2 2 2" xfId="9123" xr:uid="{00000000-0005-0000-0000-0000DA0B0000}"/>
    <cellStyle name="Currency 2 2 2 2 2 2" xfId="9496" xr:uid="{013647C1-4EA8-4483-83BC-DB9A8B2C1D47}"/>
    <cellStyle name="Currency 2 2 2 2 2 3" xfId="9832" xr:uid="{7A8A5402-2D9F-4C97-BA7E-4A2CB0486DF1}"/>
    <cellStyle name="Currency 2 2 2 2 3" xfId="9342" xr:uid="{8D6E1FE3-CA03-4F03-B93E-633CD77176F1}"/>
    <cellStyle name="Currency 2 2 2 2 4" xfId="9678" xr:uid="{604F30ED-04A0-47A1-A24D-8209D9D3266F}"/>
    <cellStyle name="Currency 2 2 2 3" xfId="9046" xr:uid="{00000000-0005-0000-0000-0000DB0B0000}"/>
    <cellStyle name="Currency 2 2 2 3 2" xfId="9419" xr:uid="{02A43607-E2F8-4792-95F2-3516A0A8C177}"/>
    <cellStyle name="Currency 2 2 2 3 3" xfId="9755" xr:uid="{8F5B17EA-E900-4AB3-94D5-AD0E43F82B09}"/>
    <cellStyle name="Currency 2 2 2 4" xfId="9264" xr:uid="{8438F584-BE26-4C74-9FCF-F17A14EFED4A}"/>
    <cellStyle name="Currency 2 2 2 5" xfId="9600" xr:uid="{9B6365A2-7E8E-4535-A716-23B342EB93F8}"/>
    <cellStyle name="Currency 2 2 3" xfId="8891" xr:uid="{00000000-0005-0000-0000-0000DC0B0000}"/>
    <cellStyle name="Currency 2 2 3 2" xfId="9055" xr:uid="{00000000-0005-0000-0000-0000DD0B0000}"/>
    <cellStyle name="Currency 2 2 3 2 2" xfId="9428" xr:uid="{C6EFA546-B47B-4390-9EB3-D8CCF4B3EFA9}"/>
    <cellStyle name="Currency 2 2 3 2 3" xfId="9764" xr:uid="{0497EE95-E485-4308-A4B2-CE7D5E3BCB6A}"/>
    <cellStyle name="Currency 2 2 3 3" xfId="9274" xr:uid="{495D20E5-23AD-4DED-B073-4B7C04566156}"/>
    <cellStyle name="Currency 2 2 3 4" xfId="9610" xr:uid="{36A05F5E-156B-4ABA-9096-A1307248EC24}"/>
    <cellStyle name="Currency 2 2 4" xfId="8980" xr:uid="{00000000-0005-0000-0000-0000DE0B0000}"/>
    <cellStyle name="Currency 2 2 4 2" xfId="9353" xr:uid="{F5528376-A0FF-4E71-BB12-4EE19A18BA2D}"/>
    <cellStyle name="Currency 2 2 4 3" xfId="9689" xr:uid="{828BEC76-FA2E-4B06-8200-122F5E7C1802}"/>
    <cellStyle name="Currency 2 2 5" xfId="2136" xr:uid="{00000000-0005-0000-0000-0000DF0B0000}"/>
    <cellStyle name="Currency 2 2 5 2" xfId="9196" xr:uid="{07B594F7-3698-433A-8EEB-191D20C067A8}"/>
    <cellStyle name="Currency 2 2 5 3" xfId="9532" xr:uid="{AAE0A185-EFCA-428B-B384-E8C758A316BE}"/>
    <cellStyle name="Currency 2 3" xfId="354" xr:uid="{00000000-0005-0000-0000-0000E00B0000}"/>
    <cellStyle name="Currency 2 3 2" xfId="8777" xr:uid="{00000000-0005-0000-0000-0000E10B0000}"/>
    <cellStyle name="Currency 2 3 2 2" xfId="8960" xr:uid="{00000000-0005-0000-0000-0000E20B0000}"/>
    <cellStyle name="Currency 2 3 2 2 2" xfId="9124" xr:uid="{00000000-0005-0000-0000-0000E30B0000}"/>
    <cellStyle name="Currency 2 3 2 2 2 2" xfId="9497" xr:uid="{A5338F2A-4806-40F0-B7B1-7E0375A2B737}"/>
    <cellStyle name="Currency 2 3 2 2 2 3" xfId="9833" xr:uid="{E571A9BB-C4D8-446E-9112-778447264CA2}"/>
    <cellStyle name="Currency 2 3 2 2 3" xfId="9343" xr:uid="{F83AEA7E-5DD7-4498-B71F-FF59858FB1A2}"/>
    <cellStyle name="Currency 2 3 2 2 4" xfId="9679" xr:uid="{234EB10A-F4C3-4367-BBF0-C7DB1EDB4248}"/>
    <cellStyle name="Currency 2 3 2 3" xfId="9047" xr:uid="{00000000-0005-0000-0000-0000E40B0000}"/>
    <cellStyle name="Currency 2 3 2 3 2" xfId="9420" xr:uid="{B5DEDDF5-8A3B-4848-9F94-85B0A41F318B}"/>
    <cellStyle name="Currency 2 3 2 3 3" xfId="9756" xr:uid="{7A446B2E-F850-4E58-B601-0B765FDE97C0}"/>
    <cellStyle name="Currency 2 3 2 4" xfId="9265" xr:uid="{D39878D1-1082-494F-A8F0-CEF05AA84531}"/>
    <cellStyle name="Currency 2 3 2 5" xfId="9601" xr:uid="{7B3A8673-297D-4A64-92E6-00075A365C49}"/>
    <cellStyle name="Currency 2 3 3" xfId="8892" xr:uid="{00000000-0005-0000-0000-0000E50B0000}"/>
    <cellStyle name="Currency 2 3 3 2" xfId="9056" xr:uid="{00000000-0005-0000-0000-0000E60B0000}"/>
    <cellStyle name="Currency 2 3 3 2 2" xfId="9429" xr:uid="{DF453108-1356-4CD8-BB6D-33C7E8033185}"/>
    <cellStyle name="Currency 2 3 3 2 3" xfId="9765" xr:uid="{D8BC0830-D567-48B0-9AF4-AA96B1B64F25}"/>
    <cellStyle name="Currency 2 3 3 3" xfId="9275" xr:uid="{A1D286D1-8381-4CF7-B1E2-343DB78D3BB5}"/>
    <cellStyle name="Currency 2 3 3 4" xfId="9611" xr:uid="{48C217A0-036D-4FF3-A5CC-4BBCEC877300}"/>
    <cellStyle name="Currency 2 3 4" xfId="8981" xr:uid="{00000000-0005-0000-0000-0000E70B0000}"/>
    <cellStyle name="Currency 2 3 4 2" xfId="9354" xr:uid="{64BD9B08-EAF7-440A-8901-A0E52E1D8A48}"/>
    <cellStyle name="Currency 2 3 4 3" xfId="9690" xr:uid="{71224236-0A12-4732-965A-F85662A8A1F9}"/>
    <cellStyle name="Currency 2 3 5" xfId="2137" xr:uid="{00000000-0005-0000-0000-0000E80B0000}"/>
    <cellStyle name="Currency 2 3 5 2" xfId="9197" xr:uid="{B96A9392-9F48-4761-AC2E-5BFF47A7BD78}"/>
    <cellStyle name="Currency 2 3 5 3" xfId="9533" xr:uid="{EE9F4C19-E843-467C-BAB3-5146AEC6F3BD}"/>
    <cellStyle name="Currency 2 4" xfId="355" xr:uid="{00000000-0005-0000-0000-0000E90B0000}"/>
    <cellStyle name="Currency 2 4 2" xfId="8893" xr:uid="{00000000-0005-0000-0000-0000EA0B0000}"/>
    <cellStyle name="Currency 2 4 2 2" xfId="9057" xr:uid="{00000000-0005-0000-0000-0000EB0B0000}"/>
    <cellStyle name="Currency 2 4 2 2 2" xfId="9430" xr:uid="{3BA3DDF3-8A9E-44E0-AA29-C7C6A01A8F1D}"/>
    <cellStyle name="Currency 2 4 2 2 3" xfId="9766" xr:uid="{A280BB1E-BEA2-44FE-8D6F-72E005C58764}"/>
    <cellStyle name="Currency 2 4 2 3" xfId="9276" xr:uid="{A8E0928F-30C3-4B42-B97A-D4109BDB2892}"/>
    <cellStyle name="Currency 2 4 2 4" xfId="9612" xr:uid="{5C97BCF6-3821-4FBF-895C-22AC4B73FD50}"/>
    <cellStyle name="Currency 2 4 3" xfId="8982" xr:uid="{00000000-0005-0000-0000-0000EC0B0000}"/>
    <cellStyle name="Currency 2 4 3 2" xfId="9355" xr:uid="{084F573D-D31F-4720-8770-343A49FAADA5}"/>
    <cellStyle name="Currency 2 4 3 3" xfId="9691" xr:uid="{F81FFCA7-3E53-46AC-A5C4-F5F0779021E8}"/>
    <cellStyle name="Currency 2 4 4" xfId="2138" xr:uid="{00000000-0005-0000-0000-0000ED0B0000}"/>
    <cellStyle name="Currency 2 4 4 2" xfId="9198" xr:uid="{BB917849-A6D3-4087-9424-1E3D35489AE5}"/>
    <cellStyle name="Currency 2 4 4 3" xfId="9534" xr:uid="{5CAB1E76-073E-4DAA-BE2D-ABD8339F58DC}"/>
    <cellStyle name="Currency 2 5" xfId="356" xr:uid="{00000000-0005-0000-0000-0000EE0B0000}"/>
    <cellStyle name="Currency 2 5 2" xfId="3268" xr:uid="{00000000-0005-0000-0000-0000EF0B0000}"/>
    <cellStyle name="Currency 2 6" xfId="357" xr:uid="{00000000-0005-0000-0000-0000F00B0000}"/>
    <cellStyle name="Currency 2 6 2" xfId="9053" xr:uid="{00000000-0005-0000-0000-0000F10B0000}"/>
    <cellStyle name="Currency 2 6 2 2" xfId="9426" xr:uid="{4EF17B4D-A177-44C7-9361-2C96A0BB2BC2}"/>
    <cellStyle name="Currency 2 6 2 3" xfId="9762" xr:uid="{B1F9CFE3-0C88-4F95-A827-B4754602A2C9}"/>
    <cellStyle name="Currency 2 6 3" xfId="8889" xr:uid="{00000000-0005-0000-0000-0000F20B0000}"/>
    <cellStyle name="Currency 2 6 3 2" xfId="9272" xr:uid="{57FE8902-E594-4014-8A4C-1A3498D61114}"/>
    <cellStyle name="Currency 2 6 3 3" xfId="9608" xr:uid="{775AFAB5-2A85-4631-8C6B-1E04FC4A3761}"/>
    <cellStyle name="Currency 2 7" xfId="358" xr:uid="{00000000-0005-0000-0000-0000F30B0000}"/>
    <cellStyle name="Currency 2 7 2" xfId="8978" xr:uid="{00000000-0005-0000-0000-0000F40B0000}"/>
    <cellStyle name="Currency 2 7 2 2" xfId="9351" xr:uid="{7A96508A-FB3E-4A97-93CF-E52A2978EAE0}"/>
    <cellStyle name="Currency 2 7 2 3" xfId="9687" xr:uid="{E0D8F348-E924-4146-811C-0A8E3502EC05}"/>
    <cellStyle name="Currency 2 8" xfId="359" xr:uid="{00000000-0005-0000-0000-0000F50B0000}"/>
    <cellStyle name="Currency 2 9" xfId="2119" xr:uid="{00000000-0005-0000-0000-0000F60B0000}"/>
    <cellStyle name="Currency 2 9 2" xfId="9194" xr:uid="{F14CD1E2-D09C-47BC-A135-CA0DBCF322F9}"/>
    <cellStyle name="Currency 2 9 3" xfId="9530" xr:uid="{9EB84501-5EA5-45E5-BA24-AF8D1F3DAA3A}"/>
    <cellStyle name="Currency 2_ON2_ListaOperacoesAprovadas SI - Apoio (30-06-2010)" xfId="3269" xr:uid="{00000000-0005-0000-0000-0000F70B0000}"/>
    <cellStyle name="Currency 3" xfId="3270" xr:uid="{00000000-0005-0000-0000-0000F80B0000}"/>
    <cellStyle name="Currency 4" xfId="3267" xr:uid="{00000000-0005-0000-0000-0000F90B0000}"/>
    <cellStyle name="Currency0" xfId="360" xr:uid="{00000000-0005-0000-0000-0000FA0B0000}"/>
    <cellStyle name="Currency0 2" xfId="3272" xr:uid="{00000000-0005-0000-0000-0000FB0B0000}"/>
    <cellStyle name="Currency0 3" xfId="3273" xr:uid="{00000000-0005-0000-0000-0000FC0B0000}"/>
    <cellStyle name="Currency0 4" xfId="3274" xr:uid="{00000000-0005-0000-0000-0000FD0B0000}"/>
    <cellStyle name="Currency0 5" xfId="3271" xr:uid="{00000000-0005-0000-0000-0000FE0B0000}"/>
    <cellStyle name="Data Cell - PerformancePoint" xfId="8778" xr:uid="{00000000-0005-0000-0000-0000FF0B0000}"/>
    <cellStyle name="Data Entry Cell - PerformancePoint" xfId="8779" xr:uid="{00000000-0005-0000-0000-0000000C0000}"/>
    <cellStyle name="DATE" xfId="361" xr:uid="{00000000-0005-0000-0000-0000010C0000}"/>
    <cellStyle name="Date [mmm-yy]" xfId="362" xr:uid="{00000000-0005-0000-0000-0000020C0000}"/>
    <cellStyle name="Date 2" xfId="3276" xr:uid="{00000000-0005-0000-0000-0000030C0000}"/>
    <cellStyle name="Date 2 2" xfId="4913" xr:uid="{00000000-0005-0000-0000-0000040C0000}"/>
    <cellStyle name="Date 2 3" xfId="8317" xr:uid="{00000000-0005-0000-0000-0000050C0000}"/>
    <cellStyle name="Date 3" xfId="3277" xr:uid="{00000000-0005-0000-0000-0000060C0000}"/>
    <cellStyle name="Date 3 2" xfId="4914" xr:uid="{00000000-0005-0000-0000-0000070C0000}"/>
    <cellStyle name="Date 3 3" xfId="8318" xr:uid="{00000000-0005-0000-0000-0000080C0000}"/>
    <cellStyle name="Date 4" xfId="3278" xr:uid="{00000000-0005-0000-0000-0000090C0000}"/>
    <cellStyle name="Date 4 2" xfId="4915" xr:uid="{00000000-0005-0000-0000-00000A0C0000}"/>
    <cellStyle name="Date 4 3" xfId="8319" xr:uid="{00000000-0005-0000-0000-00000B0C0000}"/>
    <cellStyle name="Date 5" xfId="4912" xr:uid="{00000000-0005-0000-0000-00000C0C0000}"/>
    <cellStyle name="Date 6" xfId="8316" xr:uid="{00000000-0005-0000-0000-00000D0C0000}"/>
    <cellStyle name="Date 7" xfId="3275" xr:uid="{00000000-0005-0000-0000-00000E0C0000}"/>
    <cellStyle name="DateLong" xfId="2139" xr:uid="{00000000-0005-0000-0000-00000F0C0000}"/>
    <cellStyle name="dsf" xfId="363" xr:uid="{00000000-0005-0000-0000-0000100C0000}"/>
    <cellStyle name="Emphasis 1" xfId="364" xr:uid="{00000000-0005-0000-0000-0000110C0000}"/>
    <cellStyle name="Emphasis 1 2" xfId="4916" xr:uid="{00000000-0005-0000-0000-0000120C0000}"/>
    <cellStyle name="Emphasis 1 3" xfId="8320" xr:uid="{00000000-0005-0000-0000-0000130C0000}"/>
    <cellStyle name="Emphasis 1 4" xfId="3279" xr:uid="{00000000-0005-0000-0000-0000140C0000}"/>
    <cellStyle name="Emphasis 2" xfId="365" xr:uid="{00000000-0005-0000-0000-0000150C0000}"/>
    <cellStyle name="Emphasis 2 2" xfId="4917" xr:uid="{00000000-0005-0000-0000-0000160C0000}"/>
    <cellStyle name="Emphasis 2 3" xfId="8321" xr:uid="{00000000-0005-0000-0000-0000170C0000}"/>
    <cellStyle name="Emphasis 2 4" xfId="3280" xr:uid="{00000000-0005-0000-0000-0000180C0000}"/>
    <cellStyle name="Emphasis 3" xfId="366" xr:uid="{00000000-0005-0000-0000-0000190C0000}"/>
    <cellStyle name="Emphasis 3 2" xfId="4918" xr:uid="{00000000-0005-0000-0000-00001A0C0000}"/>
    <cellStyle name="Emphasis 3 3" xfId="8322" xr:uid="{00000000-0005-0000-0000-00001B0C0000}"/>
    <cellStyle name="Emphasis 3 4" xfId="3281"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0" xr:uid="{00000000-0005-0000-0000-0000220C0000}"/>
    <cellStyle name="Entrada 2 2" xfId="372" xr:uid="{00000000-0005-0000-0000-0000230C0000}"/>
    <cellStyle name="Entrada 2 2 2" xfId="3967" xr:uid="{00000000-0005-0000-0000-0000240C0000}"/>
    <cellStyle name="Entrada 2 3" xfId="373" xr:uid="{00000000-0005-0000-0000-0000250C0000}"/>
    <cellStyle name="Entrada 2 3 2" xfId="7376"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1" xr:uid="{00000000-0005-0000-0000-00002E0C0000}"/>
    <cellStyle name="Entrada 4" xfId="381" xr:uid="{00000000-0005-0000-0000-00002F0C0000}"/>
    <cellStyle name="Entrada 4 2" xfId="6287" xr:uid="{00000000-0005-0000-0000-0000300C0000}"/>
    <cellStyle name="Entrada 5" xfId="382" xr:uid="{00000000-0005-0000-0000-0000310C0000}"/>
    <cellStyle name="Entrada 5 2" xfId="1005"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0" xr:uid="{00000000-0005-0000-0000-0000390C0000}"/>
    <cellStyle name="Estilo 1 10 3" xfId="8324" xr:uid="{00000000-0005-0000-0000-00003A0C0000}"/>
    <cellStyle name="Estilo 1 10 4" xfId="3283" xr:uid="{00000000-0005-0000-0000-00003B0C0000}"/>
    <cellStyle name="Estilo 1 11" xfId="389" xr:uid="{00000000-0005-0000-0000-00003C0C0000}"/>
    <cellStyle name="Estilo 1 11 2" xfId="4921" xr:uid="{00000000-0005-0000-0000-00003D0C0000}"/>
    <cellStyle name="Estilo 1 11 3" xfId="8325" xr:uid="{00000000-0005-0000-0000-00003E0C0000}"/>
    <cellStyle name="Estilo 1 11 4" xfId="3284" xr:uid="{00000000-0005-0000-0000-00003F0C0000}"/>
    <cellStyle name="Estilo 1 12" xfId="390" xr:uid="{00000000-0005-0000-0000-0000400C0000}"/>
    <cellStyle name="Estilo 1 12 2" xfId="4919" xr:uid="{00000000-0005-0000-0000-0000410C0000}"/>
    <cellStyle name="Estilo 1 12 3" xfId="8323" xr:uid="{00000000-0005-0000-0000-0000420C0000}"/>
    <cellStyle name="Estilo 1 12 4" xfId="3282" xr:uid="{00000000-0005-0000-0000-0000430C0000}"/>
    <cellStyle name="Estilo 1 13" xfId="3968" xr:uid="{00000000-0005-0000-0000-0000440C0000}"/>
    <cellStyle name="Estilo 1 14" xfId="7849" xr:uid="{00000000-0005-0000-0000-0000450C0000}"/>
    <cellStyle name="Estilo 1 15" xfId="2633" xr:uid="{00000000-0005-0000-0000-0000460C0000}"/>
    <cellStyle name="Estilo 1 2" xfId="391" xr:uid="{00000000-0005-0000-0000-0000470C0000}"/>
    <cellStyle name="Estilo 1 2 2" xfId="4922" xr:uid="{00000000-0005-0000-0000-0000480C0000}"/>
    <cellStyle name="Estilo 1 2 3" xfId="8326" xr:uid="{00000000-0005-0000-0000-0000490C0000}"/>
    <cellStyle name="Estilo 1 2 4" xfId="3285" xr:uid="{00000000-0005-0000-0000-00004A0C0000}"/>
    <cellStyle name="Estilo 1 3" xfId="392" xr:uid="{00000000-0005-0000-0000-00004B0C0000}"/>
    <cellStyle name="Estilo 1 3 2" xfId="4923" xr:uid="{00000000-0005-0000-0000-00004C0C0000}"/>
    <cellStyle name="Estilo 1 3 3" xfId="8327" xr:uid="{00000000-0005-0000-0000-00004D0C0000}"/>
    <cellStyle name="Estilo 1 3 4" xfId="3286" xr:uid="{00000000-0005-0000-0000-00004E0C0000}"/>
    <cellStyle name="Estilo 1 4" xfId="393" xr:uid="{00000000-0005-0000-0000-00004F0C0000}"/>
    <cellStyle name="Estilo 1 4 2" xfId="4924" xr:uid="{00000000-0005-0000-0000-0000500C0000}"/>
    <cellStyle name="Estilo 1 4 3" xfId="8328" xr:uid="{00000000-0005-0000-0000-0000510C0000}"/>
    <cellStyle name="Estilo 1 4 4" xfId="3287" xr:uid="{00000000-0005-0000-0000-0000520C0000}"/>
    <cellStyle name="Estilo 1 5" xfId="394" xr:uid="{00000000-0005-0000-0000-0000530C0000}"/>
    <cellStyle name="Estilo 1 5 2" xfId="4925" xr:uid="{00000000-0005-0000-0000-0000540C0000}"/>
    <cellStyle name="Estilo 1 5 3" xfId="8329" xr:uid="{00000000-0005-0000-0000-0000550C0000}"/>
    <cellStyle name="Estilo 1 5 4" xfId="3288" xr:uid="{00000000-0005-0000-0000-0000560C0000}"/>
    <cellStyle name="Estilo 1 6" xfId="395" xr:uid="{00000000-0005-0000-0000-0000570C0000}"/>
    <cellStyle name="Estilo 1 6 2" xfId="4926" xr:uid="{00000000-0005-0000-0000-0000580C0000}"/>
    <cellStyle name="Estilo 1 6 3" xfId="8330" xr:uid="{00000000-0005-0000-0000-0000590C0000}"/>
    <cellStyle name="Estilo 1 6 4" xfId="3289" xr:uid="{00000000-0005-0000-0000-00005A0C0000}"/>
    <cellStyle name="Estilo 1 7" xfId="396" xr:uid="{00000000-0005-0000-0000-00005B0C0000}"/>
    <cellStyle name="Estilo 1 7 2" xfId="4927" xr:uid="{00000000-0005-0000-0000-00005C0C0000}"/>
    <cellStyle name="Estilo 1 7 3" xfId="8331" xr:uid="{00000000-0005-0000-0000-00005D0C0000}"/>
    <cellStyle name="Estilo 1 7 4" xfId="3290" xr:uid="{00000000-0005-0000-0000-00005E0C0000}"/>
    <cellStyle name="Estilo 1 8" xfId="397" xr:uid="{00000000-0005-0000-0000-00005F0C0000}"/>
    <cellStyle name="Estilo 1 8 2" xfId="4928" xr:uid="{00000000-0005-0000-0000-0000600C0000}"/>
    <cellStyle name="Estilo 1 8 3" xfId="8332" xr:uid="{00000000-0005-0000-0000-0000610C0000}"/>
    <cellStyle name="Estilo 1 8 4" xfId="3291" xr:uid="{00000000-0005-0000-0000-0000620C0000}"/>
    <cellStyle name="Estilo 1 9" xfId="398" xr:uid="{00000000-0005-0000-0000-0000630C0000}"/>
    <cellStyle name="Estilo 1 9 2" xfId="4929" xr:uid="{00000000-0005-0000-0000-0000640C0000}"/>
    <cellStyle name="Estilo 1 9 3" xfId="8333" xr:uid="{00000000-0005-0000-0000-0000650C0000}"/>
    <cellStyle name="Estilo 1 9 4" xfId="3292" xr:uid="{00000000-0005-0000-0000-0000660C0000}"/>
    <cellStyle name="Estilo 1_global_PO" xfId="3293" xr:uid="{00000000-0005-0000-0000-0000670C0000}"/>
    <cellStyle name="Euro" xfId="399" xr:uid="{00000000-0005-0000-0000-0000680C0000}"/>
    <cellStyle name="Euro 10" xfId="2142" xr:uid="{00000000-0005-0000-0000-0000690C0000}"/>
    <cellStyle name="Euro 10 2" xfId="3969" xr:uid="{00000000-0005-0000-0000-00006A0C0000}"/>
    <cellStyle name="Euro 10 3" xfId="7378" xr:uid="{00000000-0005-0000-0000-00006B0C0000}"/>
    <cellStyle name="Euro 11" xfId="2143" xr:uid="{00000000-0005-0000-0000-00006C0C0000}"/>
    <cellStyle name="Euro 11 2" xfId="3970" xr:uid="{00000000-0005-0000-0000-00006D0C0000}"/>
    <cellStyle name="Euro 11 3" xfId="7379" xr:uid="{00000000-0005-0000-0000-00006E0C0000}"/>
    <cellStyle name="Euro 12" xfId="2144" xr:uid="{00000000-0005-0000-0000-00006F0C0000}"/>
    <cellStyle name="Euro 12 2" xfId="3971" xr:uid="{00000000-0005-0000-0000-0000700C0000}"/>
    <cellStyle name="Euro 12 3" xfId="7380" xr:uid="{00000000-0005-0000-0000-0000710C0000}"/>
    <cellStyle name="Euro 13" xfId="2145" xr:uid="{00000000-0005-0000-0000-0000720C0000}"/>
    <cellStyle name="Euro 13 2" xfId="3972" xr:uid="{00000000-0005-0000-0000-0000730C0000}"/>
    <cellStyle name="Euro 13 3" xfId="7381" xr:uid="{00000000-0005-0000-0000-0000740C0000}"/>
    <cellStyle name="Euro 14" xfId="2146" xr:uid="{00000000-0005-0000-0000-0000750C0000}"/>
    <cellStyle name="Euro 14 2" xfId="3973" xr:uid="{00000000-0005-0000-0000-0000760C0000}"/>
    <cellStyle name="Euro 14 3" xfId="7382" xr:uid="{00000000-0005-0000-0000-0000770C0000}"/>
    <cellStyle name="Euro 15" xfId="2147" xr:uid="{00000000-0005-0000-0000-0000780C0000}"/>
    <cellStyle name="Euro 15 2" xfId="3974" xr:uid="{00000000-0005-0000-0000-0000790C0000}"/>
    <cellStyle name="Euro 15 3" xfId="7383" xr:uid="{00000000-0005-0000-0000-00007A0C0000}"/>
    <cellStyle name="Euro 16" xfId="2148" xr:uid="{00000000-0005-0000-0000-00007B0C0000}"/>
    <cellStyle name="Euro 16 2" xfId="3975" xr:uid="{00000000-0005-0000-0000-00007C0C0000}"/>
    <cellStyle name="Euro 16 3" xfId="7384" xr:uid="{00000000-0005-0000-0000-00007D0C0000}"/>
    <cellStyle name="Euro 17" xfId="2149" xr:uid="{00000000-0005-0000-0000-00007E0C0000}"/>
    <cellStyle name="Euro 17 2" xfId="3976" xr:uid="{00000000-0005-0000-0000-00007F0C0000}"/>
    <cellStyle name="Euro 17 3" xfId="7385" xr:uid="{00000000-0005-0000-0000-0000800C0000}"/>
    <cellStyle name="Euro 18" xfId="2150" xr:uid="{00000000-0005-0000-0000-0000810C0000}"/>
    <cellStyle name="Euro 18 2" xfId="3977" xr:uid="{00000000-0005-0000-0000-0000820C0000}"/>
    <cellStyle name="Euro 18 3" xfId="7386" xr:uid="{00000000-0005-0000-0000-0000830C0000}"/>
    <cellStyle name="Euro 19" xfId="2151" xr:uid="{00000000-0005-0000-0000-0000840C0000}"/>
    <cellStyle name="Euro 19 2" xfId="3978" xr:uid="{00000000-0005-0000-0000-0000850C0000}"/>
    <cellStyle name="Euro 19 3" xfId="7387" xr:uid="{00000000-0005-0000-0000-0000860C0000}"/>
    <cellStyle name="Euro 2" xfId="400" xr:uid="{00000000-0005-0000-0000-0000870C0000}"/>
    <cellStyle name="Euro 2 10" xfId="9173" xr:uid="{78B7076C-D2CE-4EA2-933D-40AD508FDA45}"/>
    <cellStyle name="Euro 2 11" xfId="9509" xr:uid="{9C67B6BC-3C79-4C28-8B0B-FEC1CE96ECC5}"/>
    <cellStyle name="Euro 2 2" xfId="401" xr:uid="{00000000-0005-0000-0000-0000880C0000}"/>
    <cellStyle name="Euro 2 2 2" xfId="402" xr:uid="{00000000-0005-0000-0000-0000890C0000}"/>
    <cellStyle name="Euro 2 2 2 2" xfId="3615" xr:uid="{00000000-0005-0000-0000-00008A0C0000}"/>
    <cellStyle name="Euro 2 2 2 3" xfId="5240" xr:uid="{00000000-0005-0000-0000-00008B0C0000}"/>
    <cellStyle name="Euro 2 2 2 4" xfId="7389" xr:uid="{00000000-0005-0000-0000-00008C0C0000}"/>
    <cellStyle name="Euro 2 2 2 5" xfId="2153" xr:uid="{00000000-0005-0000-0000-00008D0C0000}"/>
    <cellStyle name="Euro 2 2 2 6" xfId="9175" xr:uid="{AA8062EC-4727-43EB-AC0A-86ABCF24FCD4}"/>
    <cellStyle name="Euro 2 2 2 7" xfId="9511" xr:uid="{EAD0C3FB-2AB2-478C-825E-ACAF2BB367F5}"/>
    <cellStyle name="Euro 2 2 3" xfId="3979" xr:uid="{00000000-0005-0000-0000-00008E0C0000}"/>
    <cellStyle name="Euro 2 2 4" xfId="6450" xr:uid="{00000000-0005-0000-0000-00008F0C0000}"/>
    <cellStyle name="Euro 2 2 5" xfId="1198" xr:uid="{00000000-0005-0000-0000-0000900C0000}"/>
    <cellStyle name="Euro 2 2 6" xfId="9174" xr:uid="{04D2959D-357B-4520-AAD7-B36C41E8EE50}"/>
    <cellStyle name="Euro 2 2 7" xfId="9510" xr:uid="{1B1EA88A-1A80-474D-A3AB-995E9676EB30}"/>
    <cellStyle name="Euro 2 3" xfId="403" xr:uid="{00000000-0005-0000-0000-0000910C0000}"/>
    <cellStyle name="Euro 2 3 2" xfId="2634" xr:uid="{00000000-0005-0000-0000-0000920C0000}"/>
    <cellStyle name="Euro 2 3 3" xfId="3980" xr:uid="{00000000-0005-0000-0000-0000930C0000}"/>
    <cellStyle name="Euro 2 3 4" xfId="6423" xr:uid="{00000000-0005-0000-0000-0000940C0000}"/>
    <cellStyle name="Euro 2 3 5" xfId="1170" xr:uid="{00000000-0005-0000-0000-0000950C0000}"/>
    <cellStyle name="Euro 2 4" xfId="404" xr:uid="{00000000-0005-0000-0000-0000960C0000}"/>
    <cellStyle name="Euro 2 4 2" xfId="2635" xr:uid="{00000000-0005-0000-0000-0000970C0000}"/>
    <cellStyle name="Euro 2 4 3" xfId="3981" xr:uid="{00000000-0005-0000-0000-0000980C0000}"/>
    <cellStyle name="Euro 2 4 4" xfId="7388" xr:uid="{00000000-0005-0000-0000-0000990C0000}"/>
    <cellStyle name="Euro 2 4 5" xfId="2152" xr:uid="{00000000-0005-0000-0000-00009A0C0000}"/>
    <cellStyle name="Euro 2 5" xfId="405" xr:uid="{00000000-0005-0000-0000-00009B0C0000}"/>
    <cellStyle name="Euro 2 5 2" xfId="3798" xr:uid="{00000000-0005-0000-0000-00009C0C0000}"/>
    <cellStyle name="Euro 2 5 2 2" xfId="6188" xr:uid="{00000000-0005-0000-0000-00009D0C0000}"/>
    <cellStyle name="Euro 2 5 2 3" xfId="8709" xr:uid="{00000000-0005-0000-0000-00009E0C0000}"/>
    <cellStyle name="Euro 2 5 3" xfId="3294" xr:uid="{00000000-0005-0000-0000-00009F0C0000}"/>
    <cellStyle name="Euro 2 5 4" xfId="9176" xr:uid="{D72C7E97-0BE5-4775-9B19-BDB2C889267C}"/>
    <cellStyle name="Euro 2 5 5" xfId="9512" xr:uid="{31ECD222-8254-4893-BF39-A6B812023C3C}"/>
    <cellStyle name="Euro 2 6" xfId="3769" xr:uid="{00000000-0005-0000-0000-0000A00C0000}"/>
    <cellStyle name="Euro 2 6 2" xfId="6164" xr:uid="{00000000-0005-0000-0000-0000A10C0000}"/>
    <cellStyle name="Euro 2 6 3" xfId="8681" xr:uid="{00000000-0005-0000-0000-0000A20C0000}"/>
    <cellStyle name="Euro 2 7" xfId="8886" xr:uid="{00000000-0005-0000-0000-0000A30C0000}"/>
    <cellStyle name="Euro 2 7 2" xfId="9050" xr:uid="{00000000-0005-0000-0000-0000A40C0000}"/>
    <cellStyle name="Euro 2 7 2 2" xfId="9423" xr:uid="{9FA40D1C-9071-4F0E-A4CD-9938ECEED241}"/>
    <cellStyle name="Euro 2 7 2 3" xfId="9759" xr:uid="{28C12D11-388D-43B7-9C28-47FEA30414E5}"/>
    <cellStyle name="Euro 2 7 3" xfId="9269" xr:uid="{30D51377-6E29-47B2-AD01-032292917B1E}"/>
    <cellStyle name="Euro 2 7 4" xfId="9605" xr:uid="{8568B9FF-68CA-4A9E-A72D-9046BA74FA96}"/>
    <cellStyle name="Euro 2 8" xfId="8975" xr:uid="{00000000-0005-0000-0000-0000A50C0000}"/>
    <cellStyle name="Euro 2 8 2" xfId="9348" xr:uid="{8BB103EA-5CD0-4EF7-9755-029066643419}"/>
    <cellStyle name="Euro 2 8 3" xfId="9684" xr:uid="{39CA7027-0140-4D13-BE53-8D4CF24ECCC3}"/>
    <cellStyle name="Euro 2 9" xfId="1075" xr:uid="{00000000-0005-0000-0000-0000A60C0000}"/>
    <cellStyle name="Euro 2 9 2" xfId="9191" xr:uid="{D52BF87D-EF2B-4CF0-9086-39C80C8ECB29}"/>
    <cellStyle name="Euro 2 9 3" xfId="9527" xr:uid="{AC012869-0B20-4B01-9D75-FAD2AD95048B}"/>
    <cellStyle name="Euro 20" xfId="2154" xr:uid="{00000000-0005-0000-0000-0000A70C0000}"/>
    <cellStyle name="Euro 20 2" xfId="3982" xr:uid="{00000000-0005-0000-0000-0000A80C0000}"/>
    <cellStyle name="Euro 20 3" xfId="7390" xr:uid="{00000000-0005-0000-0000-0000A90C0000}"/>
    <cellStyle name="Euro 21" xfId="2155" xr:uid="{00000000-0005-0000-0000-0000AA0C0000}"/>
    <cellStyle name="Euro 21 2" xfId="3983" xr:uid="{00000000-0005-0000-0000-0000AB0C0000}"/>
    <cellStyle name="Euro 21 3" xfId="7391" xr:uid="{00000000-0005-0000-0000-0000AC0C0000}"/>
    <cellStyle name="Euro 22" xfId="2156" xr:uid="{00000000-0005-0000-0000-0000AD0C0000}"/>
    <cellStyle name="Euro 22 2" xfId="3984" xr:uid="{00000000-0005-0000-0000-0000AE0C0000}"/>
    <cellStyle name="Euro 22 3" xfId="7392" xr:uid="{00000000-0005-0000-0000-0000AF0C0000}"/>
    <cellStyle name="Euro 23" xfId="2157" xr:uid="{00000000-0005-0000-0000-0000B00C0000}"/>
    <cellStyle name="Euro 23 2" xfId="3985" xr:uid="{00000000-0005-0000-0000-0000B10C0000}"/>
    <cellStyle name="Euro 23 3" xfId="7393" xr:uid="{00000000-0005-0000-0000-0000B20C0000}"/>
    <cellStyle name="Euro 24" xfId="2158" xr:uid="{00000000-0005-0000-0000-0000B30C0000}"/>
    <cellStyle name="Euro 24 2" xfId="3986" xr:uid="{00000000-0005-0000-0000-0000B40C0000}"/>
    <cellStyle name="Euro 24 3" xfId="7394" xr:uid="{00000000-0005-0000-0000-0000B50C0000}"/>
    <cellStyle name="Euro 25" xfId="2159" xr:uid="{00000000-0005-0000-0000-0000B60C0000}"/>
    <cellStyle name="Euro 25 2" xfId="3987" xr:uid="{00000000-0005-0000-0000-0000B70C0000}"/>
    <cellStyle name="Euro 25 3" xfId="7395" xr:uid="{00000000-0005-0000-0000-0000B80C0000}"/>
    <cellStyle name="Euro 26" xfId="2160" xr:uid="{00000000-0005-0000-0000-0000B90C0000}"/>
    <cellStyle name="Euro 26 2" xfId="3988" xr:uid="{00000000-0005-0000-0000-0000BA0C0000}"/>
    <cellStyle name="Euro 26 3" xfId="7396" xr:uid="{00000000-0005-0000-0000-0000BB0C0000}"/>
    <cellStyle name="Euro 27" xfId="2161" xr:uid="{00000000-0005-0000-0000-0000BC0C0000}"/>
    <cellStyle name="Euro 27 2" xfId="3989" xr:uid="{00000000-0005-0000-0000-0000BD0C0000}"/>
    <cellStyle name="Euro 27 3" xfId="7397" xr:uid="{00000000-0005-0000-0000-0000BE0C0000}"/>
    <cellStyle name="Euro 28" xfId="2162" xr:uid="{00000000-0005-0000-0000-0000BF0C0000}"/>
    <cellStyle name="Euro 28 2" xfId="3990" xr:uid="{00000000-0005-0000-0000-0000C00C0000}"/>
    <cellStyle name="Euro 28 3" xfId="7398" xr:uid="{00000000-0005-0000-0000-0000C10C0000}"/>
    <cellStyle name="Euro 29" xfId="2163" xr:uid="{00000000-0005-0000-0000-0000C20C0000}"/>
    <cellStyle name="Euro 29 2" xfId="3991" xr:uid="{00000000-0005-0000-0000-0000C30C0000}"/>
    <cellStyle name="Euro 29 3" xfId="7399" xr:uid="{00000000-0005-0000-0000-0000C40C0000}"/>
    <cellStyle name="Euro 3" xfId="406" xr:uid="{00000000-0005-0000-0000-0000C50C0000}"/>
    <cellStyle name="Euro 3 10" xfId="1076" xr:uid="{00000000-0005-0000-0000-0000C60C0000}"/>
    <cellStyle name="Euro 3 2" xfId="1077" xr:uid="{00000000-0005-0000-0000-0000C70C0000}"/>
    <cellStyle name="Euro 3 2 2" xfId="1242" xr:uid="{00000000-0005-0000-0000-0000C80C0000}"/>
    <cellStyle name="Euro 3 2 2 2" xfId="6229" xr:uid="{00000000-0005-0000-0000-0000C90C0000}"/>
    <cellStyle name="Euro 3 2 2 3" xfId="6494" xr:uid="{00000000-0005-0000-0000-0000CA0C0000}"/>
    <cellStyle name="Euro 3 2 3" xfId="3993" xr:uid="{00000000-0005-0000-0000-0000CB0C0000}"/>
    <cellStyle name="Euro 3 2 4" xfId="6357" xr:uid="{00000000-0005-0000-0000-0000CC0C0000}"/>
    <cellStyle name="Euro 3 3" xfId="1078" xr:uid="{00000000-0005-0000-0000-0000CD0C0000}"/>
    <cellStyle name="Euro 3 3 2" xfId="2656" xr:uid="{00000000-0005-0000-0000-0000CE0C0000}"/>
    <cellStyle name="Euro 3 3 2 2" xfId="3995" xr:uid="{00000000-0005-0000-0000-0000CF0C0000}"/>
    <cellStyle name="Euro 3 3 2 3" xfId="7866" xr:uid="{00000000-0005-0000-0000-0000D00C0000}"/>
    <cellStyle name="Euro 3 3 3" xfId="3994" xr:uid="{00000000-0005-0000-0000-0000D10C0000}"/>
    <cellStyle name="Euro 3 3 4" xfId="6358" xr:uid="{00000000-0005-0000-0000-0000D20C0000}"/>
    <cellStyle name="Euro 3 4" xfId="1168" xr:uid="{00000000-0005-0000-0000-0000D30C0000}"/>
    <cellStyle name="Euro 3 4 2" xfId="2636" xr:uid="{00000000-0005-0000-0000-0000D40C0000}"/>
    <cellStyle name="Euro 3 4 3" xfId="3996" xr:uid="{00000000-0005-0000-0000-0000D50C0000}"/>
    <cellStyle name="Euro 3 4 4" xfId="6421" xr:uid="{00000000-0005-0000-0000-0000D60C0000}"/>
    <cellStyle name="Euro 3 4 4 2" xfId="8933" xr:uid="{00000000-0005-0000-0000-0000D70C0000}"/>
    <cellStyle name="Euro 3 4 4 2 2" xfId="9097" xr:uid="{00000000-0005-0000-0000-0000D80C0000}"/>
    <cellStyle name="Euro 3 4 4 2 2 2" xfId="9470" xr:uid="{DFD2914C-8F63-46AA-A44D-3AC1A76E53C9}"/>
    <cellStyle name="Euro 3 4 4 2 2 3" xfId="9806" xr:uid="{7F5E10D6-9677-4340-ADDB-8BAD36044665}"/>
    <cellStyle name="Euro 3 4 4 2 3" xfId="9316" xr:uid="{C1D46355-045F-4072-BC5C-BEB108E0EA5F}"/>
    <cellStyle name="Euro 3 4 4 2 4" xfId="9652" xr:uid="{AA77F35F-AC59-408A-81AF-913E90874451}"/>
    <cellStyle name="Euro 3 4 4 3" xfId="9020" xr:uid="{00000000-0005-0000-0000-0000D90C0000}"/>
    <cellStyle name="Euro 3 4 4 3 2" xfId="9393" xr:uid="{0F1942F1-F45F-4EB4-AE56-020E6B21D9BB}"/>
    <cellStyle name="Euro 3 4 4 3 3" xfId="9729" xr:uid="{F4A3BA11-DA1A-4D10-B68E-F24C02BA6764}"/>
    <cellStyle name="Euro 3 4 4 4" xfId="9238" xr:uid="{D7BE68C9-15D2-448D-94DD-B275A456CD46}"/>
    <cellStyle name="Euro 3 4 4 5" xfId="9574" xr:uid="{72472C57-4AE2-4901-8FC5-9334433BD526}"/>
    <cellStyle name="Euro 3 4 5" xfId="8888" xr:uid="{00000000-0005-0000-0000-0000DA0C0000}"/>
    <cellStyle name="Euro 3 4 5 2" xfId="9052" xr:uid="{00000000-0005-0000-0000-0000DB0C0000}"/>
    <cellStyle name="Euro 3 4 5 2 2" xfId="9425" xr:uid="{697B6712-9DC2-49AC-8DDE-9660C722F38F}"/>
    <cellStyle name="Euro 3 4 5 2 3" xfId="9761" xr:uid="{2B7B1921-D62E-4FD7-9DBC-C907218126AE}"/>
    <cellStyle name="Euro 3 4 5 3" xfId="9271" xr:uid="{27940E1F-45B6-4019-A531-E5275C82E7EA}"/>
    <cellStyle name="Euro 3 4 5 4" xfId="9607" xr:uid="{E765242C-6404-4D05-AC5F-3A36AB935888}"/>
    <cellStyle name="Euro 3 4 6" xfId="8977" xr:uid="{00000000-0005-0000-0000-0000DC0C0000}"/>
    <cellStyle name="Euro 3 4 6 2" xfId="9350" xr:uid="{F9887923-BB75-47BA-ACCB-F283FFA04238}"/>
    <cellStyle name="Euro 3 4 6 3" xfId="9686" xr:uid="{101C5D81-6B66-4915-A55B-5F24ED9D9C6D}"/>
    <cellStyle name="Euro 3 4 7" xfId="9193" xr:uid="{37018FC2-86AF-4FF1-BC23-71FFF12E17E6}"/>
    <cellStyle name="Euro 3 4 8" xfId="9529" xr:uid="{DE85CDA1-E372-4383-AEAF-01C9E5F03678}"/>
    <cellStyle name="Euro 3 5" xfId="2164" xr:uid="{00000000-0005-0000-0000-0000DD0C0000}"/>
    <cellStyle name="Euro 3 5 2" xfId="2637" xr:uid="{00000000-0005-0000-0000-0000DE0C0000}"/>
    <cellStyle name="Euro 3 5 2 2" xfId="8896" xr:uid="{00000000-0005-0000-0000-0000DF0C0000}"/>
    <cellStyle name="Euro 3 5 2 2 2" xfId="9060" xr:uid="{00000000-0005-0000-0000-0000E00C0000}"/>
    <cellStyle name="Euro 3 5 2 2 2 2" xfId="9433" xr:uid="{8851D543-394A-40C4-A101-51446F4F98CB}"/>
    <cellStyle name="Euro 3 5 2 2 2 3" xfId="9769" xr:uid="{5793D7D6-333C-4615-9689-548194C5DBD8}"/>
    <cellStyle name="Euro 3 5 2 2 3" xfId="9279" xr:uid="{1744473C-1A8E-4ECD-B77B-6E9815D592F9}"/>
    <cellStyle name="Euro 3 5 2 2 4" xfId="9615" xr:uid="{CAE1D7EA-95E7-4FD9-9FDB-4E6F71626DA8}"/>
    <cellStyle name="Euro 3 5 2 3" xfId="8985" xr:uid="{00000000-0005-0000-0000-0000E10C0000}"/>
    <cellStyle name="Euro 3 5 2 3 2" xfId="9358" xr:uid="{29A03689-418E-46D5-A2F8-6F24D0B5667C}"/>
    <cellStyle name="Euro 3 5 2 3 3" xfId="9694" xr:uid="{42EEF66A-72EA-4188-A90B-12F3B4385AC3}"/>
    <cellStyle name="Euro 3 5 2 4" xfId="9201" xr:uid="{04EE772E-C43F-4254-95C2-1010EEC15734}"/>
    <cellStyle name="Euro 3 5 2 5" xfId="9537" xr:uid="{D6A9EEA3-0626-4341-8741-FD66FEF0B89B}"/>
    <cellStyle name="Euro 3 5 3" xfId="7400" xr:uid="{00000000-0005-0000-0000-0000E20C0000}"/>
    <cellStyle name="Euro 3 6" xfId="3628" xr:uid="{00000000-0005-0000-0000-0000E30C0000}"/>
    <cellStyle name="Euro 3 6 2" xfId="3748" xr:uid="{00000000-0005-0000-0000-0000E40C0000}"/>
    <cellStyle name="Euro 3 6 2 2" xfId="8927" xr:uid="{00000000-0005-0000-0000-0000E50C0000}"/>
    <cellStyle name="Euro 3 6 2 2 2" xfId="9091" xr:uid="{00000000-0005-0000-0000-0000E60C0000}"/>
    <cellStyle name="Euro 3 6 2 2 2 2" xfId="9464" xr:uid="{118A8DD5-3F66-456F-A457-A77DE251F6C6}"/>
    <cellStyle name="Euro 3 6 2 2 2 3" xfId="9800" xr:uid="{DE5669B0-A953-4B71-98A2-26512B127734}"/>
    <cellStyle name="Euro 3 6 2 2 3" xfId="9310" xr:uid="{8614DBA0-F837-4DAC-B45D-8F8AC6AD4461}"/>
    <cellStyle name="Euro 3 6 2 2 4" xfId="9646" xr:uid="{732C1637-4AC2-43C7-AEFD-0792AF42C377}"/>
    <cellStyle name="Euro 3 6 2 3" xfId="9014" xr:uid="{00000000-0005-0000-0000-0000E70C0000}"/>
    <cellStyle name="Euro 3 6 2 3 2" xfId="9387" xr:uid="{8C7BD5E4-3625-4CA1-B949-791BE04D795D}"/>
    <cellStyle name="Euro 3 6 2 3 3" xfId="9723" xr:uid="{85207AD5-D72C-438B-A398-E3B9C5A2BB6E}"/>
    <cellStyle name="Euro 3 6 2 4" xfId="9232" xr:uid="{B3046187-0C36-4CC3-9D45-23A0F574A213}"/>
    <cellStyle name="Euro 3 6 2 5" xfId="9568" xr:uid="{6F128B1D-65BA-450E-A771-1FD765A6C416}"/>
    <cellStyle name="Euro 3 6 3" xfId="5279" xr:uid="{00000000-0005-0000-0000-0000E80C0000}"/>
    <cellStyle name="Euro 3 6 4" xfId="8595" xr:uid="{00000000-0005-0000-0000-0000E90C0000}"/>
    <cellStyle name="Euro 3 7" xfId="3797" xr:uid="{00000000-0005-0000-0000-0000EA0C0000}"/>
    <cellStyle name="Euro 3 7 2" xfId="6187" xr:uid="{00000000-0005-0000-0000-0000EB0C0000}"/>
    <cellStyle name="Euro 3 7 3" xfId="8708" xr:uid="{00000000-0005-0000-0000-0000EC0C0000}"/>
    <cellStyle name="Euro 3 8" xfId="3992" xr:uid="{00000000-0005-0000-0000-0000ED0C0000}"/>
    <cellStyle name="Euro 3 9" xfId="6356" xr:uid="{00000000-0005-0000-0000-0000EE0C0000}"/>
    <cellStyle name="Euro 30" xfId="2165" xr:uid="{00000000-0005-0000-0000-0000EF0C0000}"/>
    <cellStyle name="Euro 30 2" xfId="3997" xr:uid="{00000000-0005-0000-0000-0000F00C0000}"/>
    <cellStyle name="Euro 30 3" xfId="7401" xr:uid="{00000000-0005-0000-0000-0000F10C0000}"/>
    <cellStyle name="Euro 31" xfId="2166" xr:uid="{00000000-0005-0000-0000-0000F20C0000}"/>
    <cellStyle name="Euro 31 2" xfId="3998" xr:uid="{00000000-0005-0000-0000-0000F30C0000}"/>
    <cellStyle name="Euro 31 3" xfId="7402" xr:uid="{00000000-0005-0000-0000-0000F40C0000}"/>
    <cellStyle name="Euro 32" xfId="2167" xr:uid="{00000000-0005-0000-0000-0000F50C0000}"/>
    <cellStyle name="Euro 32 2" xfId="3999" xr:uid="{00000000-0005-0000-0000-0000F60C0000}"/>
    <cellStyle name="Euro 32 3" xfId="7403" xr:uid="{00000000-0005-0000-0000-0000F70C0000}"/>
    <cellStyle name="Euro 33" xfId="2168" xr:uid="{00000000-0005-0000-0000-0000F80C0000}"/>
    <cellStyle name="Euro 33 2" xfId="4000" xr:uid="{00000000-0005-0000-0000-0000F90C0000}"/>
    <cellStyle name="Euro 33 3" xfId="7404" xr:uid="{00000000-0005-0000-0000-0000FA0C0000}"/>
    <cellStyle name="Euro 34" xfId="2169" xr:uid="{00000000-0005-0000-0000-0000FB0C0000}"/>
    <cellStyle name="Euro 34 2" xfId="4001" xr:uid="{00000000-0005-0000-0000-0000FC0C0000}"/>
    <cellStyle name="Euro 34 3" xfId="7405" xr:uid="{00000000-0005-0000-0000-0000FD0C0000}"/>
    <cellStyle name="Euro 35" xfId="2170" xr:uid="{00000000-0005-0000-0000-0000FE0C0000}"/>
    <cellStyle name="Euro 35 2" xfId="4002" xr:uid="{00000000-0005-0000-0000-0000FF0C0000}"/>
    <cellStyle name="Euro 35 3" xfId="7406" xr:uid="{00000000-0005-0000-0000-0000000D0000}"/>
    <cellStyle name="Euro 36" xfId="2171" xr:uid="{00000000-0005-0000-0000-0000010D0000}"/>
    <cellStyle name="Euro 36 2" xfId="4003" xr:uid="{00000000-0005-0000-0000-0000020D0000}"/>
    <cellStyle name="Euro 36 3" xfId="7407" xr:uid="{00000000-0005-0000-0000-0000030D0000}"/>
    <cellStyle name="Euro 37" xfId="2172" xr:uid="{00000000-0005-0000-0000-0000040D0000}"/>
    <cellStyle name="Euro 37 2" xfId="4004" xr:uid="{00000000-0005-0000-0000-0000050D0000}"/>
    <cellStyle name="Euro 37 3" xfId="7408" xr:uid="{00000000-0005-0000-0000-0000060D0000}"/>
    <cellStyle name="Euro 38" xfId="2173" xr:uid="{00000000-0005-0000-0000-0000070D0000}"/>
    <cellStyle name="Euro 38 2" xfId="4005" xr:uid="{00000000-0005-0000-0000-0000080D0000}"/>
    <cellStyle name="Euro 38 3" xfId="7409" xr:uid="{00000000-0005-0000-0000-0000090D0000}"/>
    <cellStyle name="Euro 39" xfId="2174" xr:uid="{00000000-0005-0000-0000-00000A0D0000}"/>
    <cellStyle name="Euro 39 2" xfId="4006" xr:uid="{00000000-0005-0000-0000-00000B0D0000}"/>
    <cellStyle name="Euro 39 3" xfId="7410" xr:uid="{00000000-0005-0000-0000-00000C0D0000}"/>
    <cellStyle name="Euro 4" xfId="407" xr:uid="{00000000-0005-0000-0000-00000D0D0000}"/>
    <cellStyle name="Euro 4 2" xfId="2175" xr:uid="{00000000-0005-0000-0000-00000E0D0000}"/>
    <cellStyle name="Euro 4 2 2" xfId="3655" xr:uid="{00000000-0005-0000-0000-00000F0D0000}"/>
    <cellStyle name="Euro 4 2 3" xfId="5329" xr:uid="{00000000-0005-0000-0000-0000100D0000}"/>
    <cellStyle name="Euro 4 2 4" xfId="7411" xr:uid="{00000000-0005-0000-0000-0000110D0000}"/>
    <cellStyle name="Euro 4 3" xfId="4007" xr:uid="{00000000-0005-0000-0000-0000120D0000}"/>
    <cellStyle name="Euro 4 4" xfId="6545" xr:uid="{00000000-0005-0000-0000-0000130D0000}"/>
    <cellStyle name="Euro 4 5" xfId="1293" xr:uid="{00000000-0005-0000-0000-0000140D0000}"/>
    <cellStyle name="Euro 40" xfId="2176" xr:uid="{00000000-0005-0000-0000-0000150D0000}"/>
    <cellStyle name="Euro 40 2" xfId="4008" xr:uid="{00000000-0005-0000-0000-0000160D0000}"/>
    <cellStyle name="Euro 40 3" xfId="7412" xr:uid="{00000000-0005-0000-0000-0000170D0000}"/>
    <cellStyle name="Euro 41" xfId="2177" xr:uid="{00000000-0005-0000-0000-0000180D0000}"/>
    <cellStyle name="Euro 41 2" xfId="4009" xr:uid="{00000000-0005-0000-0000-0000190D0000}"/>
    <cellStyle name="Euro 41 3" xfId="7413" xr:uid="{00000000-0005-0000-0000-00001A0D0000}"/>
    <cellStyle name="Euro 42" xfId="2178" xr:uid="{00000000-0005-0000-0000-00001B0D0000}"/>
    <cellStyle name="Euro 42 2" xfId="4010" xr:uid="{00000000-0005-0000-0000-00001C0D0000}"/>
    <cellStyle name="Euro 42 3" xfId="7414" xr:uid="{00000000-0005-0000-0000-00001D0D0000}"/>
    <cellStyle name="Euro 43" xfId="2179" xr:uid="{00000000-0005-0000-0000-00001E0D0000}"/>
    <cellStyle name="Euro 43 2" xfId="4011" xr:uid="{00000000-0005-0000-0000-00001F0D0000}"/>
    <cellStyle name="Euro 43 3" xfId="7415" xr:uid="{00000000-0005-0000-0000-0000200D0000}"/>
    <cellStyle name="Euro 44" xfId="2180" xr:uid="{00000000-0005-0000-0000-0000210D0000}"/>
    <cellStyle name="Euro 44 2" xfId="4012" xr:uid="{00000000-0005-0000-0000-0000220D0000}"/>
    <cellStyle name="Euro 44 3" xfId="7416" xr:uid="{00000000-0005-0000-0000-0000230D0000}"/>
    <cellStyle name="Euro 45" xfId="2181" xr:uid="{00000000-0005-0000-0000-0000240D0000}"/>
    <cellStyle name="Euro 45 2" xfId="4013" xr:uid="{00000000-0005-0000-0000-0000250D0000}"/>
    <cellStyle name="Euro 45 3" xfId="7417" xr:uid="{00000000-0005-0000-0000-0000260D0000}"/>
    <cellStyle name="Euro 46" xfId="2182" xr:uid="{00000000-0005-0000-0000-0000270D0000}"/>
    <cellStyle name="Euro 46 2" xfId="4014" xr:uid="{00000000-0005-0000-0000-0000280D0000}"/>
    <cellStyle name="Euro 46 3" xfId="7418" xr:uid="{00000000-0005-0000-0000-0000290D0000}"/>
    <cellStyle name="Euro 47" xfId="2183" xr:uid="{00000000-0005-0000-0000-00002A0D0000}"/>
    <cellStyle name="Euro 47 2" xfId="4015" xr:uid="{00000000-0005-0000-0000-00002B0D0000}"/>
    <cellStyle name="Euro 47 3" xfId="7419" xr:uid="{00000000-0005-0000-0000-00002C0D0000}"/>
    <cellStyle name="Euro 48" xfId="2184" xr:uid="{00000000-0005-0000-0000-00002D0D0000}"/>
    <cellStyle name="Euro 48 2" xfId="4016" xr:uid="{00000000-0005-0000-0000-00002E0D0000}"/>
    <cellStyle name="Euro 48 3" xfId="7420" xr:uid="{00000000-0005-0000-0000-00002F0D0000}"/>
    <cellStyle name="Euro 49" xfId="2185" xr:uid="{00000000-0005-0000-0000-0000300D0000}"/>
    <cellStyle name="Euro 49 2" xfId="4017" xr:uid="{00000000-0005-0000-0000-0000310D0000}"/>
    <cellStyle name="Euro 49 3" xfId="7421" xr:uid="{00000000-0005-0000-0000-0000320D0000}"/>
    <cellStyle name="Euro 5" xfId="408" xr:uid="{00000000-0005-0000-0000-0000330D0000}"/>
    <cellStyle name="Euro 5 2" xfId="2186" xr:uid="{00000000-0005-0000-0000-0000340D0000}"/>
    <cellStyle name="Euro 5 2 2" xfId="3673" xr:uid="{00000000-0005-0000-0000-0000350D0000}"/>
    <cellStyle name="Euro 5 2 3" xfId="5470" xr:uid="{00000000-0005-0000-0000-0000360D0000}"/>
    <cellStyle name="Euro 5 2 4" xfId="7422" xr:uid="{00000000-0005-0000-0000-0000370D0000}"/>
    <cellStyle name="Euro 5 3" xfId="4018" xr:uid="{00000000-0005-0000-0000-0000380D0000}"/>
    <cellStyle name="Euro 5 4" xfId="6693" xr:uid="{00000000-0005-0000-0000-0000390D0000}"/>
    <cellStyle name="Euro 5 5" xfId="1441" xr:uid="{00000000-0005-0000-0000-00003A0D0000}"/>
    <cellStyle name="Euro 50" xfId="2187" xr:uid="{00000000-0005-0000-0000-00003B0D0000}"/>
    <cellStyle name="Euro 50 2" xfId="4019" xr:uid="{00000000-0005-0000-0000-00003C0D0000}"/>
    <cellStyle name="Euro 50 3" xfId="7423" xr:uid="{00000000-0005-0000-0000-00003D0D0000}"/>
    <cellStyle name="Euro 51" xfId="2188" xr:uid="{00000000-0005-0000-0000-00003E0D0000}"/>
    <cellStyle name="Euro 51 2" xfId="4020" xr:uid="{00000000-0005-0000-0000-00003F0D0000}"/>
    <cellStyle name="Euro 51 3" xfId="7424" xr:uid="{00000000-0005-0000-0000-0000400D0000}"/>
    <cellStyle name="Euro 52" xfId="2189" xr:uid="{00000000-0005-0000-0000-0000410D0000}"/>
    <cellStyle name="Euro 52 2" xfId="4021" xr:uid="{00000000-0005-0000-0000-0000420D0000}"/>
    <cellStyle name="Euro 52 3" xfId="7425" xr:uid="{00000000-0005-0000-0000-0000430D0000}"/>
    <cellStyle name="Euro 53" xfId="2190" xr:uid="{00000000-0005-0000-0000-0000440D0000}"/>
    <cellStyle name="Euro 53 2" xfId="8894" xr:uid="{00000000-0005-0000-0000-0000450D0000}"/>
    <cellStyle name="Euro 53 2 2" xfId="9058" xr:uid="{00000000-0005-0000-0000-0000460D0000}"/>
    <cellStyle name="Euro 53 2 2 2" xfId="9431" xr:uid="{517EB8D8-4EC4-421E-96DE-6DB479E339A0}"/>
    <cellStyle name="Euro 53 2 2 3" xfId="9767" xr:uid="{C9C6A191-5975-4A6A-B3BF-799970068C05}"/>
    <cellStyle name="Euro 53 2 3" xfId="9277" xr:uid="{7B2C3DDA-B66E-47F8-831F-62AD7D223B13}"/>
    <cellStyle name="Euro 53 2 4" xfId="9613" xr:uid="{218CCB0E-A120-460F-94EB-D5FDFB024756}"/>
    <cellStyle name="Euro 53 3" xfId="8983" xr:uid="{00000000-0005-0000-0000-0000470D0000}"/>
    <cellStyle name="Euro 53 3 2" xfId="9356" xr:uid="{B12B2351-2027-43BE-8E53-839DAD635757}"/>
    <cellStyle name="Euro 53 3 3" xfId="9692" xr:uid="{11AC49FA-9156-4B55-B5AD-EFBDC74A50BE}"/>
    <cellStyle name="Euro 53 4" xfId="9199" xr:uid="{7EDA4024-D212-477C-9242-88E2127E7855}"/>
    <cellStyle name="Euro 53 5" xfId="9535" xr:uid="{58DA0594-4473-4DE8-BFB4-9E9AB00EF581}"/>
    <cellStyle name="Euro 54" xfId="2191" xr:uid="{00000000-0005-0000-0000-0000480D0000}"/>
    <cellStyle name="Euro 54 2" xfId="4022" xr:uid="{00000000-0005-0000-0000-0000490D0000}"/>
    <cellStyle name="Euro 54 3" xfId="7426" xr:uid="{00000000-0005-0000-0000-00004A0D0000}"/>
    <cellStyle name="Euro 55" xfId="2192" xr:uid="{00000000-0005-0000-0000-00004B0D0000}"/>
    <cellStyle name="Euro 55 2" xfId="8895" xr:uid="{00000000-0005-0000-0000-00004C0D0000}"/>
    <cellStyle name="Euro 55 2 2" xfId="9059" xr:uid="{00000000-0005-0000-0000-00004D0D0000}"/>
    <cellStyle name="Euro 55 2 2 2" xfId="9432" xr:uid="{347C5DD3-4A34-41FF-B6FF-113E6FC3AC1D}"/>
    <cellStyle name="Euro 55 2 2 3" xfId="9768" xr:uid="{8EFB3878-8081-4FA0-99EF-72511C0E83D2}"/>
    <cellStyle name="Euro 55 2 3" xfId="9278" xr:uid="{7A10FF21-F5C1-4683-B90B-50129667951D}"/>
    <cellStyle name="Euro 55 2 4" xfId="9614" xr:uid="{1DC4A45D-8D09-48AB-AA71-2A57F7235BDC}"/>
    <cellStyle name="Euro 55 3" xfId="8984" xr:uid="{00000000-0005-0000-0000-00004E0D0000}"/>
    <cellStyle name="Euro 55 3 2" xfId="9357" xr:uid="{20AD793F-8680-4148-A59B-F3817E6004EF}"/>
    <cellStyle name="Euro 55 3 3" xfId="9693" xr:uid="{508DDB83-4A68-4BAA-A23C-DD9AF0541BDD}"/>
    <cellStyle name="Euro 55 4" xfId="9200" xr:uid="{F16EB1A1-31F6-45E5-BD9E-147809297D1E}"/>
    <cellStyle name="Euro 55 5" xfId="9536" xr:uid="{81D75129-C87F-4EED-AD71-D6ED095C914E}"/>
    <cellStyle name="Euro 56" xfId="2141" xr:uid="{00000000-0005-0000-0000-00004F0D0000}"/>
    <cellStyle name="Euro 56 2" xfId="4023" xr:uid="{00000000-0005-0000-0000-0000500D0000}"/>
    <cellStyle name="Euro 56 3" xfId="7377" xr:uid="{00000000-0005-0000-0000-0000510D0000}"/>
    <cellStyle name="Euro 57" xfId="2638" xr:uid="{00000000-0005-0000-0000-0000520D0000}"/>
    <cellStyle name="Euro 57 2" xfId="4024" xr:uid="{00000000-0005-0000-0000-0000530D0000}"/>
    <cellStyle name="Euro 57 3" xfId="7850" xr:uid="{00000000-0005-0000-0000-0000540D0000}"/>
    <cellStyle name="Euro 58" xfId="2557" xr:uid="{00000000-0005-0000-0000-0000550D0000}"/>
    <cellStyle name="Euro 58 2" xfId="4025" xr:uid="{00000000-0005-0000-0000-0000560D0000}"/>
    <cellStyle name="Euro 58 3" xfId="7780" xr:uid="{00000000-0005-0000-0000-0000570D0000}"/>
    <cellStyle name="Euro 59" xfId="6355" xr:uid="{00000000-0005-0000-0000-0000580D0000}"/>
    <cellStyle name="Euro 6" xfId="409" xr:uid="{00000000-0005-0000-0000-0000590D0000}"/>
    <cellStyle name="Euro 6 2" xfId="2193" xr:uid="{00000000-0005-0000-0000-00005A0D0000}"/>
    <cellStyle name="Euro 6 2 2" xfId="3687" xr:uid="{00000000-0005-0000-0000-00005B0D0000}"/>
    <cellStyle name="Euro 6 2 3" xfId="5584" xr:uid="{00000000-0005-0000-0000-00005C0D0000}"/>
    <cellStyle name="Euro 6 2 4" xfId="7427" xr:uid="{00000000-0005-0000-0000-00005D0D0000}"/>
    <cellStyle name="Euro 6 3" xfId="4026" xr:uid="{00000000-0005-0000-0000-00005E0D0000}"/>
    <cellStyle name="Euro 6 4" xfId="6809" xr:uid="{00000000-0005-0000-0000-00005F0D0000}"/>
    <cellStyle name="Euro 6 5" xfId="1558" xr:uid="{00000000-0005-0000-0000-0000600D0000}"/>
    <cellStyle name="Euro 60" xfId="1074" xr:uid="{00000000-0005-0000-0000-0000610D0000}"/>
    <cellStyle name="Euro 7" xfId="1989" xr:uid="{00000000-0005-0000-0000-0000620D0000}"/>
    <cellStyle name="Euro 7 2" xfId="2194" xr:uid="{00000000-0005-0000-0000-0000630D0000}"/>
    <cellStyle name="Euro 7 2 2" xfId="3708" xr:uid="{00000000-0005-0000-0000-0000640D0000}"/>
    <cellStyle name="Euro 7 2 3" xfId="6008" xr:uid="{00000000-0005-0000-0000-0000650D0000}"/>
    <cellStyle name="Euro 7 2 4" xfId="7428" xr:uid="{00000000-0005-0000-0000-0000660D0000}"/>
    <cellStyle name="Euro 7 3" xfId="4027" xr:uid="{00000000-0005-0000-0000-0000670D0000}"/>
    <cellStyle name="Euro 7 4" xfId="7236" xr:uid="{00000000-0005-0000-0000-0000680D0000}"/>
    <cellStyle name="Euro 8" xfId="1172" xr:uid="{00000000-0005-0000-0000-0000690D0000}"/>
    <cellStyle name="Euro 8 2" xfId="2195" xr:uid="{00000000-0005-0000-0000-00006A0D0000}"/>
    <cellStyle name="Euro 8 2 2" xfId="3566" xr:uid="{00000000-0005-0000-0000-00006B0D0000}"/>
    <cellStyle name="Euro 8 2 3" xfId="5178" xr:uid="{00000000-0005-0000-0000-00006C0D0000}"/>
    <cellStyle name="Euro 8 2 4" xfId="7429" xr:uid="{00000000-0005-0000-0000-00006D0D0000}"/>
    <cellStyle name="Euro 8 3" xfId="4028" xr:uid="{00000000-0005-0000-0000-00006E0D0000}"/>
    <cellStyle name="Euro 8 4" xfId="6425" xr:uid="{00000000-0005-0000-0000-00006F0D0000}"/>
    <cellStyle name="Euro 9" xfId="1159" xr:uid="{00000000-0005-0000-0000-0000700D0000}"/>
    <cellStyle name="Euro 9 2" xfId="2196" xr:uid="{00000000-0005-0000-0000-0000710D0000}"/>
    <cellStyle name="Euro 9 2 2" xfId="3562" xr:uid="{00000000-0005-0000-0000-0000720D0000}"/>
    <cellStyle name="Euro 9 2 2 2" xfId="8924" xr:uid="{00000000-0005-0000-0000-0000730D0000}"/>
    <cellStyle name="Euro 9 2 2 2 2" xfId="9088" xr:uid="{00000000-0005-0000-0000-0000740D0000}"/>
    <cellStyle name="Euro 9 2 2 2 2 2" xfId="9461" xr:uid="{FCA3D128-7BA3-443F-AC4E-D4CBB61259B4}"/>
    <cellStyle name="Euro 9 2 2 2 2 3" xfId="9797" xr:uid="{8CDBFFDB-F936-4DB5-AD7D-12A95DDED5B3}"/>
    <cellStyle name="Euro 9 2 2 2 3" xfId="9307" xr:uid="{C6F02C3D-59AF-46AB-BACF-4A6A2C99D835}"/>
    <cellStyle name="Euro 9 2 2 2 4" xfId="9643" xr:uid="{0FCFCF31-ACC6-4F47-8EAD-F2ED4E69CA62}"/>
    <cellStyle name="Euro 9 2 2 3" xfId="9011" xr:uid="{00000000-0005-0000-0000-0000750D0000}"/>
    <cellStyle name="Euro 9 2 2 3 2" xfId="9384" xr:uid="{593B5377-CF8E-4FF3-B205-77E7072C3A0B}"/>
    <cellStyle name="Euro 9 2 2 3 3" xfId="9720" xr:uid="{2081D615-4F81-42AE-B6F5-B97C0CD6BDB6}"/>
    <cellStyle name="Euro 9 2 2 4" xfId="9229" xr:uid="{E9E71FA1-9DFC-46F2-888A-4F30E5098044}"/>
    <cellStyle name="Euro 9 2 2 5" xfId="9565" xr:uid="{99D455E4-F318-46B2-B6BD-241CEB47BB3A}"/>
    <cellStyle name="Euro 9 2 3" xfId="7430" xr:uid="{00000000-0005-0000-0000-0000760D0000}"/>
    <cellStyle name="Euro 9 3" xfId="4029" xr:uid="{00000000-0005-0000-0000-0000770D0000}"/>
    <cellStyle name="Euro 9 4" xfId="8887" xr:uid="{00000000-0005-0000-0000-0000780D0000}"/>
    <cellStyle name="Euro 9 4 2" xfId="9051" xr:uid="{00000000-0005-0000-0000-0000790D0000}"/>
    <cellStyle name="Euro 9 4 2 2" xfId="9424" xr:uid="{D066C921-9AE0-4C84-9B5A-780EE568D2F6}"/>
    <cellStyle name="Euro 9 4 2 3" xfId="9760" xr:uid="{0CFCC43A-5468-4D10-B401-04D4B8B61CF2}"/>
    <cellStyle name="Euro 9 4 3" xfId="9270" xr:uid="{315B8D8D-B20A-4FCB-8DDE-6CAA366660AE}"/>
    <cellStyle name="Euro 9 4 4" xfId="9606" xr:uid="{7504F1ED-A7FA-42EE-88C7-FF94FFA1AAB2}"/>
    <cellStyle name="Euro 9 5" xfId="8976" xr:uid="{00000000-0005-0000-0000-00007A0D0000}"/>
    <cellStyle name="Euro 9 5 2" xfId="9349" xr:uid="{20EF47C1-E5C6-4B58-A7E6-BE80483A3F38}"/>
    <cellStyle name="Euro 9 5 3" xfId="9685" xr:uid="{40879B03-D410-4747-978D-FA83A78CEA85}"/>
    <cellStyle name="Euro 9 6" xfId="9192" xr:uid="{EA2E7F72-171D-4F97-A26F-39BEB1D1B1D6}"/>
    <cellStyle name="Euro 9 7" xfId="9528" xr:uid="{81B20F69-F192-4C31-B853-B4E97A6193BC}"/>
    <cellStyle name="Euro_07_05_22 SEMENTES COLZA ROMÉNIA" xfId="410" xr:uid="{00000000-0005-0000-0000-00007B0D0000}"/>
    <cellStyle name="Excel Built-in 20% - Accent1" xfId="2669" xr:uid="{00000000-0005-0000-0000-00007C0D0000}"/>
    <cellStyle name="Excel Built-in Comma" xfId="2668" xr:uid="{00000000-0005-0000-0000-00007D0D0000}"/>
    <cellStyle name="Excel Built-in Heading 1" xfId="2667" xr:uid="{00000000-0005-0000-0000-00007E0D0000}"/>
    <cellStyle name="Excel Built-in Normal" xfId="2197" xr:uid="{00000000-0005-0000-0000-00007F0D0000}"/>
    <cellStyle name="Excel Built-in Normal 2" xfId="4030" xr:uid="{00000000-0005-0000-0000-0000800D0000}"/>
    <cellStyle name="Excel Built-in Normal 3" xfId="7431" xr:uid="{00000000-0005-0000-0000-0000810D0000}"/>
    <cellStyle name="Exception" xfId="411" xr:uid="{00000000-0005-0000-0000-0000820D0000}"/>
    <cellStyle name="Explanatory Text" xfId="412" xr:uid="{00000000-0005-0000-0000-0000830D0000}"/>
    <cellStyle name="Explanatory Text 2" xfId="1079" xr:uid="{00000000-0005-0000-0000-0000840D0000}"/>
    <cellStyle name="Explanatory Text 2 2" xfId="3583" xr:uid="{00000000-0005-0000-0000-0000850D0000}"/>
    <cellStyle name="Explanatory Text 2 2 2" xfId="5195" xr:uid="{00000000-0005-0000-0000-0000860D0000}"/>
    <cellStyle name="Explanatory Text 2 2 3" xfId="8567" xr:uid="{00000000-0005-0000-0000-0000870D0000}"/>
    <cellStyle name="Explanatory Text 2 3" xfId="3295" xr:uid="{00000000-0005-0000-0000-0000880D0000}"/>
    <cellStyle name="Explanatory Text 2 3 2" xfId="4930" xr:uid="{00000000-0005-0000-0000-0000890D0000}"/>
    <cellStyle name="Explanatory Text 2 3 3" xfId="8334" xr:uid="{00000000-0005-0000-0000-00008A0D0000}"/>
    <cellStyle name="Explanatory Text 2 4" xfId="4032" xr:uid="{00000000-0005-0000-0000-00008B0D0000}"/>
    <cellStyle name="Explanatory Text 2 5" xfId="6359" xr:uid="{00000000-0005-0000-0000-00008C0D0000}"/>
    <cellStyle name="Explanatory Text 3" xfId="3296" xr:uid="{00000000-0005-0000-0000-00008D0D0000}"/>
    <cellStyle name="Explanatory Text 3 2" xfId="4931" xr:uid="{00000000-0005-0000-0000-00008E0D0000}"/>
    <cellStyle name="Explanatory Text 3 3" xfId="8335" xr:uid="{00000000-0005-0000-0000-00008F0D0000}"/>
    <cellStyle name="Explanatory Text 4" xfId="3297" xr:uid="{00000000-0005-0000-0000-0000900D0000}"/>
    <cellStyle name="Explanatory Text 4 2" xfId="4932" xr:uid="{00000000-0005-0000-0000-0000910D0000}"/>
    <cellStyle name="Explanatory Text 4 3" xfId="8336" xr:uid="{00000000-0005-0000-0000-0000920D0000}"/>
    <cellStyle name="Explanatory Text 5" xfId="3298" xr:uid="{00000000-0005-0000-0000-0000930D0000}"/>
    <cellStyle name="Explanatory Text 5 2" xfId="4933" xr:uid="{00000000-0005-0000-0000-0000940D0000}"/>
    <cellStyle name="Explanatory Text 5 3" xfId="8337" xr:uid="{00000000-0005-0000-0000-0000950D0000}"/>
    <cellStyle name="Explanatory Text 6" xfId="3299" xr:uid="{00000000-0005-0000-0000-0000960D0000}"/>
    <cellStyle name="Explanatory Text 6 2" xfId="4934" xr:uid="{00000000-0005-0000-0000-0000970D0000}"/>
    <cellStyle name="Explanatory Text 6 3" xfId="8338" xr:uid="{00000000-0005-0000-0000-0000980D0000}"/>
    <cellStyle name="Explanatory Text 7" xfId="4031" xr:uid="{00000000-0005-0000-0000-0000990D0000}"/>
    <cellStyle name="Explanatory Text 8" xfId="7800" xr:uid="{00000000-0005-0000-0000-00009A0D0000}"/>
    <cellStyle name="Explanatory Text 9" xfId="2582" xr:uid="{00000000-0005-0000-0000-00009B0D0000}"/>
    <cellStyle name="Factor" xfId="2198" xr:uid="{00000000-0005-0000-0000-00009C0D0000}"/>
    <cellStyle name="Feeder Field" xfId="413" xr:uid="{00000000-0005-0000-0000-00009D0D0000}"/>
    <cellStyle name="FIXED" xfId="414" xr:uid="{00000000-0005-0000-0000-00009E0D0000}"/>
    <cellStyle name="Fixed 2" xfId="3301" xr:uid="{00000000-0005-0000-0000-00009F0D0000}"/>
    <cellStyle name="Fixed 3" xfId="3302" xr:uid="{00000000-0005-0000-0000-0000A00D0000}"/>
    <cellStyle name="Fixed 4" xfId="3303" xr:uid="{00000000-0005-0000-0000-0000A10D0000}"/>
    <cellStyle name="Fixed 5" xfId="3300" xr:uid="{00000000-0005-0000-0000-0000A20D0000}"/>
    <cellStyle name="Good" xfId="415" xr:uid="{00000000-0005-0000-0000-0000A30D0000}"/>
    <cellStyle name="Good 2" xfId="1080" xr:uid="{00000000-0005-0000-0000-0000A40D0000}"/>
    <cellStyle name="Good 2 2" xfId="3574" xr:uid="{00000000-0005-0000-0000-0000A50D0000}"/>
    <cellStyle name="Good 2 2 2" xfId="5186" xr:uid="{00000000-0005-0000-0000-0000A60D0000}"/>
    <cellStyle name="Good 2 2 3" xfId="8558" xr:uid="{00000000-0005-0000-0000-0000A70D0000}"/>
    <cellStyle name="Good 2 3" xfId="3305" xr:uid="{00000000-0005-0000-0000-0000A80D0000}"/>
    <cellStyle name="Good 2 3 2" xfId="4936" xr:uid="{00000000-0005-0000-0000-0000A90D0000}"/>
    <cellStyle name="Good 2 3 3" xfId="8340" xr:uid="{00000000-0005-0000-0000-0000AA0D0000}"/>
    <cellStyle name="Good 2 4" xfId="4034" xr:uid="{00000000-0005-0000-0000-0000AB0D0000}"/>
    <cellStyle name="Good 2 5" xfId="6360" xr:uid="{00000000-0005-0000-0000-0000AC0D0000}"/>
    <cellStyle name="Good 3" xfId="3306" xr:uid="{00000000-0005-0000-0000-0000AD0D0000}"/>
    <cellStyle name="Good 3 2" xfId="4937" xr:uid="{00000000-0005-0000-0000-0000AE0D0000}"/>
    <cellStyle name="Good 3 3" xfId="8341" xr:uid="{00000000-0005-0000-0000-0000AF0D0000}"/>
    <cellStyle name="Good 4" xfId="3307" xr:uid="{00000000-0005-0000-0000-0000B00D0000}"/>
    <cellStyle name="Good 4 2" xfId="4938" xr:uid="{00000000-0005-0000-0000-0000B10D0000}"/>
    <cellStyle name="Good 4 3" xfId="8342" xr:uid="{00000000-0005-0000-0000-0000B20D0000}"/>
    <cellStyle name="Good 5" xfId="3308" xr:uid="{00000000-0005-0000-0000-0000B30D0000}"/>
    <cellStyle name="Good 5 2" xfId="4939" xr:uid="{00000000-0005-0000-0000-0000B40D0000}"/>
    <cellStyle name="Good 5 3" xfId="8343" xr:uid="{00000000-0005-0000-0000-0000B50D0000}"/>
    <cellStyle name="Good 6" xfId="3309" xr:uid="{00000000-0005-0000-0000-0000B60D0000}"/>
    <cellStyle name="Good 6 2" xfId="4940" xr:uid="{00000000-0005-0000-0000-0000B70D0000}"/>
    <cellStyle name="Good 6 3" xfId="8344" xr:uid="{00000000-0005-0000-0000-0000B80D0000}"/>
    <cellStyle name="Good 7" xfId="3304" xr:uid="{00000000-0005-0000-0000-0000B90D0000}"/>
    <cellStyle name="Good 7 2" xfId="4935" xr:uid="{00000000-0005-0000-0000-0000BA0D0000}"/>
    <cellStyle name="Good 7 3" xfId="8339" xr:uid="{00000000-0005-0000-0000-0000BB0D0000}"/>
    <cellStyle name="Good 8" xfId="4033" xr:uid="{00000000-0005-0000-0000-0000BC0D0000}"/>
    <cellStyle name="Good 9" xfId="2581" xr:uid="{00000000-0005-0000-0000-0000BD0D0000}"/>
    <cellStyle name="Grey" xfId="416" xr:uid="{00000000-0005-0000-0000-0000BE0D0000}"/>
    <cellStyle name="Greyed out" xfId="417" xr:uid="{00000000-0005-0000-0000-0000BF0D0000}"/>
    <cellStyle name="Heading" xfId="2666" xr:uid="{00000000-0005-0000-0000-0000C00D0000}"/>
    <cellStyle name="Heading 1" xfId="2580" xr:uid="{00000000-0005-0000-0000-0000C10D0000}"/>
    <cellStyle name="Heading 1 2" xfId="1081" xr:uid="{00000000-0005-0000-0000-0000C20D0000}"/>
    <cellStyle name="Heading 1 2 2" xfId="3570" xr:uid="{00000000-0005-0000-0000-0000C30D0000}"/>
    <cellStyle name="Heading 1 2 2 2" xfId="5182" xr:uid="{00000000-0005-0000-0000-0000C40D0000}"/>
    <cellStyle name="Heading 1 2 2 3" xfId="8554" xr:uid="{00000000-0005-0000-0000-0000C50D0000}"/>
    <cellStyle name="Heading 1 2 3" xfId="3311" xr:uid="{00000000-0005-0000-0000-0000C60D0000}"/>
    <cellStyle name="Heading 1 2 3 2" xfId="4942" xr:uid="{00000000-0005-0000-0000-0000C70D0000}"/>
    <cellStyle name="Heading 1 2 3 3" xfId="8346" xr:uid="{00000000-0005-0000-0000-0000C80D0000}"/>
    <cellStyle name="Heading 1 2 4" xfId="4036" xr:uid="{00000000-0005-0000-0000-0000C90D0000}"/>
    <cellStyle name="Heading 1 2 5" xfId="6361" xr:uid="{00000000-0005-0000-0000-0000CA0D0000}"/>
    <cellStyle name="Heading 1 3" xfId="3312" xr:uid="{00000000-0005-0000-0000-0000CB0D0000}"/>
    <cellStyle name="Heading 1 3 2" xfId="4943" xr:uid="{00000000-0005-0000-0000-0000CC0D0000}"/>
    <cellStyle name="Heading 1 3 3" xfId="8347" xr:uid="{00000000-0005-0000-0000-0000CD0D0000}"/>
    <cellStyle name="Heading 1 4" xfId="3313" xr:uid="{00000000-0005-0000-0000-0000CE0D0000}"/>
    <cellStyle name="Heading 1 4 2" xfId="4944" xr:uid="{00000000-0005-0000-0000-0000CF0D0000}"/>
    <cellStyle name="Heading 1 4 3" xfId="8348" xr:uid="{00000000-0005-0000-0000-0000D00D0000}"/>
    <cellStyle name="Heading 1 5" xfId="3314" xr:uid="{00000000-0005-0000-0000-0000D10D0000}"/>
    <cellStyle name="Heading 1 5 2" xfId="4945" xr:uid="{00000000-0005-0000-0000-0000D20D0000}"/>
    <cellStyle name="Heading 1 5 3" xfId="8349" xr:uid="{00000000-0005-0000-0000-0000D30D0000}"/>
    <cellStyle name="Heading 1 6" xfId="3310" xr:uid="{00000000-0005-0000-0000-0000D40D0000}"/>
    <cellStyle name="Heading 1 6 2" xfId="4941" xr:uid="{00000000-0005-0000-0000-0000D50D0000}"/>
    <cellStyle name="Heading 1 6 3" xfId="8345" xr:uid="{00000000-0005-0000-0000-0000D60D0000}"/>
    <cellStyle name="Heading 1 7" xfId="4035" xr:uid="{00000000-0005-0000-0000-0000D70D0000}"/>
    <cellStyle name="Heading 2" xfId="418" xr:uid="{00000000-0005-0000-0000-0000D80D0000}"/>
    <cellStyle name="Heading 2 2" xfId="1082" xr:uid="{00000000-0005-0000-0000-0000D90D0000}"/>
    <cellStyle name="Heading 2 2 2" xfId="3571" xr:uid="{00000000-0005-0000-0000-0000DA0D0000}"/>
    <cellStyle name="Heading 2 2 2 2" xfId="5183" xr:uid="{00000000-0005-0000-0000-0000DB0D0000}"/>
    <cellStyle name="Heading 2 2 2 3" xfId="8555" xr:uid="{00000000-0005-0000-0000-0000DC0D0000}"/>
    <cellStyle name="Heading 2 2 3" xfId="3316" xr:uid="{00000000-0005-0000-0000-0000DD0D0000}"/>
    <cellStyle name="Heading 2 2 3 2" xfId="4947" xr:uid="{00000000-0005-0000-0000-0000DE0D0000}"/>
    <cellStyle name="Heading 2 2 3 3" xfId="8351" xr:uid="{00000000-0005-0000-0000-0000DF0D0000}"/>
    <cellStyle name="Heading 2 2 4" xfId="4038" xr:uid="{00000000-0005-0000-0000-0000E00D0000}"/>
    <cellStyle name="Heading 2 2 5" xfId="6362" xr:uid="{00000000-0005-0000-0000-0000E10D0000}"/>
    <cellStyle name="Heading 2 3" xfId="3317" xr:uid="{00000000-0005-0000-0000-0000E20D0000}"/>
    <cellStyle name="Heading 2 3 2" xfId="4948" xr:uid="{00000000-0005-0000-0000-0000E30D0000}"/>
    <cellStyle name="Heading 2 3 3" xfId="8352" xr:uid="{00000000-0005-0000-0000-0000E40D0000}"/>
    <cellStyle name="Heading 2 4" xfId="3318" xr:uid="{00000000-0005-0000-0000-0000E50D0000}"/>
    <cellStyle name="Heading 2 4 2" xfId="4949" xr:uid="{00000000-0005-0000-0000-0000E60D0000}"/>
    <cellStyle name="Heading 2 4 3" xfId="8353" xr:uid="{00000000-0005-0000-0000-0000E70D0000}"/>
    <cellStyle name="Heading 2 5" xfId="3319" xr:uid="{00000000-0005-0000-0000-0000E80D0000}"/>
    <cellStyle name="Heading 2 5 2" xfId="4950" xr:uid="{00000000-0005-0000-0000-0000E90D0000}"/>
    <cellStyle name="Heading 2 5 3" xfId="8354" xr:uid="{00000000-0005-0000-0000-0000EA0D0000}"/>
    <cellStyle name="Heading 2 6" xfId="3315" xr:uid="{00000000-0005-0000-0000-0000EB0D0000}"/>
    <cellStyle name="Heading 2 6 2" xfId="4946" xr:uid="{00000000-0005-0000-0000-0000EC0D0000}"/>
    <cellStyle name="Heading 2 6 3" xfId="8350" xr:uid="{00000000-0005-0000-0000-0000ED0D0000}"/>
    <cellStyle name="Heading 2 7" xfId="4037" xr:uid="{00000000-0005-0000-0000-0000EE0D0000}"/>
    <cellStyle name="Heading 2 8" xfId="2579" xr:uid="{00000000-0005-0000-0000-0000EF0D0000}"/>
    <cellStyle name="Heading 3" xfId="419" xr:uid="{00000000-0005-0000-0000-0000F00D0000}"/>
    <cellStyle name="Heading 3 2" xfId="1083" xr:uid="{00000000-0005-0000-0000-0000F10D0000}"/>
    <cellStyle name="Heading 3 2 2" xfId="3572" xr:uid="{00000000-0005-0000-0000-0000F20D0000}"/>
    <cellStyle name="Heading 3 2 2 2" xfId="5184" xr:uid="{00000000-0005-0000-0000-0000F30D0000}"/>
    <cellStyle name="Heading 3 2 2 3" xfId="8556" xr:uid="{00000000-0005-0000-0000-0000F40D0000}"/>
    <cellStyle name="Heading 3 2 3" xfId="3321" xr:uid="{00000000-0005-0000-0000-0000F50D0000}"/>
    <cellStyle name="Heading 3 2 3 2" xfId="4952" xr:uid="{00000000-0005-0000-0000-0000F60D0000}"/>
    <cellStyle name="Heading 3 2 3 3" xfId="8356" xr:uid="{00000000-0005-0000-0000-0000F70D0000}"/>
    <cellStyle name="Heading 3 2 4" xfId="4040" xr:uid="{00000000-0005-0000-0000-0000F80D0000}"/>
    <cellStyle name="Heading 3 2 5" xfId="6363" xr:uid="{00000000-0005-0000-0000-0000F90D0000}"/>
    <cellStyle name="Heading 3 3" xfId="3322" xr:uid="{00000000-0005-0000-0000-0000FA0D0000}"/>
    <cellStyle name="Heading 3 3 2" xfId="4953" xr:uid="{00000000-0005-0000-0000-0000FB0D0000}"/>
    <cellStyle name="Heading 3 3 3" xfId="8357" xr:uid="{00000000-0005-0000-0000-0000FC0D0000}"/>
    <cellStyle name="Heading 3 4" xfId="3323" xr:uid="{00000000-0005-0000-0000-0000FD0D0000}"/>
    <cellStyle name="Heading 3 4 2" xfId="4954" xr:uid="{00000000-0005-0000-0000-0000FE0D0000}"/>
    <cellStyle name="Heading 3 4 3" xfId="8358" xr:uid="{00000000-0005-0000-0000-0000FF0D0000}"/>
    <cellStyle name="Heading 3 5" xfId="3324" xr:uid="{00000000-0005-0000-0000-0000000E0000}"/>
    <cellStyle name="Heading 3 5 2" xfId="4955" xr:uid="{00000000-0005-0000-0000-0000010E0000}"/>
    <cellStyle name="Heading 3 5 3" xfId="8359" xr:uid="{00000000-0005-0000-0000-0000020E0000}"/>
    <cellStyle name="Heading 3 6" xfId="3320" xr:uid="{00000000-0005-0000-0000-0000030E0000}"/>
    <cellStyle name="Heading 3 6 2" xfId="4951" xr:uid="{00000000-0005-0000-0000-0000040E0000}"/>
    <cellStyle name="Heading 3 6 3" xfId="8355" xr:uid="{00000000-0005-0000-0000-0000050E0000}"/>
    <cellStyle name="Heading 3 7" xfId="4039" xr:uid="{00000000-0005-0000-0000-0000060E0000}"/>
    <cellStyle name="Heading 3 8" xfId="2578" xr:uid="{00000000-0005-0000-0000-0000070E0000}"/>
    <cellStyle name="Heading 4" xfId="420" xr:uid="{00000000-0005-0000-0000-0000080E0000}"/>
    <cellStyle name="Heading 4 2" xfId="1084" xr:uid="{00000000-0005-0000-0000-0000090E0000}"/>
    <cellStyle name="Heading 4 2 2" xfId="3573" xr:uid="{00000000-0005-0000-0000-00000A0E0000}"/>
    <cellStyle name="Heading 4 2 2 2" xfId="5185" xr:uid="{00000000-0005-0000-0000-00000B0E0000}"/>
    <cellStyle name="Heading 4 2 2 3" xfId="8557" xr:uid="{00000000-0005-0000-0000-00000C0E0000}"/>
    <cellStyle name="Heading 4 2 3" xfId="3326" xr:uid="{00000000-0005-0000-0000-00000D0E0000}"/>
    <cellStyle name="Heading 4 2 3 2" xfId="4957" xr:uid="{00000000-0005-0000-0000-00000E0E0000}"/>
    <cellStyle name="Heading 4 2 3 3" xfId="8361" xr:uid="{00000000-0005-0000-0000-00000F0E0000}"/>
    <cellStyle name="Heading 4 2 4" xfId="4042" xr:uid="{00000000-0005-0000-0000-0000100E0000}"/>
    <cellStyle name="Heading 4 2 5" xfId="6364" xr:uid="{00000000-0005-0000-0000-0000110E0000}"/>
    <cellStyle name="Heading 4 3" xfId="3327" xr:uid="{00000000-0005-0000-0000-0000120E0000}"/>
    <cellStyle name="Heading 4 3 2" xfId="4958" xr:uid="{00000000-0005-0000-0000-0000130E0000}"/>
    <cellStyle name="Heading 4 3 3" xfId="8362" xr:uid="{00000000-0005-0000-0000-0000140E0000}"/>
    <cellStyle name="Heading 4 4" xfId="3328" xr:uid="{00000000-0005-0000-0000-0000150E0000}"/>
    <cellStyle name="Heading 4 4 2" xfId="4959" xr:uid="{00000000-0005-0000-0000-0000160E0000}"/>
    <cellStyle name="Heading 4 4 3" xfId="8363" xr:uid="{00000000-0005-0000-0000-0000170E0000}"/>
    <cellStyle name="Heading 4 5" xfId="3329" xr:uid="{00000000-0005-0000-0000-0000180E0000}"/>
    <cellStyle name="Heading 4 5 2" xfId="4960" xr:uid="{00000000-0005-0000-0000-0000190E0000}"/>
    <cellStyle name="Heading 4 5 3" xfId="8364" xr:uid="{00000000-0005-0000-0000-00001A0E0000}"/>
    <cellStyle name="Heading 4 6" xfId="3325" xr:uid="{00000000-0005-0000-0000-00001B0E0000}"/>
    <cellStyle name="Heading 4 6 2" xfId="4956" xr:uid="{00000000-0005-0000-0000-00001C0E0000}"/>
    <cellStyle name="Heading 4 6 3" xfId="8360" xr:uid="{00000000-0005-0000-0000-00001D0E0000}"/>
    <cellStyle name="Heading 4 7" xfId="4041" xr:uid="{00000000-0005-0000-0000-00001E0E0000}"/>
    <cellStyle name="Heading 4 8" xfId="2577" xr:uid="{00000000-0005-0000-0000-00001F0E0000}"/>
    <cellStyle name="Heading 5" xfId="8872" xr:uid="{00000000-0005-0000-0000-0000200E0000}"/>
    <cellStyle name="HEADING1" xfId="421" xr:uid="{00000000-0005-0000-0000-0000210E0000}"/>
    <cellStyle name="Heading1 2" xfId="8870" xr:uid="{00000000-0005-0000-0000-0000220E0000}"/>
    <cellStyle name="Heading1 3" xfId="2665"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3" xr:uid="{00000000-0005-0000-0000-0000280E0000}"/>
    <cellStyle name="Hiperligação 2 3" xfId="7851" xr:uid="{00000000-0005-0000-0000-0000290E0000}"/>
    <cellStyle name="Hiperligação 2 4" xfId="2639"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5" xr:uid="{00000000-0005-0000-0000-00002F0E0000}"/>
    <cellStyle name="Incorrecto 3" xfId="430" xr:uid="{00000000-0005-0000-0000-0000300E0000}"/>
    <cellStyle name="Incorrecto 3 2" xfId="1003" xr:uid="{00000000-0005-0000-0000-0000310E0000}"/>
    <cellStyle name="Incorrecto 4" xfId="431" xr:uid="{00000000-0005-0000-0000-0000320E0000}"/>
    <cellStyle name="Input" xfId="432" xr:uid="{00000000-0005-0000-0000-0000330E0000}"/>
    <cellStyle name="Input 1" xfId="433" xr:uid="{00000000-0005-0000-0000-0000340E0000}"/>
    <cellStyle name="Input 10" xfId="4044" xr:uid="{00000000-0005-0000-0000-0000350E0000}"/>
    <cellStyle name="Input 11" xfId="2116" xr:uid="{00000000-0005-0000-0000-0000360E0000}"/>
    <cellStyle name="Input 2" xfId="434" xr:uid="{00000000-0005-0000-0000-0000370E0000}"/>
    <cellStyle name="Input 2 2" xfId="3332" xr:uid="{00000000-0005-0000-0000-0000380E0000}"/>
    <cellStyle name="Input 2 2 2" xfId="4963" xr:uid="{00000000-0005-0000-0000-0000390E0000}"/>
    <cellStyle name="Input 2 2 3" xfId="8367" xr:uid="{00000000-0005-0000-0000-00003A0E0000}"/>
    <cellStyle name="Input 2 3" xfId="3333" xr:uid="{00000000-0005-0000-0000-00003B0E0000}"/>
    <cellStyle name="Input 2 3 2" xfId="4964" xr:uid="{00000000-0005-0000-0000-00003C0E0000}"/>
    <cellStyle name="Input 2 3 3" xfId="8368" xr:uid="{00000000-0005-0000-0000-00003D0E0000}"/>
    <cellStyle name="Input 2 4" xfId="3334" xr:uid="{00000000-0005-0000-0000-00003E0E0000}"/>
    <cellStyle name="Input 2 4 2" xfId="4965" xr:uid="{00000000-0005-0000-0000-00003F0E0000}"/>
    <cellStyle name="Input 2 4 3" xfId="8369" xr:uid="{00000000-0005-0000-0000-0000400E0000}"/>
    <cellStyle name="Input 2 5" xfId="3577" xr:uid="{00000000-0005-0000-0000-0000410E0000}"/>
    <cellStyle name="Input 2 5 2" xfId="5189" xr:uid="{00000000-0005-0000-0000-0000420E0000}"/>
    <cellStyle name="Input 2 5 3" xfId="8561" xr:uid="{00000000-0005-0000-0000-0000430E0000}"/>
    <cellStyle name="Input 2 6" xfId="3331" xr:uid="{00000000-0005-0000-0000-0000440E0000}"/>
    <cellStyle name="Input 2 6 2" xfId="4962" xr:uid="{00000000-0005-0000-0000-0000450E0000}"/>
    <cellStyle name="Input 2 6 3" xfId="8366" xr:uid="{00000000-0005-0000-0000-0000460E0000}"/>
    <cellStyle name="Input 2 7" xfId="4045" xr:uid="{00000000-0005-0000-0000-0000470E0000}"/>
    <cellStyle name="Input 2 8" xfId="6365" xr:uid="{00000000-0005-0000-0000-0000480E0000}"/>
    <cellStyle name="Input 2 9" xfId="1085" xr:uid="{00000000-0005-0000-0000-0000490E0000}"/>
    <cellStyle name="Input 3" xfId="3335" xr:uid="{00000000-0005-0000-0000-00004A0E0000}"/>
    <cellStyle name="Input 3 2" xfId="3336" xr:uid="{00000000-0005-0000-0000-00004B0E0000}"/>
    <cellStyle name="Input 3 2 2" xfId="4967" xr:uid="{00000000-0005-0000-0000-00004C0E0000}"/>
    <cellStyle name="Input 3 2 3" xfId="8371" xr:uid="{00000000-0005-0000-0000-00004D0E0000}"/>
    <cellStyle name="Input 3 3" xfId="3337" xr:uid="{00000000-0005-0000-0000-00004E0E0000}"/>
    <cellStyle name="Input 3 3 2" xfId="4968" xr:uid="{00000000-0005-0000-0000-00004F0E0000}"/>
    <cellStyle name="Input 3 3 3" xfId="8372" xr:uid="{00000000-0005-0000-0000-0000500E0000}"/>
    <cellStyle name="Input 3 4" xfId="3338" xr:uid="{00000000-0005-0000-0000-0000510E0000}"/>
    <cellStyle name="Input 3 4 2" xfId="4969" xr:uid="{00000000-0005-0000-0000-0000520E0000}"/>
    <cellStyle name="Input 3 4 3" xfId="8373" xr:uid="{00000000-0005-0000-0000-0000530E0000}"/>
    <cellStyle name="Input 3 5" xfId="4966" xr:uid="{00000000-0005-0000-0000-0000540E0000}"/>
    <cellStyle name="Input 3 6" xfId="8370" xr:uid="{00000000-0005-0000-0000-0000550E0000}"/>
    <cellStyle name="Input 4" xfId="3339" xr:uid="{00000000-0005-0000-0000-0000560E0000}"/>
    <cellStyle name="Input 4 2" xfId="3340" xr:uid="{00000000-0005-0000-0000-0000570E0000}"/>
    <cellStyle name="Input 4 2 2" xfId="4971" xr:uid="{00000000-0005-0000-0000-0000580E0000}"/>
    <cellStyle name="Input 4 2 3" xfId="8375" xr:uid="{00000000-0005-0000-0000-0000590E0000}"/>
    <cellStyle name="Input 4 3" xfId="3341" xr:uid="{00000000-0005-0000-0000-00005A0E0000}"/>
    <cellStyle name="Input 4 3 2" xfId="4972" xr:uid="{00000000-0005-0000-0000-00005B0E0000}"/>
    <cellStyle name="Input 4 3 3" xfId="8376" xr:uid="{00000000-0005-0000-0000-00005C0E0000}"/>
    <cellStyle name="Input 4 4" xfId="3342" xr:uid="{00000000-0005-0000-0000-00005D0E0000}"/>
    <cellStyle name="Input 4 4 2" xfId="4973" xr:uid="{00000000-0005-0000-0000-00005E0E0000}"/>
    <cellStyle name="Input 4 4 3" xfId="8377" xr:uid="{00000000-0005-0000-0000-00005F0E0000}"/>
    <cellStyle name="Input 4 5" xfId="4970" xr:uid="{00000000-0005-0000-0000-0000600E0000}"/>
    <cellStyle name="Input 4 6" xfId="8374" xr:uid="{00000000-0005-0000-0000-0000610E0000}"/>
    <cellStyle name="Input 5" xfId="3343" xr:uid="{00000000-0005-0000-0000-0000620E0000}"/>
    <cellStyle name="Input 5 2" xfId="3344" xr:uid="{00000000-0005-0000-0000-0000630E0000}"/>
    <cellStyle name="Input 5 2 2" xfId="4975" xr:uid="{00000000-0005-0000-0000-0000640E0000}"/>
    <cellStyle name="Input 5 2 3" xfId="8379" xr:uid="{00000000-0005-0000-0000-0000650E0000}"/>
    <cellStyle name="Input 5 3" xfId="3345" xr:uid="{00000000-0005-0000-0000-0000660E0000}"/>
    <cellStyle name="Input 5 3 2" xfId="4976" xr:uid="{00000000-0005-0000-0000-0000670E0000}"/>
    <cellStyle name="Input 5 3 3" xfId="8380" xr:uid="{00000000-0005-0000-0000-0000680E0000}"/>
    <cellStyle name="Input 5 4" xfId="3346" xr:uid="{00000000-0005-0000-0000-0000690E0000}"/>
    <cellStyle name="Input 5 4 2" xfId="4977" xr:uid="{00000000-0005-0000-0000-00006A0E0000}"/>
    <cellStyle name="Input 5 4 3" xfId="8381" xr:uid="{00000000-0005-0000-0000-00006B0E0000}"/>
    <cellStyle name="Input 5 5" xfId="4974" xr:uid="{00000000-0005-0000-0000-00006C0E0000}"/>
    <cellStyle name="Input 5 6" xfId="8378" xr:uid="{00000000-0005-0000-0000-00006D0E0000}"/>
    <cellStyle name="Input 6" xfId="3347" xr:uid="{00000000-0005-0000-0000-00006E0E0000}"/>
    <cellStyle name="Input 6 2" xfId="4978" xr:uid="{00000000-0005-0000-0000-00006F0E0000}"/>
    <cellStyle name="Input 6 3" xfId="8382" xr:uid="{00000000-0005-0000-0000-0000700E0000}"/>
    <cellStyle name="Input 7" xfId="3348" xr:uid="{00000000-0005-0000-0000-0000710E0000}"/>
    <cellStyle name="Input 7 2" xfId="4979" xr:uid="{00000000-0005-0000-0000-0000720E0000}"/>
    <cellStyle name="Input 7 3" xfId="8383" xr:uid="{00000000-0005-0000-0000-0000730E0000}"/>
    <cellStyle name="Input 8" xfId="3349" xr:uid="{00000000-0005-0000-0000-0000740E0000}"/>
    <cellStyle name="Input 8 2" xfId="4980" xr:uid="{00000000-0005-0000-0000-0000750E0000}"/>
    <cellStyle name="Input 8 3" xfId="8384" xr:uid="{00000000-0005-0000-0000-0000760E0000}"/>
    <cellStyle name="Input 9" xfId="3330" xr:uid="{00000000-0005-0000-0000-0000770E0000}"/>
    <cellStyle name="Input 9 2" xfId="4961" xr:uid="{00000000-0005-0000-0000-0000780E0000}"/>
    <cellStyle name="Input 9 3" xfId="8365"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6" xr:uid="{00000000-0005-0000-0000-00007F0E0000}"/>
    <cellStyle name="Linked Cell 2 2" xfId="3580" xr:uid="{00000000-0005-0000-0000-0000800E0000}"/>
    <cellStyle name="Linked Cell 2 2 2" xfId="5192" xr:uid="{00000000-0005-0000-0000-0000810E0000}"/>
    <cellStyle name="Linked Cell 2 2 3" xfId="8564" xr:uid="{00000000-0005-0000-0000-0000820E0000}"/>
    <cellStyle name="Linked Cell 2 3" xfId="3351" xr:uid="{00000000-0005-0000-0000-0000830E0000}"/>
    <cellStyle name="Linked Cell 2 3 2" xfId="4982" xr:uid="{00000000-0005-0000-0000-0000840E0000}"/>
    <cellStyle name="Linked Cell 2 3 3" xfId="8386" xr:uid="{00000000-0005-0000-0000-0000850E0000}"/>
    <cellStyle name="Linked Cell 2 4" xfId="4047" xr:uid="{00000000-0005-0000-0000-0000860E0000}"/>
    <cellStyle name="Linked Cell 2 5" xfId="6366" xr:uid="{00000000-0005-0000-0000-0000870E0000}"/>
    <cellStyle name="Linked Cell 3" xfId="3352" xr:uid="{00000000-0005-0000-0000-0000880E0000}"/>
    <cellStyle name="Linked Cell 3 2" xfId="4983" xr:uid="{00000000-0005-0000-0000-0000890E0000}"/>
    <cellStyle name="Linked Cell 3 3" xfId="8387" xr:uid="{00000000-0005-0000-0000-00008A0E0000}"/>
    <cellStyle name="Linked Cell 4" xfId="3353" xr:uid="{00000000-0005-0000-0000-00008B0E0000}"/>
    <cellStyle name="Linked Cell 4 2" xfId="4984" xr:uid="{00000000-0005-0000-0000-00008C0E0000}"/>
    <cellStyle name="Linked Cell 4 3" xfId="8388" xr:uid="{00000000-0005-0000-0000-00008D0E0000}"/>
    <cellStyle name="Linked Cell 5" xfId="3354" xr:uid="{00000000-0005-0000-0000-00008E0E0000}"/>
    <cellStyle name="Linked Cell 5 2" xfId="4985" xr:uid="{00000000-0005-0000-0000-00008F0E0000}"/>
    <cellStyle name="Linked Cell 5 3" xfId="8389" xr:uid="{00000000-0005-0000-0000-0000900E0000}"/>
    <cellStyle name="Linked Cell 6" xfId="3350" xr:uid="{00000000-0005-0000-0000-0000910E0000}"/>
    <cellStyle name="Linked Cell 6 2" xfId="4981" xr:uid="{00000000-0005-0000-0000-0000920E0000}"/>
    <cellStyle name="Linked Cell 6 3" xfId="8385" xr:uid="{00000000-0005-0000-0000-0000930E0000}"/>
    <cellStyle name="Linked Cell 7" xfId="4046" xr:uid="{00000000-0005-0000-0000-0000940E0000}"/>
    <cellStyle name="Linked Cell 8" xfId="2493" xr:uid="{00000000-0005-0000-0000-0000950E0000}"/>
    <cellStyle name="Locked Cell - PerformancePoint" xfId="8780" xr:uid="{00000000-0005-0000-0000-0000960E0000}"/>
    <cellStyle name="Millares_CALDERA.XLC" xfId="440" xr:uid="{00000000-0005-0000-0000-0000970E0000}"/>
    <cellStyle name="Milliers [0]_CONV" xfId="8781" xr:uid="{00000000-0005-0000-0000-0000980E0000}"/>
    <cellStyle name="Milliers_CONV" xfId="8782" xr:uid="{00000000-0005-0000-0000-0000990E0000}"/>
    <cellStyle name="Moeda 10" xfId="3822" xr:uid="{00000000-0005-0000-0000-00009A0E0000}"/>
    <cellStyle name="Moeda 10 2" xfId="8733" xr:uid="{00000000-0005-0000-0000-00009B0E0000}"/>
    <cellStyle name="Moeda 10 2 2" xfId="8957" xr:uid="{00000000-0005-0000-0000-00009C0E0000}"/>
    <cellStyle name="Moeda 10 2 2 2" xfId="9121" xr:uid="{00000000-0005-0000-0000-00009D0E0000}"/>
    <cellStyle name="Moeda 10 2 2 2 2" xfId="9494" xr:uid="{4DBE9825-C259-4686-A39D-D7CEC502FBCF}"/>
    <cellStyle name="Moeda 10 2 2 2 3" xfId="9830" xr:uid="{5E70C963-D787-4C35-90BB-E4BABD71A16F}"/>
    <cellStyle name="Moeda 10 2 2 3" xfId="9340" xr:uid="{04147F13-E44A-4DFC-B99E-5BAAF4FE2162}"/>
    <cellStyle name="Moeda 10 2 2 4" xfId="9676" xr:uid="{18505A0C-ED1D-4BF7-B6F8-69731B83856E}"/>
    <cellStyle name="Moeda 10 2 3" xfId="9044" xr:uid="{00000000-0005-0000-0000-00009E0E0000}"/>
    <cellStyle name="Moeda 10 2 3 2" xfId="9417" xr:uid="{9DA3C718-4F18-4075-8F3F-1D9E9CBCE369}"/>
    <cellStyle name="Moeda 10 2 3 3" xfId="9753" xr:uid="{B7728980-BDE3-4A65-85A1-43AFA957A3DB}"/>
    <cellStyle name="Moeda 10 2 4" xfId="9262" xr:uid="{9BC9289B-5BA6-46D2-8591-11A5512692BB}"/>
    <cellStyle name="Moeda 10 2 5" xfId="9598" xr:uid="{24725A42-5646-42DB-93C6-270150F87B6B}"/>
    <cellStyle name="Moeda 10 3" xfId="8931" xr:uid="{00000000-0005-0000-0000-00009F0E0000}"/>
    <cellStyle name="Moeda 10 3 2" xfId="9095" xr:uid="{00000000-0005-0000-0000-0000A00E0000}"/>
    <cellStyle name="Moeda 10 3 2 2" xfId="9468" xr:uid="{E402856D-E214-4173-991E-44089BECFF2F}"/>
    <cellStyle name="Moeda 10 3 2 3" xfId="9804" xr:uid="{E7C7D345-38CB-450D-B378-5DB452D484B5}"/>
    <cellStyle name="Moeda 10 3 3" xfId="9314" xr:uid="{B076EB90-6D4F-463A-BC94-181B81247505}"/>
    <cellStyle name="Moeda 10 3 4" xfId="9650" xr:uid="{23427D4F-10E8-4485-A2BF-FFF6D611D71F}"/>
    <cellStyle name="Moeda 10 4" xfId="9018" xr:uid="{00000000-0005-0000-0000-0000A10E0000}"/>
    <cellStyle name="Moeda 10 4 2" xfId="9391" xr:uid="{C3FDCF00-CA93-442F-88C5-F2C5D4E627DA}"/>
    <cellStyle name="Moeda 10 4 3" xfId="9727" xr:uid="{63CD8045-251C-4100-824A-EDC0D091430C}"/>
    <cellStyle name="Moeda 10 5" xfId="9236" xr:uid="{ADB3D283-7010-4CCA-9D3D-BCE28BF494C9}"/>
    <cellStyle name="Moeda 10 6" xfId="9572" xr:uid="{BF8C641B-E6FA-4CAC-8646-79B57057248A}"/>
    <cellStyle name="Moeda 11" xfId="8880" xr:uid="{00000000-0005-0000-0000-0000A20E0000}"/>
    <cellStyle name="Moeda 11 2" xfId="8964" xr:uid="{00000000-0005-0000-0000-0000A30E0000}"/>
    <cellStyle name="Moeda 11 2 2" xfId="9127" xr:uid="{00000000-0005-0000-0000-0000A40E0000}"/>
    <cellStyle name="Moeda 11 2 2 2" xfId="9500" xr:uid="{90BC6E02-B07E-4699-BBA0-A3A71186F3B4}"/>
    <cellStyle name="Moeda 11 2 2 3" xfId="9836" xr:uid="{E08E6E90-FD7E-4004-9D94-9CDC6515F8D1}"/>
    <cellStyle name="Moeda 11 2 3" xfId="9346" xr:uid="{76D945F3-B383-4124-9F5E-43C3E5BE92EA}"/>
    <cellStyle name="Moeda 11 2 4" xfId="9682" xr:uid="{383DBCEE-9A7E-484D-89CC-AC2B6722F260}"/>
    <cellStyle name="Moeda 11 3" xfId="9049" xr:uid="{00000000-0005-0000-0000-0000A50E0000}"/>
    <cellStyle name="Moeda 11 3 2" xfId="9422" xr:uid="{841C7277-A70B-411F-829C-9B8419E26968}"/>
    <cellStyle name="Moeda 11 3 3" xfId="9758" xr:uid="{0DECCF1B-D978-4586-86B8-2C2DB8BF43F6}"/>
    <cellStyle name="Moeda 11 4" xfId="9268" xr:uid="{EFD8F6BA-6011-46C4-AEFF-8E89DCECD9C2}"/>
    <cellStyle name="Moeda 11 5" xfId="9604" xr:uid="{E4477231-6AD5-40FE-8F5D-E08846D2F4EE}"/>
    <cellStyle name="Moeda 12" xfId="9139" xr:uid="{00000000-0005-0000-0000-0000A60E0000}"/>
    <cellStyle name="Moeda 12 2" xfId="9503" xr:uid="{D66FBD58-282E-4C16-ADD7-C52A4B04871F}"/>
    <cellStyle name="Moeda 12 3" xfId="9839" xr:uid="{8A31B8B0-81DC-4DF3-A057-71E8D15ACACF}"/>
    <cellStyle name="Moeda 13" xfId="9150" xr:uid="{00000000-0005-0000-0000-0000A70E0000}"/>
    <cellStyle name="Moeda 13 2" xfId="9504" xr:uid="{E2F15DB6-58DA-475A-85A2-3FC7C1252A4E}"/>
    <cellStyle name="Moeda 13 3" xfId="9840" xr:uid="{4B533E15-3C37-4E31-BEDB-1F64813E8879}"/>
    <cellStyle name="Moeda 14" xfId="9163" xr:uid="{00000000-0005-0000-0000-0000A80E0000}"/>
    <cellStyle name="Moeda 14 2" xfId="9505" xr:uid="{EADDFFBB-F222-4053-8DFF-8B47BBC37A80}"/>
    <cellStyle name="Moeda 14 3" xfId="9841"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8" xr:uid="{A3986014-947F-4C10-BF90-81293FA2C789}"/>
    <cellStyle name="Moeda 2 2 2 11" xfId="9514" xr:uid="{60E0A67F-050B-4E7A-887B-39014EDD14FC}"/>
    <cellStyle name="Moeda 2 2 2 2" xfId="2968" xr:uid="{00000000-0005-0000-0000-0000AC0E0000}"/>
    <cellStyle name="Moeda 2 2 2 2 2" xfId="8024" xr:uid="{00000000-0005-0000-0000-0000AD0E0000}"/>
    <cellStyle name="Moeda 2 2 2 2 2 2" xfId="8943" xr:uid="{00000000-0005-0000-0000-0000AE0E0000}"/>
    <cellStyle name="Moeda 2 2 2 2 2 2 2" xfId="9107" xr:uid="{00000000-0005-0000-0000-0000AF0E0000}"/>
    <cellStyle name="Moeda 2 2 2 2 2 2 2 2" xfId="9480" xr:uid="{14E758A5-461B-4FCF-A5F6-0F68D1AACADF}"/>
    <cellStyle name="Moeda 2 2 2 2 2 2 2 3" xfId="9816" xr:uid="{C15E817B-8A05-4202-B1C9-78CDB37847E1}"/>
    <cellStyle name="Moeda 2 2 2 2 2 2 3" xfId="9326" xr:uid="{43AD5BE2-C6DC-4A68-9973-B24CEC02407D}"/>
    <cellStyle name="Moeda 2 2 2 2 2 2 4" xfId="9662" xr:uid="{4A6003CD-A8CF-4F9F-AA74-BEB8FDEE1F03}"/>
    <cellStyle name="Moeda 2 2 2 2 2 3" xfId="9030" xr:uid="{00000000-0005-0000-0000-0000B00E0000}"/>
    <cellStyle name="Moeda 2 2 2 2 2 3 2" xfId="9403" xr:uid="{88E3BD78-2023-4AE5-8BF6-676448B61131}"/>
    <cellStyle name="Moeda 2 2 2 2 2 3 3" xfId="9739" xr:uid="{75058079-9FF9-4E0E-92E8-2A5F3636B35F}"/>
    <cellStyle name="Moeda 2 2 2 2 2 4" xfId="9248" xr:uid="{4EC8216E-85F2-4E08-BF78-CD6B2D6AC3A7}"/>
    <cellStyle name="Moeda 2 2 2 2 2 5" xfId="9584" xr:uid="{EDBEF766-0059-4699-8A4C-1AB3B8CA82C1}"/>
    <cellStyle name="Moeda 2 2 2 2 3" xfId="8912" xr:uid="{00000000-0005-0000-0000-0000B10E0000}"/>
    <cellStyle name="Moeda 2 2 2 2 3 2" xfId="9076" xr:uid="{00000000-0005-0000-0000-0000B20E0000}"/>
    <cellStyle name="Moeda 2 2 2 2 3 2 2" xfId="9449" xr:uid="{321A6FB5-6E74-4CCF-955E-57A900918099}"/>
    <cellStyle name="Moeda 2 2 2 2 3 2 3" xfId="9785" xr:uid="{2C4EDBD5-9D3C-44C3-BD82-57627D0A5715}"/>
    <cellStyle name="Moeda 2 2 2 2 3 3" xfId="9295" xr:uid="{D1F036AD-0F8A-469B-BDE2-BCC2CB75A3B0}"/>
    <cellStyle name="Moeda 2 2 2 2 3 4" xfId="9631" xr:uid="{055DBFD6-8FBF-45EF-AC5E-9E5F746D19A9}"/>
    <cellStyle name="Moeda 2 2 2 2 4" xfId="9001" xr:uid="{00000000-0005-0000-0000-0000B30E0000}"/>
    <cellStyle name="Moeda 2 2 2 2 4 2" xfId="9374" xr:uid="{D1775836-DCB6-4766-ADA8-E8925DF36DC1}"/>
    <cellStyle name="Moeda 2 2 2 2 4 3" xfId="9710" xr:uid="{A052A9F7-C2A5-4EF0-9748-ADD25A50071A}"/>
    <cellStyle name="Moeda 2 2 2 2 5" xfId="9217" xr:uid="{A2F23EAD-F38F-41D9-A51D-6C02D7F98F08}"/>
    <cellStyle name="Moeda 2 2 2 2 6" xfId="9553" xr:uid="{1B76C055-D155-4659-AE9A-398A5F986E38}"/>
    <cellStyle name="Moeda 2 2 2 3" xfId="3068" xr:uid="{00000000-0005-0000-0000-0000B40E0000}"/>
    <cellStyle name="Moeda 2 2 2 3 2" xfId="8124" xr:uid="{00000000-0005-0000-0000-0000B50E0000}"/>
    <cellStyle name="Moeda 2 2 2 3 2 2" xfId="8949" xr:uid="{00000000-0005-0000-0000-0000B60E0000}"/>
    <cellStyle name="Moeda 2 2 2 3 2 2 2" xfId="9113" xr:uid="{00000000-0005-0000-0000-0000B70E0000}"/>
    <cellStyle name="Moeda 2 2 2 3 2 2 2 2" xfId="9486" xr:uid="{D7EF4D58-C412-4F1B-91CF-E810FD874297}"/>
    <cellStyle name="Moeda 2 2 2 3 2 2 2 3" xfId="9822" xr:uid="{09E82B5C-7590-436E-8D5A-A624DFA7212B}"/>
    <cellStyle name="Moeda 2 2 2 3 2 2 3" xfId="9332" xr:uid="{596BA784-3D57-4C81-98CE-C252EA7EC16B}"/>
    <cellStyle name="Moeda 2 2 2 3 2 2 4" xfId="9668" xr:uid="{71F58FA4-B5C0-4CFA-B867-58B9D92B2D27}"/>
    <cellStyle name="Moeda 2 2 2 3 2 3" xfId="9036" xr:uid="{00000000-0005-0000-0000-0000B80E0000}"/>
    <cellStyle name="Moeda 2 2 2 3 2 3 2" xfId="9409" xr:uid="{E5FA3569-2073-433D-B133-7EDF2B70FA2B}"/>
    <cellStyle name="Moeda 2 2 2 3 2 3 3" xfId="9745" xr:uid="{4EE739ED-5B41-4E13-8709-92AD17325E60}"/>
    <cellStyle name="Moeda 2 2 2 3 2 4" xfId="9254" xr:uid="{A42B5C6B-1849-4508-8322-8CCA5078465E}"/>
    <cellStyle name="Moeda 2 2 2 3 2 5" xfId="9590" xr:uid="{F23259E2-CD1F-4203-B1B3-9D3424A8F6B4}"/>
    <cellStyle name="Moeda 2 2 2 3 3" xfId="8918" xr:uid="{00000000-0005-0000-0000-0000B90E0000}"/>
    <cellStyle name="Moeda 2 2 2 3 3 2" xfId="9082" xr:uid="{00000000-0005-0000-0000-0000BA0E0000}"/>
    <cellStyle name="Moeda 2 2 2 3 3 2 2" xfId="9455" xr:uid="{733BE04B-085B-473F-A601-E9C4C023EA0D}"/>
    <cellStyle name="Moeda 2 2 2 3 3 2 3" xfId="9791" xr:uid="{6C2FD1FF-B44D-4349-997A-6BCE5A92D662}"/>
    <cellStyle name="Moeda 2 2 2 3 3 3" xfId="9301" xr:uid="{1C010FBE-F42C-42F5-8B1C-62316532D30D}"/>
    <cellStyle name="Moeda 2 2 2 3 3 4" xfId="9637" xr:uid="{5F40CA43-D591-4DF2-BF00-611A32B3F1DB}"/>
    <cellStyle name="Moeda 2 2 2 3 4" xfId="9007" xr:uid="{00000000-0005-0000-0000-0000BB0E0000}"/>
    <cellStyle name="Moeda 2 2 2 3 4 2" xfId="9380" xr:uid="{B4BB1608-83B2-4E3F-861A-05ACEFF5A775}"/>
    <cellStyle name="Moeda 2 2 2 3 4 3" xfId="9716" xr:uid="{4AA37733-BC6A-489A-A393-C4B3C1F213FE}"/>
    <cellStyle name="Moeda 2 2 2 3 5" xfId="9223" xr:uid="{8B515B4F-B1FF-4BE4-A8A5-F7E364FE691E}"/>
    <cellStyle name="Moeda 2 2 2 3 6" xfId="9559" xr:uid="{E46BB371-6EC9-48DD-8ED7-C0BF23301461}"/>
    <cellStyle name="Moeda 2 2 2 4" xfId="3777" xr:uid="{00000000-0005-0000-0000-0000BC0E0000}"/>
    <cellStyle name="Moeda 2 2 2 4 2" xfId="8688" xr:uid="{00000000-0005-0000-0000-0000BD0E0000}"/>
    <cellStyle name="Moeda 2 2 2 4 2 2" xfId="8954" xr:uid="{00000000-0005-0000-0000-0000BE0E0000}"/>
    <cellStyle name="Moeda 2 2 2 4 2 2 2" xfId="9118" xr:uid="{00000000-0005-0000-0000-0000BF0E0000}"/>
    <cellStyle name="Moeda 2 2 2 4 2 2 2 2" xfId="9491" xr:uid="{6D73FE94-263A-44D9-9D8A-661997092FBB}"/>
    <cellStyle name="Moeda 2 2 2 4 2 2 2 3" xfId="9827" xr:uid="{7B2A2A15-91C2-4263-80D2-A77DE73F008A}"/>
    <cellStyle name="Moeda 2 2 2 4 2 2 3" xfId="9337" xr:uid="{6A52F953-03F6-457C-A074-F7A4899DBA69}"/>
    <cellStyle name="Moeda 2 2 2 4 2 2 4" xfId="9673" xr:uid="{F05E7B57-113B-47D5-A9D8-4F5827924CE5}"/>
    <cellStyle name="Moeda 2 2 2 4 2 3" xfId="9041" xr:uid="{00000000-0005-0000-0000-0000C00E0000}"/>
    <cellStyle name="Moeda 2 2 2 4 2 3 2" xfId="9414" xr:uid="{5BDB1C64-6304-464D-83D5-891C33121694}"/>
    <cellStyle name="Moeda 2 2 2 4 2 3 3" xfId="9750" xr:uid="{FC2E8FB7-4718-4457-9FAB-7CAEAB402C03}"/>
    <cellStyle name="Moeda 2 2 2 4 2 4" xfId="9259" xr:uid="{DE30596C-3A88-4A79-B118-69B6A9B17ED1}"/>
    <cellStyle name="Moeda 2 2 2 4 2 5" xfId="9595" xr:uid="{FAE140CD-D8D1-48CF-AED6-41F220D0BC4D}"/>
    <cellStyle name="Moeda 2 2 2 4 3" xfId="8928" xr:uid="{00000000-0005-0000-0000-0000C10E0000}"/>
    <cellStyle name="Moeda 2 2 2 4 3 2" xfId="9092" xr:uid="{00000000-0005-0000-0000-0000C20E0000}"/>
    <cellStyle name="Moeda 2 2 2 4 3 2 2" xfId="9465" xr:uid="{3CD2E3EC-AF59-4D65-92BF-A837C2F94F0D}"/>
    <cellStyle name="Moeda 2 2 2 4 3 2 3" xfId="9801" xr:uid="{23D53667-0DD9-4627-9583-B797CB4DD4F9}"/>
    <cellStyle name="Moeda 2 2 2 4 3 3" xfId="9311" xr:uid="{F3BF0A02-9663-4B02-850E-A9F47F2A1597}"/>
    <cellStyle name="Moeda 2 2 2 4 3 4" xfId="9647" xr:uid="{A1230BAF-385F-4556-94A5-EAADDD97561D}"/>
    <cellStyle name="Moeda 2 2 2 4 4" xfId="9015" xr:uid="{00000000-0005-0000-0000-0000C30E0000}"/>
    <cellStyle name="Moeda 2 2 2 4 4 2" xfId="9388" xr:uid="{DA1865CB-2CEC-4345-80A9-A2BD19D16C12}"/>
    <cellStyle name="Moeda 2 2 2 4 4 3" xfId="9724" xr:uid="{B4808C56-FFD5-4D5C-97B4-5D9505F224E1}"/>
    <cellStyle name="Moeda 2 2 2 4 5" xfId="9233" xr:uid="{F11B144C-95FE-4B90-BDB6-DABB6F36B310}"/>
    <cellStyle name="Moeda 2 2 2 4 6" xfId="9569" xr:uid="{3A47D561-A859-4A3B-AAA6-4848A5DC460D}"/>
    <cellStyle name="Moeda 2 2 2 5" xfId="2875" xr:uid="{00000000-0005-0000-0000-0000C40E0000}"/>
    <cellStyle name="Moeda 2 2 2 5 2" xfId="8906" xr:uid="{00000000-0005-0000-0000-0000C50E0000}"/>
    <cellStyle name="Moeda 2 2 2 5 2 2" xfId="9070" xr:uid="{00000000-0005-0000-0000-0000C60E0000}"/>
    <cellStyle name="Moeda 2 2 2 5 2 2 2" xfId="9443" xr:uid="{B836975F-8ABA-4D4C-A94C-5BE42C1C60AF}"/>
    <cellStyle name="Moeda 2 2 2 5 2 2 3" xfId="9779" xr:uid="{0DD3EC01-A86C-4A60-899B-738A801476B6}"/>
    <cellStyle name="Moeda 2 2 2 5 2 3" xfId="9289" xr:uid="{1CFE3118-3C76-4820-80C2-8330A6F3DF13}"/>
    <cellStyle name="Moeda 2 2 2 5 2 4" xfId="9625" xr:uid="{3F87595E-9F86-4161-92CD-8E3ED06C12A3}"/>
    <cellStyle name="Moeda 2 2 2 5 3" xfId="8995" xr:uid="{00000000-0005-0000-0000-0000C70E0000}"/>
    <cellStyle name="Moeda 2 2 2 5 3 2" xfId="9368" xr:uid="{A3B1C66C-490B-4269-B533-2C1FA500750E}"/>
    <cellStyle name="Moeda 2 2 2 5 3 3" xfId="9704" xr:uid="{C215F091-C325-4F8F-8E16-E49A1F04B2B0}"/>
    <cellStyle name="Moeda 2 2 2 5 4" xfId="9211" xr:uid="{0484A6B6-0ECC-4E95-89F5-CF3D41376306}"/>
    <cellStyle name="Moeda 2 2 2 5 5" xfId="9547" xr:uid="{AA222CFA-8B31-41DD-AF94-1D82AB6C5AEE}"/>
    <cellStyle name="Moeda 2 2 2 6" xfId="7852" xr:uid="{00000000-0005-0000-0000-0000C80E0000}"/>
    <cellStyle name="Moeda 2 2 2 6 2" xfId="8934" xr:uid="{00000000-0005-0000-0000-0000C90E0000}"/>
    <cellStyle name="Moeda 2 2 2 6 2 2" xfId="9098" xr:uid="{00000000-0005-0000-0000-0000CA0E0000}"/>
    <cellStyle name="Moeda 2 2 2 6 2 2 2" xfId="9471" xr:uid="{84FD5F03-7C19-4787-8AE3-26B775DDAC77}"/>
    <cellStyle name="Moeda 2 2 2 6 2 2 3" xfId="9807" xr:uid="{2C73568C-BECC-4CAD-8446-66604FE344F5}"/>
    <cellStyle name="Moeda 2 2 2 6 2 3" xfId="9317" xr:uid="{A9AECA4A-596A-4F52-B0A3-56C5DE8004E6}"/>
    <cellStyle name="Moeda 2 2 2 6 2 4" xfId="9653" xr:uid="{C20227D0-7CD3-4715-8F38-C951C356A00E}"/>
    <cellStyle name="Moeda 2 2 2 6 3" xfId="9021" xr:uid="{00000000-0005-0000-0000-0000CB0E0000}"/>
    <cellStyle name="Moeda 2 2 2 6 3 2" xfId="9394" xr:uid="{545339FB-71C0-4479-AF87-50903439A7F0}"/>
    <cellStyle name="Moeda 2 2 2 6 3 3" xfId="9730" xr:uid="{B1E57761-2F79-4498-A326-3228E32BBB6E}"/>
    <cellStyle name="Moeda 2 2 2 6 4" xfId="9239" xr:uid="{0B02131A-BCBE-4403-939E-22A13EED32E9}"/>
    <cellStyle name="Moeda 2 2 2 6 5" xfId="9575" xr:uid="{576CD525-A938-49C4-B756-6BF61BEDA8B2}"/>
    <cellStyle name="Moeda 2 2 2 7" xfId="8897" xr:uid="{00000000-0005-0000-0000-0000CC0E0000}"/>
    <cellStyle name="Moeda 2 2 2 7 2" xfId="9061" xr:uid="{00000000-0005-0000-0000-0000CD0E0000}"/>
    <cellStyle name="Moeda 2 2 2 7 2 2" xfId="9434" xr:uid="{2536416F-452C-453C-9833-3FAB32D3264B}"/>
    <cellStyle name="Moeda 2 2 2 7 2 3" xfId="9770" xr:uid="{00FBB6F4-3604-47F7-9DA9-12D2B231E519}"/>
    <cellStyle name="Moeda 2 2 2 7 3" xfId="9280" xr:uid="{7C11D158-D381-40FD-9398-C531CA68930D}"/>
    <cellStyle name="Moeda 2 2 2 7 4" xfId="9616" xr:uid="{0DD3AE6A-1EF3-462C-BA47-B7043FDA0202}"/>
    <cellStyle name="Moeda 2 2 2 8" xfId="8986" xr:uid="{00000000-0005-0000-0000-0000CE0E0000}"/>
    <cellStyle name="Moeda 2 2 2 8 2" xfId="9359" xr:uid="{4E915A9B-B028-49FC-9DE4-1D7B5C85D3DB}"/>
    <cellStyle name="Moeda 2 2 2 8 3" xfId="9695" xr:uid="{959075E1-34F8-4A7C-8CEB-12F3E75136B7}"/>
    <cellStyle name="Moeda 2 2 2 9" xfId="2640" xr:uid="{00000000-0005-0000-0000-0000CF0E0000}"/>
    <cellStyle name="Moeda 2 2 2 9 2" xfId="9202" xr:uid="{2886D2AE-FF2C-4476-9B03-4E9A31D02D75}"/>
    <cellStyle name="Moeda 2 2 2 9 3" xfId="9538" xr:uid="{2094CB75-4DD2-4EEC-83C1-E5078A678BD5}"/>
    <cellStyle name="Moeda 2 2 3" xfId="2641" xr:uid="{00000000-0005-0000-0000-0000D00E0000}"/>
    <cellStyle name="Moeda 2 2 3 10" xfId="9539" xr:uid="{037FB5EE-8F97-488D-9F17-624981EC5E60}"/>
    <cellStyle name="Moeda 2 2 3 2" xfId="2969" xr:uid="{00000000-0005-0000-0000-0000D10E0000}"/>
    <cellStyle name="Moeda 2 2 3 2 2" xfId="8025" xr:uid="{00000000-0005-0000-0000-0000D20E0000}"/>
    <cellStyle name="Moeda 2 2 3 2 2 2" xfId="8944" xr:uid="{00000000-0005-0000-0000-0000D30E0000}"/>
    <cellStyle name="Moeda 2 2 3 2 2 2 2" xfId="9108" xr:uid="{00000000-0005-0000-0000-0000D40E0000}"/>
    <cellStyle name="Moeda 2 2 3 2 2 2 2 2" xfId="9481" xr:uid="{75078B0F-6A23-4F72-AEF8-8E001572C1C2}"/>
    <cellStyle name="Moeda 2 2 3 2 2 2 2 3" xfId="9817" xr:uid="{F104A88A-158C-43E0-A569-76EB247500CE}"/>
    <cellStyle name="Moeda 2 2 3 2 2 2 3" xfId="9327" xr:uid="{CBC5B8BB-2252-45CD-A478-4BE0B2ED88DE}"/>
    <cellStyle name="Moeda 2 2 3 2 2 2 4" xfId="9663" xr:uid="{2D47AF01-5538-4F67-8746-9A9D199AE636}"/>
    <cellStyle name="Moeda 2 2 3 2 2 3" xfId="9031" xr:uid="{00000000-0005-0000-0000-0000D50E0000}"/>
    <cellStyle name="Moeda 2 2 3 2 2 3 2" xfId="9404" xr:uid="{BD549992-168A-4567-871F-FAAE98CBBC27}"/>
    <cellStyle name="Moeda 2 2 3 2 2 3 3" xfId="9740" xr:uid="{7D441BFA-8696-42A1-9021-B2C1E66C8145}"/>
    <cellStyle name="Moeda 2 2 3 2 2 4" xfId="9249" xr:uid="{71AD1431-7849-4837-8E85-ABB079A72D92}"/>
    <cellStyle name="Moeda 2 2 3 2 2 5" xfId="9585" xr:uid="{0BB6542D-1741-431D-BC0A-782AD96E8829}"/>
    <cellStyle name="Moeda 2 2 3 2 3" xfId="8913" xr:uid="{00000000-0005-0000-0000-0000D60E0000}"/>
    <cellStyle name="Moeda 2 2 3 2 3 2" xfId="9077" xr:uid="{00000000-0005-0000-0000-0000D70E0000}"/>
    <cellStyle name="Moeda 2 2 3 2 3 2 2" xfId="9450" xr:uid="{7EF4C592-0AB9-4935-B4BE-07801CF26080}"/>
    <cellStyle name="Moeda 2 2 3 2 3 2 3" xfId="9786" xr:uid="{F48CCD1A-04AE-431C-82B4-B01C01305867}"/>
    <cellStyle name="Moeda 2 2 3 2 3 3" xfId="9296" xr:uid="{671EDFE9-842A-4791-8961-91FAD66AC9DD}"/>
    <cellStyle name="Moeda 2 2 3 2 3 4" xfId="9632" xr:uid="{546149D1-3A3B-4CD4-9DF4-E6F45B1F84C3}"/>
    <cellStyle name="Moeda 2 2 3 2 4" xfId="9002" xr:uid="{00000000-0005-0000-0000-0000D80E0000}"/>
    <cellStyle name="Moeda 2 2 3 2 4 2" xfId="9375" xr:uid="{45ED85B8-2EED-453A-A8CD-019F2C68D469}"/>
    <cellStyle name="Moeda 2 2 3 2 4 3" xfId="9711" xr:uid="{D09BEED8-99F4-4601-99CF-5D16F2264074}"/>
    <cellStyle name="Moeda 2 2 3 2 5" xfId="9218" xr:uid="{47A5F72B-BE9C-4E0E-808A-7364045590E2}"/>
    <cellStyle name="Moeda 2 2 3 2 6" xfId="9554" xr:uid="{689FDB34-EF95-4B23-998E-DE975D53C3B7}"/>
    <cellStyle name="Moeda 2 2 3 3" xfId="3069" xr:uid="{00000000-0005-0000-0000-0000D90E0000}"/>
    <cellStyle name="Moeda 2 2 3 3 2" xfId="8125" xr:uid="{00000000-0005-0000-0000-0000DA0E0000}"/>
    <cellStyle name="Moeda 2 2 3 3 2 2" xfId="8950" xr:uid="{00000000-0005-0000-0000-0000DB0E0000}"/>
    <cellStyle name="Moeda 2 2 3 3 2 2 2" xfId="9114" xr:uid="{00000000-0005-0000-0000-0000DC0E0000}"/>
    <cellStyle name="Moeda 2 2 3 3 2 2 2 2" xfId="9487" xr:uid="{1F716C85-CBCB-486E-A82C-80076F3E8171}"/>
    <cellStyle name="Moeda 2 2 3 3 2 2 2 3" xfId="9823" xr:uid="{2FC7618F-3329-41FA-9A0F-716863480881}"/>
    <cellStyle name="Moeda 2 2 3 3 2 2 3" xfId="9333" xr:uid="{E03BDDB1-655C-4611-BECD-C52D6A41CB1D}"/>
    <cellStyle name="Moeda 2 2 3 3 2 2 4" xfId="9669" xr:uid="{C5C6B784-86F7-48DA-92A8-34615DACE687}"/>
    <cellStyle name="Moeda 2 2 3 3 2 3" xfId="9037" xr:uid="{00000000-0005-0000-0000-0000DD0E0000}"/>
    <cellStyle name="Moeda 2 2 3 3 2 3 2" xfId="9410" xr:uid="{DD11EF0B-CB5C-452B-9AEF-BC320A5FF7F6}"/>
    <cellStyle name="Moeda 2 2 3 3 2 3 3" xfId="9746" xr:uid="{23BD2457-E6CF-4B3F-ABEC-B4CEE9CB8714}"/>
    <cellStyle name="Moeda 2 2 3 3 2 4" xfId="9255" xr:uid="{A156666F-77A1-4037-B29B-0481E8F1700F}"/>
    <cellStyle name="Moeda 2 2 3 3 2 5" xfId="9591" xr:uid="{A8C1F5DB-339D-4555-9C9C-CD49E5D4AEDB}"/>
    <cellStyle name="Moeda 2 2 3 3 3" xfId="8919" xr:uid="{00000000-0005-0000-0000-0000DE0E0000}"/>
    <cellStyle name="Moeda 2 2 3 3 3 2" xfId="9083" xr:uid="{00000000-0005-0000-0000-0000DF0E0000}"/>
    <cellStyle name="Moeda 2 2 3 3 3 2 2" xfId="9456" xr:uid="{2602AC88-CCA4-4A23-8D7A-DC05F906C779}"/>
    <cellStyle name="Moeda 2 2 3 3 3 2 3" xfId="9792" xr:uid="{FDDF586D-7CC8-4F6F-ACDC-A6288E278B02}"/>
    <cellStyle name="Moeda 2 2 3 3 3 3" xfId="9302" xr:uid="{01D1866A-72E3-4CF5-ABA5-53A7143A842F}"/>
    <cellStyle name="Moeda 2 2 3 3 3 4" xfId="9638" xr:uid="{846E8594-9309-496F-952C-172C1410C40E}"/>
    <cellStyle name="Moeda 2 2 3 3 4" xfId="9008" xr:uid="{00000000-0005-0000-0000-0000E00E0000}"/>
    <cellStyle name="Moeda 2 2 3 3 4 2" xfId="9381" xr:uid="{CCC07D3A-7C52-44B7-844F-4884F4F75019}"/>
    <cellStyle name="Moeda 2 2 3 3 4 3" xfId="9717" xr:uid="{C0384AAA-7B4E-4831-B436-30EC6364A9BA}"/>
    <cellStyle name="Moeda 2 2 3 3 5" xfId="9224" xr:uid="{3B4D49F1-8D3D-4690-ACC9-C9161287DD30}"/>
    <cellStyle name="Moeda 2 2 3 3 6" xfId="9560" xr:uid="{5AACF6C7-BBC1-403C-A50A-C14E2091EBCD}"/>
    <cellStyle name="Moeda 2 2 3 4" xfId="3727" xr:uid="{00000000-0005-0000-0000-0000E10E0000}"/>
    <cellStyle name="Moeda 2 2 3 4 2" xfId="8641" xr:uid="{00000000-0005-0000-0000-0000E20E0000}"/>
    <cellStyle name="Moeda 2 2 3 4 2 2" xfId="8952" xr:uid="{00000000-0005-0000-0000-0000E30E0000}"/>
    <cellStyle name="Moeda 2 2 3 4 2 2 2" xfId="9116" xr:uid="{00000000-0005-0000-0000-0000E40E0000}"/>
    <cellStyle name="Moeda 2 2 3 4 2 2 2 2" xfId="9489" xr:uid="{7A57632B-C953-4AA5-97B2-4DA8B327B594}"/>
    <cellStyle name="Moeda 2 2 3 4 2 2 2 3" xfId="9825" xr:uid="{4A6585FD-3C5D-460F-968E-69555ED0B6A8}"/>
    <cellStyle name="Moeda 2 2 3 4 2 2 3" xfId="9335" xr:uid="{03843AAD-C94B-401E-B027-1837483636AB}"/>
    <cellStyle name="Moeda 2 2 3 4 2 2 4" xfId="9671" xr:uid="{20A7A4B4-2C8D-4F5F-A651-CF2144C34C33}"/>
    <cellStyle name="Moeda 2 2 3 4 2 3" xfId="9039" xr:uid="{00000000-0005-0000-0000-0000E50E0000}"/>
    <cellStyle name="Moeda 2 2 3 4 2 3 2" xfId="9412" xr:uid="{0B2A111D-B8A2-4E2E-A16E-906433C9BA64}"/>
    <cellStyle name="Moeda 2 2 3 4 2 3 3" xfId="9748" xr:uid="{42CDCD08-C8C4-4349-90F4-A6BB95853D20}"/>
    <cellStyle name="Moeda 2 2 3 4 2 4" xfId="9257" xr:uid="{AC3C71C3-83CF-4395-9E17-5C604219A75E}"/>
    <cellStyle name="Moeda 2 2 3 4 2 5" xfId="9593" xr:uid="{2F8E354D-2CEA-4F91-B9AA-D0B5EEDED074}"/>
    <cellStyle name="Moeda 2 2 3 4 3" xfId="8925" xr:uid="{00000000-0005-0000-0000-0000E60E0000}"/>
    <cellStyle name="Moeda 2 2 3 4 3 2" xfId="9089" xr:uid="{00000000-0005-0000-0000-0000E70E0000}"/>
    <cellStyle name="Moeda 2 2 3 4 3 2 2" xfId="9462" xr:uid="{E86F4F94-19AE-4184-8AB7-38D452A0684E}"/>
    <cellStyle name="Moeda 2 2 3 4 3 2 3" xfId="9798" xr:uid="{6D00CD74-DA9E-4862-9671-984E2C918CC5}"/>
    <cellStyle name="Moeda 2 2 3 4 3 3" xfId="9308" xr:uid="{2858E557-8AD7-4431-971C-FD40B9697A29}"/>
    <cellStyle name="Moeda 2 2 3 4 3 4" xfId="9644" xr:uid="{029C5CAB-9FA1-4420-AFA6-9F4FF400CD79}"/>
    <cellStyle name="Moeda 2 2 3 4 4" xfId="9012" xr:uid="{00000000-0005-0000-0000-0000E80E0000}"/>
    <cellStyle name="Moeda 2 2 3 4 4 2" xfId="9385" xr:uid="{23EFB0C8-607B-41D6-A4EC-1B12558DCA49}"/>
    <cellStyle name="Moeda 2 2 3 4 4 3" xfId="9721" xr:uid="{B7670B34-88AC-46A7-A68D-9BBB7B40C737}"/>
    <cellStyle name="Moeda 2 2 3 4 5" xfId="9230" xr:uid="{4D516E1D-6D15-4326-879E-BE3CF833F86D}"/>
    <cellStyle name="Moeda 2 2 3 4 6" xfId="9566" xr:uid="{610DCFD5-71DE-43A1-ADCC-C711D29FEB32}"/>
    <cellStyle name="Moeda 2 2 3 5" xfId="2876" xr:uid="{00000000-0005-0000-0000-0000E90E0000}"/>
    <cellStyle name="Moeda 2 2 3 5 2" xfId="8907" xr:uid="{00000000-0005-0000-0000-0000EA0E0000}"/>
    <cellStyle name="Moeda 2 2 3 5 2 2" xfId="9071" xr:uid="{00000000-0005-0000-0000-0000EB0E0000}"/>
    <cellStyle name="Moeda 2 2 3 5 2 2 2" xfId="9444" xr:uid="{7CD6FA6F-8AAE-41DA-922F-84455F58090E}"/>
    <cellStyle name="Moeda 2 2 3 5 2 2 3" xfId="9780" xr:uid="{FC639772-B80B-4162-91CF-74E9F27CDCB0}"/>
    <cellStyle name="Moeda 2 2 3 5 2 3" xfId="9290" xr:uid="{BF64507A-DA10-4989-AFEE-D70690D9E178}"/>
    <cellStyle name="Moeda 2 2 3 5 2 4" xfId="9626" xr:uid="{4212F609-2B4F-49EB-945D-ACFF32D6F559}"/>
    <cellStyle name="Moeda 2 2 3 5 3" xfId="8996" xr:uid="{00000000-0005-0000-0000-0000EC0E0000}"/>
    <cellStyle name="Moeda 2 2 3 5 3 2" xfId="9369" xr:uid="{E817D1EF-45E6-434D-823A-EB63A8D27D2C}"/>
    <cellStyle name="Moeda 2 2 3 5 3 3" xfId="9705" xr:uid="{0A36DED2-6ECA-43A0-89E5-2D69D7A40BC3}"/>
    <cellStyle name="Moeda 2 2 3 5 4" xfId="9212" xr:uid="{85BA6ACF-70E1-4971-900D-BB0393EDEB16}"/>
    <cellStyle name="Moeda 2 2 3 5 5" xfId="9548" xr:uid="{1D2BB4FD-354C-474C-80F2-BD23AAB8E8DE}"/>
    <cellStyle name="Moeda 2 2 3 6" xfId="7853" xr:uid="{00000000-0005-0000-0000-0000ED0E0000}"/>
    <cellStyle name="Moeda 2 2 3 6 2" xfId="8935" xr:uid="{00000000-0005-0000-0000-0000EE0E0000}"/>
    <cellStyle name="Moeda 2 2 3 6 2 2" xfId="9099" xr:uid="{00000000-0005-0000-0000-0000EF0E0000}"/>
    <cellStyle name="Moeda 2 2 3 6 2 2 2" xfId="9472" xr:uid="{48FB0468-AC59-44FE-B34B-E7BCE9FE6C70}"/>
    <cellStyle name="Moeda 2 2 3 6 2 2 3" xfId="9808" xr:uid="{D9BA95E7-E707-4884-8D37-E18E6F43604E}"/>
    <cellStyle name="Moeda 2 2 3 6 2 3" xfId="9318" xr:uid="{2CB353E1-3B90-441F-BA79-609BD13AE234}"/>
    <cellStyle name="Moeda 2 2 3 6 2 4" xfId="9654" xr:uid="{C863C32B-F6BE-415E-92DF-493C13C1E1ED}"/>
    <cellStyle name="Moeda 2 2 3 6 3" xfId="9022" xr:uid="{00000000-0005-0000-0000-0000F00E0000}"/>
    <cellStyle name="Moeda 2 2 3 6 3 2" xfId="9395" xr:uid="{FE42ECDC-C827-497A-8CAE-E7279074DC50}"/>
    <cellStyle name="Moeda 2 2 3 6 3 3" xfId="9731" xr:uid="{285DD579-EE6D-4AD1-8BA4-9548A384426C}"/>
    <cellStyle name="Moeda 2 2 3 6 4" xfId="9240" xr:uid="{8684A34A-BA1C-4E3A-B095-C4AC746A6660}"/>
    <cellStyle name="Moeda 2 2 3 6 5" xfId="9576" xr:uid="{7B42FACE-781D-4FAB-A291-E30FB12F9BB9}"/>
    <cellStyle name="Moeda 2 2 3 7" xfId="8898" xr:uid="{00000000-0005-0000-0000-0000F10E0000}"/>
    <cellStyle name="Moeda 2 2 3 7 2" xfId="9062" xr:uid="{00000000-0005-0000-0000-0000F20E0000}"/>
    <cellStyle name="Moeda 2 2 3 7 2 2" xfId="9435" xr:uid="{5DDEB3B6-9D77-4A83-8144-15C86D97364E}"/>
    <cellStyle name="Moeda 2 2 3 7 2 3" xfId="9771" xr:uid="{84EFBF21-D0BB-4494-B34D-8FF1E4E0531D}"/>
    <cellStyle name="Moeda 2 2 3 7 3" xfId="9281" xr:uid="{53484C6B-3932-4018-935E-3B75FDDE7132}"/>
    <cellStyle name="Moeda 2 2 3 7 4" xfId="9617" xr:uid="{27B1D0EC-9A1E-4F04-819C-784D40EEB950}"/>
    <cellStyle name="Moeda 2 2 3 8" xfId="8987" xr:uid="{00000000-0005-0000-0000-0000F30E0000}"/>
    <cellStyle name="Moeda 2 2 3 8 2" xfId="9360" xr:uid="{C8A2E2A3-6609-429F-B0F9-A204D9A15434}"/>
    <cellStyle name="Moeda 2 2 3 8 3" xfId="9696" xr:uid="{027B77B8-0DD3-496A-92C6-D22EB97D06DA}"/>
    <cellStyle name="Moeda 2 2 3 9" xfId="9203" xr:uid="{C5D624CC-05E6-4D39-AAB9-77FE97EC982D}"/>
    <cellStyle name="Moeda 2 2 4" xfId="8890" xr:uid="{00000000-0005-0000-0000-0000F40E0000}"/>
    <cellStyle name="Moeda 2 2 4 2" xfId="9054" xr:uid="{00000000-0005-0000-0000-0000F50E0000}"/>
    <cellStyle name="Moeda 2 2 4 2 2" xfId="9427" xr:uid="{A89C2E15-BD12-42F3-A4D1-505C6D601E1B}"/>
    <cellStyle name="Moeda 2 2 4 2 3" xfId="9763" xr:uid="{0F7DA045-350E-4C31-AEB9-25DC0F446F94}"/>
    <cellStyle name="Moeda 2 2 4 3" xfId="9273" xr:uid="{24AED9C7-FB73-468C-B177-1DCBC2064148}"/>
    <cellStyle name="Moeda 2 2 4 4" xfId="9609" xr:uid="{BC8C6D82-25FE-4C51-9A55-E0BEA567E353}"/>
    <cellStyle name="Moeda 2 2 5" xfId="8979" xr:uid="{00000000-0005-0000-0000-0000F60E0000}"/>
    <cellStyle name="Moeda 2 2 5 2" xfId="9352" xr:uid="{DF638B7F-3FC1-41FA-98E6-414FF532A3A3}"/>
    <cellStyle name="Moeda 2 2 5 3" xfId="9688" xr:uid="{F4A1E723-C8A8-4277-8FEA-EB007EF166B5}"/>
    <cellStyle name="Moeda 2 2 6" xfId="2120" xr:uid="{00000000-0005-0000-0000-0000F70E0000}"/>
    <cellStyle name="Moeda 2 2 6 2" xfId="9195" xr:uid="{D4D522EB-42F9-46AF-A2CE-CDC934584D79}"/>
    <cellStyle name="Moeda 2 2 6 3" xfId="9531" xr:uid="{2CA5D266-1A79-4D68-905F-D88770EEDB6F}"/>
    <cellStyle name="Moeda 2 2 7" xfId="9177" xr:uid="{0FF7DEC3-6666-458E-A1AB-B3DBC15B7585}"/>
    <cellStyle name="Moeda 2 2 8" xfId="9513" xr:uid="{24A27CDB-E854-43FD-944A-7E253785A815}"/>
    <cellStyle name="Moeda 2 3" xfId="2642" xr:uid="{00000000-0005-0000-0000-0000F80E0000}"/>
    <cellStyle name="Moeda 2 3 10" xfId="9540" xr:uid="{BC6C821E-7322-401C-91B6-06DDB94BF604}"/>
    <cellStyle name="Moeda 2 3 2" xfId="2967" xr:uid="{00000000-0005-0000-0000-0000F90E0000}"/>
    <cellStyle name="Moeda 2 3 2 2" xfId="8023" xr:uid="{00000000-0005-0000-0000-0000FA0E0000}"/>
    <cellStyle name="Moeda 2 3 2 2 2" xfId="8942" xr:uid="{00000000-0005-0000-0000-0000FB0E0000}"/>
    <cellStyle name="Moeda 2 3 2 2 2 2" xfId="9106" xr:uid="{00000000-0005-0000-0000-0000FC0E0000}"/>
    <cellStyle name="Moeda 2 3 2 2 2 2 2" xfId="9479" xr:uid="{E124CA1D-3BEC-4B96-BDCB-33229D4726D6}"/>
    <cellStyle name="Moeda 2 3 2 2 2 2 3" xfId="9815" xr:uid="{EFD96125-3C03-40FD-BBEC-E00F4C03BB29}"/>
    <cellStyle name="Moeda 2 3 2 2 2 3" xfId="9325" xr:uid="{C0E1B54A-8C08-4D8B-B0F4-8B775B94DC14}"/>
    <cellStyle name="Moeda 2 3 2 2 2 4" xfId="9661" xr:uid="{D524348C-1809-4EFE-96D5-A3BDDACEFF0B}"/>
    <cellStyle name="Moeda 2 3 2 2 3" xfId="9029" xr:uid="{00000000-0005-0000-0000-0000FD0E0000}"/>
    <cellStyle name="Moeda 2 3 2 2 3 2" xfId="9402" xr:uid="{DB99C297-81EB-4015-8F36-93F6DC2CE56A}"/>
    <cellStyle name="Moeda 2 3 2 2 3 3" xfId="9738" xr:uid="{0E93398D-9D15-44BE-96E9-A893038F9D69}"/>
    <cellStyle name="Moeda 2 3 2 2 4" xfId="9247" xr:uid="{3EB23049-DCA3-40F4-ACD7-BC343256000D}"/>
    <cellStyle name="Moeda 2 3 2 2 5" xfId="9583" xr:uid="{E725EEBE-9122-4D5E-9B08-FCFC92EB10F1}"/>
    <cellStyle name="Moeda 2 3 2 3" xfId="8911" xr:uid="{00000000-0005-0000-0000-0000FE0E0000}"/>
    <cellStyle name="Moeda 2 3 2 3 2" xfId="9075" xr:uid="{00000000-0005-0000-0000-0000FF0E0000}"/>
    <cellStyle name="Moeda 2 3 2 3 2 2" xfId="9448" xr:uid="{F776626A-831E-4B16-8A1C-7964D6AECA6A}"/>
    <cellStyle name="Moeda 2 3 2 3 2 3" xfId="9784" xr:uid="{20194233-2D60-4259-9387-47592BE225D5}"/>
    <cellStyle name="Moeda 2 3 2 3 3" xfId="9294" xr:uid="{115CF040-5CB1-450E-A2EF-B885D36071A9}"/>
    <cellStyle name="Moeda 2 3 2 3 4" xfId="9630" xr:uid="{86BC90DC-4C3F-4EBC-A0C4-F9F0DD7C1460}"/>
    <cellStyle name="Moeda 2 3 2 4" xfId="9000" xr:uid="{00000000-0005-0000-0000-0000000F0000}"/>
    <cellStyle name="Moeda 2 3 2 4 2" xfId="9373" xr:uid="{02499231-B163-43EC-8F95-03ABFAE2A9E5}"/>
    <cellStyle name="Moeda 2 3 2 4 3" xfId="9709" xr:uid="{4B8E8022-CE71-4D1A-8223-599D414A608A}"/>
    <cellStyle name="Moeda 2 3 2 5" xfId="9216" xr:uid="{E1558D09-807E-4F0B-8115-4999E7598398}"/>
    <cellStyle name="Moeda 2 3 2 6" xfId="9552" xr:uid="{027D9411-83FD-4CA7-82AB-1520D67C6179}"/>
    <cellStyle name="Moeda 2 3 3" xfId="3067" xr:uid="{00000000-0005-0000-0000-0000010F0000}"/>
    <cellStyle name="Moeda 2 3 3 2" xfId="8123" xr:uid="{00000000-0005-0000-0000-0000020F0000}"/>
    <cellStyle name="Moeda 2 3 3 2 2" xfId="8948" xr:uid="{00000000-0005-0000-0000-0000030F0000}"/>
    <cellStyle name="Moeda 2 3 3 2 2 2" xfId="9112" xr:uid="{00000000-0005-0000-0000-0000040F0000}"/>
    <cellStyle name="Moeda 2 3 3 2 2 2 2" xfId="9485" xr:uid="{08375617-875B-40EA-B0CC-92FC04ADF2DD}"/>
    <cellStyle name="Moeda 2 3 3 2 2 2 3" xfId="9821" xr:uid="{CE58660B-E9A5-45A3-A47E-385D59899DD8}"/>
    <cellStyle name="Moeda 2 3 3 2 2 3" xfId="9331" xr:uid="{13C62CA8-605E-46C8-9969-81AA36C520C3}"/>
    <cellStyle name="Moeda 2 3 3 2 2 4" xfId="9667" xr:uid="{A946EE8C-07EB-421C-A192-933CD60DA0FC}"/>
    <cellStyle name="Moeda 2 3 3 2 3" xfId="9035" xr:uid="{00000000-0005-0000-0000-0000050F0000}"/>
    <cellStyle name="Moeda 2 3 3 2 3 2" xfId="9408" xr:uid="{F1F0BF8F-F76C-448E-9A32-BB86E567BC6D}"/>
    <cellStyle name="Moeda 2 3 3 2 3 3" xfId="9744" xr:uid="{7DDA4D3E-69CA-4EE6-AA53-6269D0EA3634}"/>
    <cellStyle name="Moeda 2 3 3 2 4" xfId="9253" xr:uid="{55AE0C49-306B-48C6-B98A-DF939E826342}"/>
    <cellStyle name="Moeda 2 3 3 2 5" xfId="9589" xr:uid="{BC157377-8247-4931-BB03-F16F9B730259}"/>
    <cellStyle name="Moeda 2 3 3 3" xfId="8917" xr:uid="{00000000-0005-0000-0000-0000060F0000}"/>
    <cellStyle name="Moeda 2 3 3 3 2" xfId="9081" xr:uid="{00000000-0005-0000-0000-0000070F0000}"/>
    <cellStyle name="Moeda 2 3 3 3 2 2" xfId="9454" xr:uid="{BD1794FE-5AE0-46EF-8BB8-435A52D9CD0A}"/>
    <cellStyle name="Moeda 2 3 3 3 2 3" xfId="9790" xr:uid="{7C888334-BCA4-4FDC-8F94-E0F2F33D72DA}"/>
    <cellStyle name="Moeda 2 3 3 3 3" xfId="9300" xr:uid="{B0AECB27-3637-40BF-9472-BB3334A95FA5}"/>
    <cellStyle name="Moeda 2 3 3 3 4" xfId="9636" xr:uid="{E0963D3F-05F5-44B1-9957-0E425EBAF4E5}"/>
    <cellStyle name="Moeda 2 3 3 4" xfId="9006" xr:uid="{00000000-0005-0000-0000-0000080F0000}"/>
    <cellStyle name="Moeda 2 3 3 4 2" xfId="9379" xr:uid="{33D4A681-4247-4A4E-8D84-6D910FDB2AB6}"/>
    <cellStyle name="Moeda 2 3 3 4 3" xfId="9715" xr:uid="{F93BBDEF-20B9-42A7-8997-FA76FC040384}"/>
    <cellStyle name="Moeda 2 3 3 5" xfId="9222" xr:uid="{569C6EB9-8CB8-4486-99EF-A49D334B74D3}"/>
    <cellStyle name="Moeda 2 3 3 6" xfId="9558" xr:uid="{C8C6E8B7-2D36-441E-99DF-6D53E5CD9ECC}"/>
    <cellStyle name="Moeda 2 3 4" xfId="3847" xr:uid="{00000000-0005-0000-0000-0000090F0000}"/>
    <cellStyle name="Moeda 2 3 4 2" xfId="8758" xr:uid="{00000000-0005-0000-0000-00000A0F0000}"/>
    <cellStyle name="Moeda 2 3 4 2 2" xfId="8958" xr:uid="{00000000-0005-0000-0000-00000B0F0000}"/>
    <cellStyle name="Moeda 2 3 4 2 2 2" xfId="9122" xr:uid="{00000000-0005-0000-0000-00000C0F0000}"/>
    <cellStyle name="Moeda 2 3 4 2 2 2 2" xfId="9495" xr:uid="{E4D13802-8C47-428E-9289-4DAE695E05BF}"/>
    <cellStyle name="Moeda 2 3 4 2 2 2 3" xfId="9831" xr:uid="{C6572853-91A8-4EF0-A3F5-2B94E40AD275}"/>
    <cellStyle name="Moeda 2 3 4 2 2 3" xfId="9341" xr:uid="{3F5DB055-59BD-41A3-A8CC-8C27A1145125}"/>
    <cellStyle name="Moeda 2 3 4 2 2 4" xfId="9677" xr:uid="{CEDEC03D-756A-4694-8097-FAE4923F5725}"/>
    <cellStyle name="Moeda 2 3 4 2 3" xfId="9045" xr:uid="{00000000-0005-0000-0000-00000D0F0000}"/>
    <cellStyle name="Moeda 2 3 4 2 3 2" xfId="9418" xr:uid="{E835493E-1526-4DF7-B9AF-FDD3FF49DCFB}"/>
    <cellStyle name="Moeda 2 3 4 2 3 3" xfId="9754" xr:uid="{2F58B4DC-E543-4429-B4AD-D49429A040B3}"/>
    <cellStyle name="Moeda 2 3 4 2 4" xfId="9263" xr:uid="{A9BF539E-1D9E-4DF6-BD4D-CD79AB23E64A}"/>
    <cellStyle name="Moeda 2 3 4 2 5" xfId="9599" xr:uid="{8D6D3001-30B9-4D68-AF3F-48F85BA9DCB9}"/>
    <cellStyle name="Moeda 2 3 4 3" xfId="8932" xr:uid="{00000000-0005-0000-0000-00000E0F0000}"/>
    <cellStyle name="Moeda 2 3 4 3 2" xfId="9096" xr:uid="{00000000-0005-0000-0000-00000F0F0000}"/>
    <cellStyle name="Moeda 2 3 4 3 2 2" xfId="9469" xr:uid="{7F10A417-EFB9-49DF-97D9-6311E036DF53}"/>
    <cellStyle name="Moeda 2 3 4 3 2 3" xfId="9805" xr:uid="{CDBAF970-FE24-4991-804D-B8E095AF262D}"/>
    <cellStyle name="Moeda 2 3 4 3 3" xfId="9315" xr:uid="{B54B9CA1-EEEA-458C-A51E-F3C1D6A24846}"/>
    <cellStyle name="Moeda 2 3 4 3 4" xfId="9651" xr:uid="{99E60F6B-BE26-4524-9A2A-6BBBE1E54778}"/>
    <cellStyle name="Moeda 2 3 4 4" xfId="9019" xr:uid="{00000000-0005-0000-0000-0000100F0000}"/>
    <cellStyle name="Moeda 2 3 4 4 2" xfId="9392" xr:uid="{04515895-07E1-4C01-8BF7-BE1597256297}"/>
    <cellStyle name="Moeda 2 3 4 4 3" xfId="9728" xr:uid="{AA4734A1-25DB-424E-A192-FBB20A63FF58}"/>
    <cellStyle name="Moeda 2 3 4 5" xfId="9237" xr:uid="{F19F64F6-24D5-48C1-9E85-4578567E4383}"/>
    <cellStyle name="Moeda 2 3 4 6" xfId="9573" xr:uid="{401D56DD-928B-4ED0-BBF3-8A8348256C02}"/>
    <cellStyle name="Moeda 2 3 5" xfId="2874" xr:uid="{00000000-0005-0000-0000-0000110F0000}"/>
    <cellStyle name="Moeda 2 3 5 2" xfId="8905" xr:uid="{00000000-0005-0000-0000-0000120F0000}"/>
    <cellStyle name="Moeda 2 3 5 2 2" xfId="9069" xr:uid="{00000000-0005-0000-0000-0000130F0000}"/>
    <cellStyle name="Moeda 2 3 5 2 2 2" xfId="9442" xr:uid="{9EF29357-6B53-48F7-9F6D-42E07BE1E79E}"/>
    <cellStyle name="Moeda 2 3 5 2 2 3" xfId="9778" xr:uid="{9EBDCFD0-4C13-4BDC-B378-47E0BD4DA71A}"/>
    <cellStyle name="Moeda 2 3 5 2 3" xfId="9288" xr:uid="{DD62C066-9118-4606-B1C9-B987DDD0E24B}"/>
    <cellStyle name="Moeda 2 3 5 2 4" xfId="9624" xr:uid="{342C37D7-BD11-430E-B1F1-369AB1C64614}"/>
    <cellStyle name="Moeda 2 3 5 3" xfId="8994" xr:uid="{00000000-0005-0000-0000-0000140F0000}"/>
    <cellStyle name="Moeda 2 3 5 3 2" xfId="9367" xr:uid="{7341E6AD-745B-4738-A967-01FF1CABA6CF}"/>
    <cellStyle name="Moeda 2 3 5 3 3" xfId="9703" xr:uid="{AE57BE86-E5BD-4742-800C-FAA18860F741}"/>
    <cellStyle name="Moeda 2 3 5 4" xfId="9210" xr:uid="{226A820F-C435-4D83-8C2C-339FB754DF54}"/>
    <cellStyle name="Moeda 2 3 5 5" xfId="9546" xr:uid="{4BA58A0C-0D3B-426C-8AE9-80D0DEB58940}"/>
    <cellStyle name="Moeda 2 3 6" xfId="7854" xr:uid="{00000000-0005-0000-0000-0000150F0000}"/>
    <cellStyle name="Moeda 2 3 6 2" xfId="8936" xr:uid="{00000000-0005-0000-0000-0000160F0000}"/>
    <cellStyle name="Moeda 2 3 6 2 2" xfId="9100" xr:uid="{00000000-0005-0000-0000-0000170F0000}"/>
    <cellStyle name="Moeda 2 3 6 2 2 2" xfId="9473" xr:uid="{A23192A3-EACB-47AD-A8B6-E4C80BF0AFD0}"/>
    <cellStyle name="Moeda 2 3 6 2 2 3" xfId="9809" xr:uid="{15B07FB6-79A7-4B62-80B7-DF14583E66E8}"/>
    <cellStyle name="Moeda 2 3 6 2 3" xfId="9319" xr:uid="{F9AF3A87-56B8-4B60-991E-B2F7E936A278}"/>
    <cellStyle name="Moeda 2 3 6 2 4" xfId="9655" xr:uid="{C8A7747C-A3D0-482E-A476-E6B984CC3A8F}"/>
    <cellStyle name="Moeda 2 3 6 3" xfId="9023" xr:uid="{00000000-0005-0000-0000-0000180F0000}"/>
    <cellStyle name="Moeda 2 3 6 3 2" xfId="9396" xr:uid="{2A0675FC-82C7-4156-82C7-A211F6045973}"/>
    <cellStyle name="Moeda 2 3 6 3 3" xfId="9732" xr:uid="{0D6FCD32-E62F-4003-8476-09BCEAB034D0}"/>
    <cellStyle name="Moeda 2 3 6 4" xfId="9241" xr:uid="{0F2FA396-9621-4B0E-9B6B-7BFF106600D2}"/>
    <cellStyle name="Moeda 2 3 6 5" xfId="9577" xr:uid="{CFEE32A2-D5E2-4610-A48F-3CC240E2003C}"/>
    <cellStyle name="Moeda 2 3 7" xfId="8899" xr:uid="{00000000-0005-0000-0000-0000190F0000}"/>
    <cellStyle name="Moeda 2 3 7 2" xfId="9063" xr:uid="{00000000-0005-0000-0000-00001A0F0000}"/>
    <cellStyle name="Moeda 2 3 7 2 2" xfId="9436" xr:uid="{76154F89-5143-433C-8CA5-779CC8B2194F}"/>
    <cellStyle name="Moeda 2 3 7 2 3" xfId="9772" xr:uid="{B87BAC12-19B2-4717-9637-B0E441267261}"/>
    <cellStyle name="Moeda 2 3 7 3" xfId="9282" xr:uid="{14AA5A19-3DD1-4AAC-90B7-02460405F3FC}"/>
    <cellStyle name="Moeda 2 3 7 4" xfId="9618" xr:uid="{48E6C6B9-B124-4D58-806B-6662C8C47314}"/>
    <cellStyle name="Moeda 2 3 8" xfId="8988" xr:uid="{00000000-0005-0000-0000-00001B0F0000}"/>
    <cellStyle name="Moeda 2 3 8 2" xfId="9361" xr:uid="{35D08E40-E336-44BD-99A4-49C7FF4FA1EE}"/>
    <cellStyle name="Moeda 2 3 8 3" xfId="9697" xr:uid="{8FC4AA24-7509-4FB2-9C03-2BAA966562AD}"/>
    <cellStyle name="Moeda 2 3 9" xfId="9204" xr:uid="{B7EBE210-BBF8-4A76-90A2-7D2291854E0A}"/>
    <cellStyle name="Moeda 2 4" xfId="2643" xr:uid="{00000000-0005-0000-0000-00001C0F0000}"/>
    <cellStyle name="Moeda 2 5" xfId="2644" xr:uid="{00000000-0005-0000-0000-00001D0F0000}"/>
    <cellStyle name="Moeda 2 5 10" xfId="9541" xr:uid="{19D1328C-9025-4B2D-BA6A-F5CC6790E4D7}"/>
    <cellStyle name="Moeda 2 5 2" xfId="2970" xr:uid="{00000000-0005-0000-0000-00001E0F0000}"/>
    <cellStyle name="Moeda 2 5 2 2" xfId="8026" xr:uid="{00000000-0005-0000-0000-00001F0F0000}"/>
    <cellStyle name="Moeda 2 5 2 2 2" xfId="8945" xr:uid="{00000000-0005-0000-0000-0000200F0000}"/>
    <cellStyle name="Moeda 2 5 2 2 2 2" xfId="9109" xr:uid="{00000000-0005-0000-0000-0000210F0000}"/>
    <cellStyle name="Moeda 2 5 2 2 2 2 2" xfId="9482" xr:uid="{883E4E9B-F268-487C-BA91-23D35D7B0426}"/>
    <cellStyle name="Moeda 2 5 2 2 2 2 3" xfId="9818" xr:uid="{9EEC76DE-FB52-494E-8C66-D16021DE0D91}"/>
    <cellStyle name="Moeda 2 5 2 2 2 3" xfId="9328" xr:uid="{5A721D82-E4FA-448E-B07A-9D07CDC0C491}"/>
    <cellStyle name="Moeda 2 5 2 2 2 4" xfId="9664" xr:uid="{20BC8FEB-E52D-457A-86B7-CAC7611F766E}"/>
    <cellStyle name="Moeda 2 5 2 2 3" xfId="9032" xr:uid="{00000000-0005-0000-0000-0000220F0000}"/>
    <cellStyle name="Moeda 2 5 2 2 3 2" xfId="9405" xr:uid="{67679E23-341E-4ADA-AC96-05D1407AAE7D}"/>
    <cellStyle name="Moeda 2 5 2 2 3 3" xfId="9741" xr:uid="{FEC0AA7C-DD57-40AD-8DB3-0B0F0EEBC818}"/>
    <cellStyle name="Moeda 2 5 2 2 4" xfId="9250" xr:uid="{17717A73-D172-41B6-A063-5D1446634773}"/>
    <cellStyle name="Moeda 2 5 2 2 5" xfId="9586" xr:uid="{9FD0CC69-6C01-401F-9295-860D9139886A}"/>
    <cellStyle name="Moeda 2 5 2 3" xfId="8914" xr:uid="{00000000-0005-0000-0000-0000230F0000}"/>
    <cellStyle name="Moeda 2 5 2 3 2" xfId="9078" xr:uid="{00000000-0005-0000-0000-0000240F0000}"/>
    <cellStyle name="Moeda 2 5 2 3 2 2" xfId="9451" xr:uid="{1DFD64FB-C8EF-4532-9F15-F2EF2B39A8CB}"/>
    <cellStyle name="Moeda 2 5 2 3 2 3" xfId="9787" xr:uid="{11B23B37-642D-4BAD-875D-3D2BCE5F79BE}"/>
    <cellStyle name="Moeda 2 5 2 3 3" xfId="9297" xr:uid="{C16F51D5-991F-404C-B78E-E625E1542B29}"/>
    <cellStyle name="Moeda 2 5 2 3 4" xfId="9633" xr:uid="{EF72ACBD-D9B0-4496-846E-234F2F653207}"/>
    <cellStyle name="Moeda 2 5 2 4" xfId="9003" xr:uid="{00000000-0005-0000-0000-0000250F0000}"/>
    <cellStyle name="Moeda 2 5 2 4 2" xfId="9376" xr:uid="{EAFA423D-4884-404A-951A-68836FC5F7C8}"/>
    <cellStyle name="Moeda 2 5 2 4 3" xfId="9712" xr:uid="{AFD3D505-68D8-46D2-933E-A977211A6528}"/>
    <cellStyle name="Moeda 2 5 2 5" xfId="9219" xr:uid="{E4D3A45E-97CF-4D6A-9834-D400C8C2736D}"/>
    <cellStyle name="Moeda 2 5 2 6" xfId="9555" xr:uid="{7F456A23-9157-4B07-BB33-6616688DB54F}"/>
    <cellStyle name="Moeda 2 5 3" xfId="3070" xr:uid="{00000000-0005-0000-0000-0000260F0000}"/>
    <cellStyle name="Moeda 2 5 3 2" xfId="8126" xr:uid="{00000000-0005-0000-0000-0000270F0000}"/>
    <cellStyle name="Moeda 2 5 3 2 2" xfId="8951" xr:uid="{00000000-0005-0000-0000-0000280F0000}"/>
    <cellStyle name="Moeda 2 5 3 2 2 2" xfId="9115" xr:uid="{00000000-0005-0000-0000-0000290F0000}"/>
    <cellStyle name="Moeda 2 5 3 2 2 2 2" xfId="9488" xr:uid="{D39B15D5-B0F1-4601-A362-0B7FD3757F83}"/>
    <cellStyle name="Moeda 2 5 3 2 2 2 3" xfId="9824" xr:uid="{8E80ED7C-EC4D-49F6-A766-A127AC9DC01F}"/>
    <cellStyle name="Moeda 2 5 3 2 2 3" xfId="9334" xr:uid="{4CF965E2-1C51-4F41-9201-05769F3B4B0D}"/>
    <cellStyle name="Moeda 2 5 3 2 2 4" xfId="9670" xr:uid="{EE29AEE5-F470-4C3F-8CAD-2BA6AEB6F1CD}"/>
    <cellStyle name="Moeda 2 5 3 2 3" xfId="9038" xr:uid="{00000000-0005-0000-0000-00002A0F0000}"/>
    <cellStyle name="Moeda 2 5 3 2 3 2" xfId="9411" xr:uid="{5A45FC7E-A73A-47F8-9DF5-A59F6938CA45}"/>
    <cellStyle name="Moeda 2 5 3 2 3 3" xfId="9747" xr:uid="{B20AF8A7-10C1-4E34-AF10-C435BF5A01D4}"/>
    <cellStyle name="Moeda 2 5 3 2 4" xfId="9256" xr:uid="{BB5540AF-3E3F-4C6F-919B-D499E4788728}"/>
    <cellStyle name="Moeda 2 5 3 2 5" xfId="9592" xr:uid="{94086E4F-1D27-4A04-80A5-DA890D69F259}"/>
    <cellStyle name="Moeda 2 5 3 3" xfId="8920" xr:uid="{00000000-0005-0000-0000-00002B0F0000}"/>
    <cellStyle name="Moeda 2 5 3 3 2" xfId="9084" xr:uid="{00000000-0005-0000-0000-00002C0F0000}"/>
    <cellStyle name="Moeda 2 5 3 3 2 2" xfId="9457" xr:uid="{B909F51D-C133-4874-A1D8-26BA9749C957}"/>
    <cellStyle name="Moeda 2 5 3 3 2 3" xfId="9793" xr:uid="{B834AB17-B4A5-4491-9A57-7B54842C8233}"/>
    <cellStyle name="Moeda 2 5 3 3 3" xfId="9303" xr:uid="{16094909-BCCE-467B-906B-89D3B6AFD42C}"/>
    <cellStyle name="Moeda 2 5 3 3 4" xfId="9639" xr:uid="{80AFE0E0-DA21-4DF5-AEDD-5F5D2D26A575}"/>
    <cellStyle name="Moeda 2 5 3 4" xfId="9009" xr:uid="{00000000-0005-0000-0000-00002D0F0000}"/>
    <cellStyle name="Moeda 2 5 3 4 2" xfId="9382" xr:uid="{84A5BFE9-3B90-4124-8D78-785F6177A322}"/>
    <cellStyle name="Moeda 2 5 3 4 3" xfId="9718" xr:uid="{45A8A133-4A65-4CF7-88B1-3B1230359BB1}"/>
    <cellStyle name="Moeda 2 5 3 5" xfId="9225" xr:uid="{C855CAFF-9726-43C2-9CAD-B7346061B315}"/>
    <cellStyle name="Moeda 2 5 3 6" xfId="9561" xr:uid="{3E8E332D-B861-4BE8-9A1B-612053BEFD81}"/>
    <cellStyle name="Moeda 2 5 4" xfId="3817" xr:uid="{00000000-0005-0000-0000-00002E0F0000}"/>
    <cellStyle name="Moeda 2 5 4 2" xfId="8728" xr:uid="{00000000-0005-0000-0000-00002F0F0000}"/>
    <cellStyle name="Moeda 2 5 4 2 2" xfId="8956" xr:uid="{00000000-0005-0000-0000-0000300F0000}"/>
    <cellStyle name="Moeda 2 5 4 2 2 2" xfId="9120" xr:uid="{00000000-0005-0000-0000-0000310F0000}"/>
    <cellStyle name="Moeda 2 5 4 2 2 2 2" xfId="9493" xr:uid="{96CCAC90-2DE8-41DA-BEE8-E76A259EE8E7}"/>
    <cellStyle name="Moeda 2 5 4 2 2 2 3" xfId="9829" xr:uid="{AFBD4CB5-9998-4F6E-86FD-B982BA955B0D}"/>
    <cellStyle name="Moeda 2 5 4 2 2 3" xfId="9339" xr:uid="{C1A6F2E5-33AB-404A-A0D2-D306327629AB}"/>
    <cellStyle name="Moeda 2 5 4 2 2 4" xfId="9675" xr:uid="{78AA5D2B-5DCA-4C0F-AABA-1DB7D17BDA6B}"/>
    <cellStyle name="Moeda 2 5 4 2 3" xfId="9043" xr:uid="{00000000-0005-0000-0000-0000320F0000}"/>
    <cellStyle name="Moeda 2 5 4 2 3 2" xfId="9416" xr:uid="{E64F8B29-3EEC-4351-89F6-542906DFC947}"/>
    <cellStyle name="Moeda 2 5 4 2 3 3" xfId="9752" xr:uid="{ECD6B9BF-252E-4E2D-865E-50B5FE925D3D}"/>
    <cellStyle name="Moeda 2 5 4 2 4" xfId="9261" xr:uid="{D4AF6A6B-8C61-4829-B52E-1BA7870F1ED4}"/>
    <cellStyle name="Moeda 2 5 4 2 5" xfId="9597" xr:uid="{65B75DFE-3F95-4B60-9707-9221BCAED915}"/>
    <cellStyle name="Moeda 2 5 4 3" xfId="8930" xr:uid="{00000000-0005-0000-0000-0000330F0000}"/>
    <cellStyle name="Moeda 2 5 4 3 2" xfId="9094" xr:uid="{00000000-0005-0000-0000-0000340F0000}"/>
    <cellStyle name="Moeda 2 5 4 3 2 2" xfId="9467" xr:uid="{524E0482-744B-412D-A486-8BEB261FA56E}"/>
    <cellStyle name="Moeda 2 5 4 3 2 3" xfId="9803" xr:uid="{7DF65217-C385-46EC-BD78-CFEC39680C12}"/>
    <cellStyle name="Moeda 2 5 4 3 3" xfId="9313" xr:uid="{11315AEC-589D-4095-8B42-8BDDEF356B8F}"/>
    <cellStyle name="Moeda 2 5 4 3 4" xfId="9649" xr:uid="{7DB1CAED-0363-40F5-A6AB-A9EA0D54674C}"/>
    <cellStyle name="Moeda 2 5 4 4" xfId="9017" xr:uid="{00000000-0005-0000-0000-0000350F0000}"/>
    <cellStyle name="Moeda 2 5 4 4 2" xfId="9390" xr:uid="{E27637BA-E897-452A-B113-E763C03CDD7C}"/>
    <cellStyle name="Moeda 2 5 4 4 3" xfId="9726" xr:uid="{D5FC1A7C-1E96-404C-ADBE-9443DB9499F5}"/>
    <cellStyle name="Moeda 2 5 4 5" xfId="9235" xr:uid="{D58C9021-90CB-4A8F-BECF-2C61C334083B}"/>
    <cellStyle name="Moeda 2 5 4 6" xfId="9571" xr:uid="{97B3AE66-8D03-497A-8B94-B1728928A9EF}"/>
    <cellStyle name="Moeda 2 5 5" xfId="2877" xr:uid="{00000000-0005-0000-0000-0000360F0000}"/>
    <cellStyle name="Moeda 2 5 5 2" xfId="8908" xr:uid="{00000000-0005-0000-0000-0000370F0000}"/>
    <cellStyle name="Moeda 2 5 5 2 2" xfId="9072" xr:uid="{00000000-0005-0000-0000-0000380F0000}"/>
    <cellStyle name="Moeda 2 5 5 2 2 2" xfId="9445" xr:uid="{AB2B091B-C165-42F1-84DE-D14FFB7E27A6}"/>
    <cellStyle name="Moeda 2 5 5 2 2 3" xfId="9781" xr:uid="{8CE562DC-9138-42F0-B744-91FE222631F0}"/>
    <cellStyle name="Moeda 2 5 5 2 3" xfId="9291" xr:uid="{BF440540-3302-48FE-AC53-8DC4749A5C95}"/>
    <cellStyle name="Moeda 2 5 5 2 4" xfId="9627" xr:uid="{0FEFA8ED-3E25-460A-B4A9-B062B6A0A095}"/>
    <cellStyle name="Moeda 2 5 5 3" xfId="8997" xr:uid="{00000000-0005-0000-0000-0000390F0000}"/>
    <cellStyle name="Moeda 2 5 5 3 2" xfId="9370" xr:uid="{0DA83143-9CE0-4F41-8B24-376BFCE65A89}"/>
    <cellStyle name="Moeda 2 5 5 3 3" xfId="9706" xr:uid="{1F3EB228-2917-4BF4-A35C-B913730E9DE9}"/>
    <cellStyle name="Moeda 2 5 5 4" xfId="9213" xr:uid="{2DD8064B-7B67-4B30-996F-9FBE650D542C}"/>
    <cellStyle name="Moeda 2 5 5 5" xfId="9549" xr:uid="{8736FCC3-A686-4B3E-8EFB-A81F3BEB6D59}"/>
    <cellStyle name="Moeda 2 5 6" xfId="7855" xr:uid="{00000000-0005-0000-0000-00003A0F0000}"/>
    <cellStyle name="Moeda 2 5 6 2" xfId="8937" xr:uid="{00000000-0005-0000-0000-00003B0F0000}"/>
    <cellStyle name="Moeda 2 5 6 2 2" xfId="9101" xr:uid="{00000000-0005-0000-0000-00003C0F0000}"/>
    <cellStyle name="Moeda 2 5 6 2 2 2" xfId="9474" xr:uid="{B14B211B-455B-44EC-87B7-763034FF264C}"/>
    <cellStyle name="Moeda 2 5 6 2 2 3" xfId="9810" xr:uid="{E2936154-CD2E-4579-BAD2-CFA17202F993}"/>
    <cellStyle name="Moeda 2 5 6 2 3" xfId="9320" xr:uid="{983A5608-B41E-4CC1-809E-1C44FCA654D4}"/>
    <cellStyle name="Moeda 2 5 6 2 4" xfId="9656" xr:uid="{073C69BD-0A13-4F4D-9037-9BCAA95092CD}"/>
    <cellStyle name="Moeda 2 5 6 3" xfId="9024" xr:uid="{00000000-0005-0000-0000-00003D0F0000}"/>
    <cellStyle name="Moeda 2 5 6 3 2" xfId="9397" xr:uid="{BBA76062-CC87-486D-B27B-C46F96F80E20}"/>
    <cellStyle name="Moeda 2 5 6 3 3" xfId="9733" xr:uid="{54C54529-C470-476F-A228-E2FF98E0E831}"/>
    <cellStyle name="Moeda 2 5 6 4" xfId="9242" xr:uid="{426DEEC5-96C7-4B1A-84AD-9C5C02BF7A68}"/>
    <cellStyle name="Moeda 2 5 6 5" xfId="9578" xr:uid="{5F037F1B-6336-4F77-9830-AFA400FE9BE3}"/>
    <cellStyle name="Moeda 2 5 7" xfId="8900" xr:uid="{00000000-0005-0000-0000-00003E0F0000}"/>
    <cellStyle name="Moeda 2 5 7 2" xfId="9064" xr:uid="{00000000-0005-0000-0000-00003F0F0000}"/>
    <cellStyle name="Moeda 2 5 7 2 2" xfId="9437" xr:uid="{A253BB06-839B-4257-80B1-FF7D5701E51E}"/>
    <cellStyle name="Moeda 2 5 7 2 3" xfId="9773" xr:uid="{33520ED1-FA7C-40E4-94EC-0689A437E3FD}"/>
    <cellStyle name="Moeda 2 5 7 3" xfId="9283" xr:uid="{8EB419D9-18FE-4D6B-8907-EA025465E3A4}"/>
    <cellStyle name="Moeda 2 5 7 4" xfId="9619" xr:uid="{4C42021E-AF04-4F2D-AD03-B49830985E5B}"/>
    <cellStyle name="Moeda 2 5 8" xfId="8989" xr:uid="{00000000-0005-0000-0000-0000400F0000}"/>
    <cellStyle name="Moeda 2 5 8 2" xfId="9362" xr:uid="{505578B6-98B4-42AA-9CF8-EA6296BF521B}"/>
    <cellStyle name="Moeda 2 5 8 3" xfId="9698" xr:uid="{03760EAF-AFFD-45E1-BE3E-7F4FC2117D2A}"/>
    <cellStyle name="Moeda 2 5 9" xfId="9205" xr:uid="{20E97374-BACD-422F-AAF6-9DAF5125E88A}"/>
    <cellStyle name="Moeda 2 6" xfId="3355" xr:uid="{00000000-0005-0000-0000-0000410F0000}"/>
    <cellStyle name="Moeda 2 6 2" xfId="8921" xr:uid="{00000000-0005-0000-0000-0000420F0000}"/>
    <cellStyle name="Moeda 2 6 2 2" xfId="9085" xr:uid="{00000000-0005-0000-0000-0000430F0000}"/>
    <cellStyle name="Moeda 2 6 2 2 2" xfId="9458" xr:uid="{AC62173E-D381-44B3-88A5-B87BF965FF04}"/>
    <cellStyle name="Moeda 2 6 2 2 3" xfId="9794" xr:uid="{3AA69C3E-84F4-44A8-B829-D5D3F778BAFA}"/>
    <cellStyle name="Moeda 2 6 2 3" xfId="9304" xr:uid="{7653D28E-B33A-4D41-8BAA-60F8C4E86E39}"/>
    <cellStyle name="Moeda 2 6 2 4" xfId="9640" xr:uid="{DDF76CDD-6673-4805-BCE9-2439D1362171}"/>
    <cellStyle name="Moeda 2 6 3" xfId="9010" xr:uid="{00000000-0005-0000-0000-0000440F0000}"/>
    <cellStyle name="Moeda 2 6 3 2" xfId="9383" xr:uid="{6C0F8298-5A53-4224-802D-506A2C1BCD65}"/>
    <cellStyle name="Moeda 2 6 3 3" xfId="9719" xr:uid="{AFF10409-4B64-4BFE-9936-1B1F54070756}"/>
    <cellStyle name="Moeda 2 6 4" xfId="9226" xr:uid="{733D4A0A-ED94-4AF7-BB06-DD54F555D26C}"/>
    <cellStyle name="Moeda 2 6 5" xfId="9562" xr:uid="{DFFB72C4-86E8-4124-BA95-CA78C4644885}"/>
    <cellStyle name="Moeda 2 7" xfId="1087" xr:uid="{00000000-0005-0000-0000-0000450F0000}"/>
    <cellStyle name="Moeda 3" xfId="444" xr:uid="{00000000-0005-0000-0000-0000460F0000}"/>
    <cellStyle name="Moeda 3 2" xfId="445" xr:uid="{00000000-0005-0000-0000-0000470F0000}"/>
    <cellStyle name="Moeda 3 2 2" xfId="9180" xr:uid="{702CD275-021E-457A-A12B-DBEDD8072455}"/>
    <cellStyle name="Moeda 3 2 3" xfId="9516" xr:uid="{FF2DD642-61DC-4FDB-A636-16132FA967DF}"/>
    <cellStyle name="Moeda 3 3" xfId="1088" xr:uid="{00000000-0005-0000-0000-0000480F0000}"/>
    <cellStyle name="Moeda 3 4" xfId="9179" xr:uid="{C405D62F-DA9F-4248-920B-89BE2E4ABBB1}"/>
    <cellStyle name="Moeda 3 5" xfId="9515" xr:uid="{75C5F969-64A0-4C77-83F3-138529277E90}"/>
    <cellStyle name="Moeda 4" xfId="1089" xr:uid="{00000000-0005-0000-0000-0000490F0000}"/>
    <cellStyle name="Moeda 5" xfId="1090" xr:uid="{00000000-0005-0000-0000-00004A0F0000}"/>
    <cellStyle name="Moeda 6" xfId="446" xr:uid="{00000000-0005-0000-0000-00004B0F0000}"/>
    <cellStyle name="Moeda 6 2" xfId="447" xr:uid="{00000000-0005-0000-0000-00004C0F0000}"/>
    <cellStyle name="Moeda 6 2 2" xfId="1093" xr:uid="{00000000-0005-0000-0000-00004D0F0000}"/>
    <cellStyle name="Moeda 6 2 3" xfId="1092" xr:uid="{00000000-0005-0000-0000-00004E0F0000}"/>
    <cellStyle name="Moeda 6 2 4" xfId="9182" xr:uid="{E7BA933C-8C3B-4A2D-B368-5A7BED8685B0}"/>
    <cellStyle name="Moeda 6 2 5" xfId="9518" xr:uid="{C92733F1-ADDF-4037-826C-6685EF36D4CD}"/>
    <cellStyle name="Moeda 6 3" xfId="1091" xr:uid="{00000000-0005-0000-0000-00004F0F0000}"/>
    <cellStyle name="Moeda 6 4" xfId="9181" xr:uid="{5AB8BF0C-EAC3-45E2-A6B6-D1554D3265C0}"/>
    <cellStyle name="Moeda 6 5" xfId="9517" xr:uid="{FD639FBC-11EE-4764-9BFC-60C8F6C1113E}"/>
    <cellStyle name="Moeda 7" xfId="448" xr:uid="{00000000-0005-0000-0000-0000500F0000}"/>
    <cellStyle name="Moeda 7 2" xfId="449" xr:uid="{00000000-0005-0000-0000-0000510F0000}"/>
    <cellStyle name="Moeda 7 2 2" xfId="9184" xr:uid="{38554414-9DA5-42D7-9326-4863E5CDE628}"/>
    <cellStyle name="Moeda 7 2 3" xfId="9520" xr:uid="{0E4FAA92-A5EC-4264-BB4F-583F90AFAA3A}"/>
    <cellStyle name="Moeda 7 3" xfId="1094" xr:uid="{00000000-0005-0000-0000-0000520F0000}"/>
    <cellStyle name="Moeda 7 4" xfId="9183" xr:uid="{985A888D-465B-425F-9703-45C08BBF0054}"/>
    <cellStyle name="Moeda 7 5" xfId="9519" xr:uid="{6C26C939-A7C0-4D16-8A2A-7AF330B7E636}"/>
    <cellStyle name="Moeda 8" xfId="2645" xr:uid="{00000000-0005-0000-0000-0000530F0000}"/>
    <cellStyle name="Moeda 8 10" xfId="9542" xr:uid="{A4DC3A53-71B1-4ABD-BF3E-46FEDBD9CE76}"/>
    <cellStyle name="Moeda 8 2" xfId="2912" xr:uid="{00000000-0005-0000-0000-0000540F0000}"/>
    <cellStyle name="Moeda 8 2 2" xfId="7970" xr:uid="{00000000-0005-0000-0000-0000550F0000}"/>
    <cellStyle name="Moeda 8 2 2 2" xfId="8940" xr:uid="{00000000-0005-0000-0000-0000560F0000}"/>
    <cellStyle name="Moeda 8 2 2 2 2" xfId="9104" xr:uid="{00000000-0005-0000-0000-0000570F0000}"/>
    <cellStyle name="Moeda 8 2 2 2 2 2" xfId="9477" xr:uid="{8FACC1FE-D5A9-4A00-8567-F84B04200964}"/>
    <cellStyle name="Moeda 8 2 2 2 2 3" xfId="9813" xr:uid="{1AFD5211-78DE-4000-8441-F1CD3ED68655}"/>
    <cellStyle name="Moeda 8 2 2 2 3" xfId="9323" xr:uid="{052D5888-ECC4-4B8C-A5D7-86B1C781A45D}"/>
    <cellStyle name="Moeda 8 2 2 2 4" xfId="9659" xr:uid="{F23262A0-5C60-405E-B959-EE63F05C75D2}"/>
    <cellStyle name="Moeda 8 2 2 3" xfId="9027" xr:uid="{00000000-0005-0000-0000-0000580F0000}"/>
    <cellStyle name="Moeda 8 2 2 3 2" xfId="9400" xr:uid="{350EC1A6-C967-483C-8949-DE4E9E1E2BC5}"/>
    <cellStyle name="Moeda 8 2 2 3 3" xfId="9736" xr:uid="{E2F4DD19-7AFC-419D-962E-5B669E1EFF19}"/>
    <cellStyle name="Moeda 8 2 2 4" xfId="9245" xr:uid="{B0DFC27B-0B09-4695-96C7-D514C256E6BC}"/>
    <cellStyle name="Moeda 8 2 2 5" xfId="9581" xr:uid="{224938E8-B835-4BFA-A119-96DF161B48EB}"/>
    <cellStyle name="Moeda 8 2 3" xfId="8909" xr:uid="{00000000-0005-0000-0000-0000590F0000}"/>
    <cellStyle name="Moeda 8 2 3 2" xfId="9073" xr:uid="{00000000-0005-0000-0000-00005A0F0000}"/>
    <cellStyle name="Moeda 8 2 3 2 2" xfId="9446" xr:uid="{E005DCCF-E92A-48D6-9305-2B9B8E4E1E56}"/>
    <cellStyle name="Moeda 8 2 3 2 3" xfId="9782" xr:uid="{2FD6FF54-1F48-4161-8344-E8823E9392F2}"/>
    <cellStyle name="Moeda 8 2 3 3" xfId="9292" xr:uid="{B335331C-BC69-4275-8A48-4847A192F052}"/>
    <cellStyle name="Moeda 8 2 3 4" xfId="9628" xr:uid="{ECF902E7-9347-4431-9814-39323740ACF7}"/>
    <cellStyle name="Moeda 8 2 4" xfId="8998" xr:uid="{00000000-0005-0000-0000-00005B0F0000}"/>
    <cellStyle name="Moeda 8 2 4 2" xfId="9371" xr:uid="{BC1FB08B-BD25-4BBD-93DE-614DD22E5EC0}"/>
    <cellStyle name="Moeda 8 2 4 3" xfId="9707" xr:uid="{DB13D66E-1CF6-40B1-9712-343EF2CCA60C}"/>
    <cellStyle name="Moeda 8 2 5" xfId="9214" xr:uid="{D82287A6-9226-47B4-B832-E58C537745E6}"/>
    <cellStyle name="Moeda 8 2 6" xfId="9550" xr:uid="{D79E709F-FF79-45CB-B543-03869DA18AE1}"/>
    <cellStyle name="Moeda 8 3" xfId="3004" xr:uid="{00000000-0005-0000-0000-00005C0F0000}"/>
    <cellStyle name="Moeda 8 3 2" xfId="8060" xr:uid="{00000000-0005-0000-0000-00005D0F0000}"/>
    <cellStyle name="Moeda 8 3 2 2" xfId="8946" xr:uid="{00000000-0005-0000-0000-00005E0F0000}"/>
    <cellStyle name="Moeda 8 3 2 2 2" xfId="9110" xr:uid="{00000000-0005-0000-0000-00005F0F0000}"/>
    <cellStyle name="Moeda 8 3 2 2 2 2" xfId="9483" xr:uid="{02B65141-DDF0-480E-A060-977C5F2F1435}"/>
    <cellStyle name="Moeda 8 3 2 2 2 3" xfId="9819" xr:uid="{0954280F-BFBD-414D-AC09-662F048E0BE1}"/>
    <cellStyle name="Moeda 8 3 2 2 3" xfId="9329" xr:uid="{AF6B68DA-3FA7-4105-AEB0-9BF08C3C8A2F}"/>
    <cellStyle name="Moeda 8 3 2 2 4" xfId="9665" xr:uid="{340AE874-0390-42D1-8AA6-EC238121264E}"/>
    <cellStyle name="Moeda 8 3 2 3" xfId="9033" xr:uid="{00000000-0005-0000-0000-0000600F0000}"/>
    <cellStyle name="Moeda 8 3 2 3 2" xfId="9406" xr:uid="{9DEC43D4-DDC1-4E75-B579-9C1D28A96E7B}"/>
    <cellStyle name="Moeda 8 3 2 3 3" xfId="9742" xr:uid="{C7F75639-A2F1-40BC-8FDF-C86A16117104}"/>
    <cellStyle name="Moeda 8 3 2 4" xfId="9251" xr:uid="{CFF5ADD9-B592-4813-942D-EAB45151DF99}"/>
    <cellStyle name="Moeda 8 3 2 5" xfId="9587" xr:uid="{E37B6EB5-7058-486F-98CA-8E37A55C0EA8}"/>
    <cellStyle name="Moeda 8 3 3" xfId="8915" xr:uid="{00000000-0005-0000-0000-0000610F0000}"/>
    <cellStyle name="Moeda 8 3 3 2" xfId="9079" xr:uid="{00000000-0005-0000-0000-0000620F0000}"/>
    <cellStyle name="Moeda 8 3 3 2 2" xfId="9452" xr:uid="{C2E34AD0-F916-4E70-AEF6-98D71C10EF7B}"/>
    <cellStyle name="Moeda 8 3 3 2 3" xfId="9788" xr:uid="{94DF10C7-399B-4E90-A198-61A300FC4F4C}"/>
    <cellStyle name="Moeda 8 3 3 3" xfId="9298" xr:uid="{6B1D0FBA-9948-407C-82AF-4A86CF6D3A1A}"/>
    <cellStyle name="Moeda 8 3 3 4" xfId="9634" xr:uid="{69E56929-B045-4FEB-A10F-C94173D06DF3}"/>
    <cellStyle name="Moeda 8 3 4" xfId="9004" xr:uid="{00000000-0005-0000-0000-0000630F0000}"/>
    <cellStyle name="Moeda 8 3 4 2" xfId="9377" xr:uid="{31E66184-E417-4D33-A688-5E35CEB9809C}"/>
    <cellStyle name="Moeda 8 3 4 3" xfId="9713" xr:uid="{E09A5DC0-3E10-45F1-BE55-3EF0595518E3}"/>
    <cellStyle name="Moeda 8 3 5" xfId="9220" xr:uid="{A2B2F95D-65C9-44FD-9524-4B156A0CC40C}"/>
    <cellStyle name="Moeda 8 3 6" xfId="9556" xr:uid="{3BA99CB8-B068-4A33-A6B7-58AC9BF958A4}"/>
    <cellStyle name="Moeda 8 4" xfId="3808" xr:uid="{00000000-0005-0000-0000-0000640F0000}"/>
    <cellStyle name="Moeda 8 4 2" xfId="8719" xr:uid="{00000000-0005-0000-0000-0000650F0000}"/>
    <cellStyle name="Moeda 8 4 2 2" xfId="8955" xr:uid="{00000000-0005-0000-0000-0000660F0000}"/>
    <cellStyle name="Moeda 8 4 2 2 2" xfId="9119" xr:uid="{00000000-0005-0000-0000-0000670F0000}"/>
    <cellStyle name="Moeda 8 4 2 2 2 2" xfId="9492" xr:uid="{5DFC12DA-CF55-464E-8275-E4D2E65CC1ED}"/>
    <cellStyle name="Moeda 8 4 2 2 2 3" xfId="9828" xr:uid="{68FD8D8D-41E1-487D-83A7-DA4CF2586D85}"/>
    <cellStyle name="Moeda 8 4 2 2 3" xfId="9338" xr:uid="{34C2C5A4-0159-4F59-8143-CE1F729AB5E6}"/>
    <cellStyle name="Moeda 8 4 2 2 4" xfId="9674" xr:uid="{05ED4CB5-34C2-4E5B-B4D8-AB211B2D2DE3}"/>
    <cellStyle name="Moeda 8 4 2 3" xfId="9042" xr:uid="{00000000-0005-0000-0000-0000680F0000}"/>
    <cellStyle name="Moeda 8 4 2 3 2" xfId="9415" xr:uid="{D38A8FAE-5E9F-433F-8E5B-053169C80A57}"/>
    <cellStyle name="Moeda 8 4 2 3 3" xfId="9751" xr:uid="{A8FBFE20-A751-452E-84CA-72ADDA73D22D}"/>
    <cellStyle name="Moeda 8 4 2 4" xfId="9260" xr:uid="{361EF5E1-7492-42EF-A6CC-E81AA92C5D6F}"/>
    <cellStyle name="Moeda 8 4 2 5" xfId="9596" xr:uid="{375D1AD4-C539-41C9-8F68-C861ACD2C895}"/>
    <cellStyle name="Moeda 8 4 3" xfId="8929" xr:uid="{00000000-0005-0000-0000-0000690F0000}"/>
    <cellStyle name="Moeda 8 4 3 2" xfId="9093" xr:uid="{00000000-0005-0000-0000-00006A0F0000}"/>
    <cellStyle name="Moeda 8 4 3 2 2" xfId="9466" xr:uid="{AFF927FA-621B-444A-82A4-A06A022DD541}"/>
    <cellStyle name="Moeda 8 4 3 2 3" xfId="9802" xr:uid="{E2FCB87C-1BFA-404D-8744-E81B05A862D1}"/>
    <cellStyle name="Moeda 8 4 3 3" xfId="9312" xr:uid="{D66C7ABF-437F-4081-8453-2946C60D8A74}"/>
    <cellStyle name="Moeda 8 4 3 4" xfId="9648" xr:uid="{8D534DA8-F005-46B2-9781-47BDDBB7F8BB}"/>
    <cellStyle name="Moeda 8 4 4" xfId="9016" xr:uid="{00000000-0005-0000-0000-00006B0F0000}"/>
    <cellStyle name="Moeda 8 4 4 2" xfId="9389" xr:uid="{A9A5D29E-3CDA-492D-8E4D-58BD7E2340D2}"/>
    <cellStyle name="Moeda 8 4 4 3" xfId="9725" xr:uid="{210B9679-4426-40BF-BE55-A620A5106C5B}"/>
    <cellStyle name="Moeda 8 4 5" xfId="9234" xr:uid="{0448B6E7-8EF1-45C1-B353-626B55FA3A06}"/>
    <cellStyle name="Moeda 8 4 6" xfId="9570" xr:uid="{10064A77-7B82-4562-805E-396F704162B7}"/>
    <cellStyle name="Moeda 8 5" xfId="2803" xr:uid="{00000000-0005-0000-0000-00006C0F0000}"/>
    <cellStyle name="Moeda 8 5 2" xfId="8903" xr:uid="{00000000-0005-0000-0000-00006D0F0000}"/>
    <cellStyle name="Moeda 8 5 2 2" xfId="9067" xr:uid="{00000000-0005-0000-0000-00006E0F0000}"/>
    <cellStyle name="Moeda 8 5 2 2 2" xfId="9440" xr:uid="{F84CCF05-5126-4B30-9E03-26B941E431F8}"/>
    <cellStyle name="Moeda 8 5 2 2 3" xfId="9776" xr:uid="{548464D8-F4AB-4291-B1CE-C2E9F7BCBCE8}"/>
    <cellStyle name="Moeda 8 5 2 3" xfId="9286" xr:uid="{96434A18-C9E1-4AB4-881B-AF67BBC12F8A}"/>
    <cellStyle name="Moeda 8 5 2 4" xfId="9622" xr:uid="{98498D58-F84E-419C-825B-BC91F99F8154}"/>
    <cellStyle name="Moeda 8 5 3" xfId="8992" xr:uid="{00000000-0005-0000-0000-00006F0F0000}"/>
    <cellStyle name="Moeda 8 5 3 2" xfId="9365" xr:uid="{E8B9DBC6-29D8-49D2-BB07-EEEC65C7284F}"/>
    <cellStyle name="Moeda 8 5 3 3" xfId="9701" xr:uid="{4EA07194-AE50-4D64-AC0C-797A0A2A1FE9}"/>
    <cellStyle name="Moeda 8 5 4" xfId="9208" xr:uid="{C73904E5-F31A-488C-A513-581D0C8B5F7E}"/>
    <cellStyle name="Moeda 8 5 5" xfId="9544" xr:uid="{888C0875-A39E-42EB-8A54-CF36454ACC26}"/>
    <cellStyle name="Moeda 8 6" xfId="7856" xr:uid="{00000000-0005-0000-0000-0000700F0000}"/>
    <cellStyle name="Moeda 8 6 2" xfId="8938" xr:uid="{00000000-0005-0000-0000-0000710F0000}"/>
    <cellStyle name="Moeda 8 6 2 2" xfId="9102" xr:uid="{00000000-0005-0000-0000-0000720F0000}"/>
    <cellStyle name="Moeda 8 6 2 2 2" xfId="9475" xr:uid="{946055EC-3571-4C1D-8EFF-07C0E0B7B5A2}"/>
    <cellStyle name="Moeda 8 6 2 2 3" xfId="9811" xr:uid="{F0233EF8-2EF9-4223-A84A-835E7F35D8AD}"/>
    <cellStyle name="Moeda 8 6 2 3" xfId="9321" xr:uid="{9D921154-9223-4AFE-951D-47F9E138530A}"/>
    <cellStyle name="Moeda 8 6 2 4" xfId="9657" xr:uid="{661CBB39-E7F1-4504-BD13-D9D36A871912}"/>
    <cellStyle name="Moeda 8 6 3" xfId="9025" xr:uid="{00000000-0005-0000-0000-0000730F0000}"/>
    <cellStyle name="Moeda 8 6 3 2" xfId="9398" xr:uid="{48151CEF-9B55-4E60-8FAE-3BBE4634F14A}"/>
    <cellStyle name="Moeda 8 6 3 3" xfId="9734" xr:uid="{1FA3D580-41B8-495B-B4F5-FF9E27E011BA}"/>
    <cellStyle name="Moeda 8 6 4" xfId="9243" xr:uid="{D06CA4A7-8F05-4528-83D4-B5FFB0D53B67}"/>
    <cellStyle name="Moeda 8 6 5" xfId="9579" xr:uid="{9C96043B-4F51-429A-BB6F-694D20013029}"/>
    <cellStyle name="Moeda 8 7" xfId="8901" xr:uid="{00000000-0005-0000-0000-0000740F0000}"/>
    <cellStyle name="Moeda 8 7 2" xfId="9065" xr:uid="{00000000-0005-0000-0000-0000750F0000}"/>
    <cellStyle name="Moeda 8 7 2 2" xfId="9438" xr:uid="{BAD620B6-2020-4F4F-A2C2-F7D4D9FE16E0}"/>
    <cellStyle name="Moeda 8 7 2 3" xfId="9774" xr:uid="{1715D132-6682-4362-BB36-A529A1EA8542}"/>
    <cellStyle name="Moeda 8 7 3" xfId="9284" xr:uid="{31C4E58D-E3DE-4CC8-A941-FA9062514990}"/>
    <cellStyle name="Moeda 8 7 4" xfId="9620" xr:uid="{8660C66B-A025-4A0E-8E1A-520D3D4F5EEB}"/>
    <cellStyle name="Moeda 8 8" xfId="8990" xr:uid="{00000000-0005-0000-0000-0000760F0000}"/>
    <cellStyle name="Moeda 8 8 2" xfId="9363" xr:uid="{3AE7AB4F-E969-47BB-A90D-501B5D42FC93}"/>
    <cellStyle name="Moeda 8 8 3" xfId="9699" xr:uid="{18E49EDC-7F39-4813-8E48-E3E92D45416A}"/>
    <cellStyle name="Moeda 8 9" xfId="9206" xr:uid="{7770DD80-25D7-43DA-B474-88F148A1206C}"/>
    <cellStyle name="Moeda 9" xfId="450" xr:uid="{00000000-0005-0000-0000-0000770F0000}"/>
    <cellStyle name="Moeda 9 10" xfId="9185" xr:uid="{B1D64D48-8B94-4A06-A375-D283877D5589}"/>
    <cellStyle name="Moeda 9 11" xfId="9521" xr:uid="{BB6B8362-4770-4F0D-8BAE-A189C3769981}"/>
    <cellStyle name="Moeda 9 2" xfId="451" xr:uid="{00000000-0005-0000-0000-0000780F0000}"/>
    <cellStyle name="Moeda 9 2 2" xfId="7983" xr:uid="{00000000-0005-0000-0000-0000790F0000}"/>
    <cellStyle name="Moeda 9 2 2 2" xfId="8941" xr:uid="{00000000-0005-0000-0000-00007A0F0000}"/>
    <cellStyle name="Moeda 9 2 2 2 2" xfId="9105" xr:uid="{00000000-0005-0000-0000-00007B0F0000}"/>
    <cellStyle name="Moeda 9 2 2 2 2 2" xfId="9478" xr:uid="{A946055E-7EF1-4761-91A2-19E586E31FBF}"/>
    <cellStyle name="Moeda 9 2 2 2 2 3" xfId="9814" xr:uid="{A77AEF73-4A44-4675-8B2E-47013EB2508F}"/>
    <cellStyle name="Moeda 9 2 2 2 3" xfId="9324" xr:uid="{4C7B6FC8-0E46-4E79-A59C-B5CD550BD98D}"/>
    <cellStyle name="Moeda 9 2 2 2 4" xfId="9660" xr:uid="{C96D44E5-52AB-4DC8-AA86-D4BF855182FF}"/>
    <cellStyle name="Moeda 9 2 2 3" xfId="9028" xr:uid="{00000000-0005-0000-0000-00007C0F0000}"/>
    <cellStyle name="Moeda 9 2 2 3 2" xfId="9401" xr:uid="{03EDC0DA-CE94-4E84-8615-CEAD5192F172}"/>
    <cellStyle name="Moeda 9 2 2 3 3" xfId="9737" xr:uid="{72723E19-CA7A-488E-A28D-4E9B51330819}"/>
    <cellStyle name="Moeda 9 2 2 4" xfId="9246" xr:uid="{3302327D-784B-4F94-AADC-EB20446563BF}"/>
    <cellStyle name="Moeda 9 2 2 5" xfId="9582" xr:uid="{62566B9D-0B48-48B8-AA3B-E43D1619681B}"/>
    <cellStyle name="Moeda 9 2 3" xfId="8910" xr:uid="{00000000-0005-0000-0000-00007D0F0000}"/>
    <cellStyle name="Moeda 9 2 3 2" xfId="9074" xr:uid="{00000000-0005-0000-0000-00007E0F0000}"/>
    <cellStyle name="Moeda 9 2 3 2 2" xfId="9447" xr:uid="{A0B7DC72-D9F5-4039-934D-1A7870052E2A}"/>
    <cellStyle name="Moeda 9 2 3 2 3" xfId="9783" xr:uid="{E4B57DDD-2776-4738-A903-7061E30B9137}"/>
    <cellStyle name="Moeda 9 2 3 3" xfId="9293" xr:uid="{8B13D977-A38C-4321-BDB0-8A10F887C685}"/>
    <cellStyle name="Moeda 9 2 3 4" xfId="9629" xr:uid="{220D9817-69FB-49F5-9011-363F64802B74}"/>
    <cellStyle name="Moeda 9 2 4" xfId="8999" xr:uid="{00000000-0005-0000-0000-00007F0F0000}"/>
    <cellStyle name="Moeda 9 2 4 2" xfId="9372" xr:uid="{EE4F189D-1DA8-43DC-9290-2457214EE4F2}"/>
    <cellStyle name="Moeda 9 2 4 3" xfId="9708" xr:uid="{0BB6A93A-664F-4312-BF66-B0C6A8441B20}"/>
    <cellStyle name="Moeda 9 2 5" xfId="2926" xr:uid="{00000000-0005-0000-0000-0000800F0000}"/>
    <cellStyle name="Moeda 9 2 5 2" xfId="9215" xr:uid="{060E5A97-0311-4FA3-9AF3-1DB349EF4475}"/>
    <cellStyle name="Moeda 9 2 5 3" xfId="9551" xr:uid="{052B51BD-FC89-4025-9E8F-367C3CC01B99}"/>
    <cellStyle name="Moeda 9 2 6" xfId="9186" xr:uid="{6BABF5F7-424D-4A9A-948E-14CF64907833}"/>
    <cellStyle name="Moeda 9 2 7" xfId="9522" xr:uid="{CB7E85E4-731F-4ED4-ACC6-4EFEE68D4C25}"/>
    <cellStyle name="Moeda 9 3" xfId="3019" xr:uid="{00000000-0005-0000-0000-0000810F0000}"/>
    <cellStyle name="Moeda 9 3 2" xfId="8075" xr:uid="{00000000-0005-0000-0000-0000820F0000}"/>
    <cellStyle name="Moeda 9 3 2 2" xfId="8947" xr:uid="{00000000-0005-0000-0000-0000830F0000}"/>
    <cellStyle name="Moeda 9 3 2 2 2" xfId="9111" xr:uid="{00000000-0005-0000-0000-0000840F0000}"/>
    <cellStyle name="Moeda 9 3 2 2 2 2" xfId="9484" xr:uid="{FCEDD0C0-39FB-438E-BAAD-AD75DB52FC92}"/>
    <cellStyle name="Moeda 9 3 2 2 2 3" xfId="9820" xr:uid="{FD59FB7A-1143-4CA3-9762-62C6C7182152}"/>
    <cellStyle name="Moeda 9 3 2 2 3" xfId="9330" xr:uid="{1CA50135-527B-4804-A608-25FD75C3F655}"/>
    <cellStyle name="Moeda 9 3 2 2 4" xfId="9666" xr:uid="{02DE3E6B-3EA5-401E-B5CB-3263FCCCDA03}"/>
    <cellStyle name="Moeda 9 3 2 3" xfId="9034" xr:uid="{00000000-0005-0000-0000-0000850F0000}"/>
    <cellStyle name="Moeda 9 3 2 3 2" xfId="9407" xr:uid="{1CE6FF0C-D4DF-4719-B455-971B3CCA03BD}"/>
    <cellStyle name="Moeda 9 3 2 3 3" xfId="9743" xr:uid="{0E4ADD42-C79D-4829-BDD0-980EDE874F71}"/>
    <cellStyle name="Moeda 9 3 2 4" xfId="9252" xr:uid="{BDBE92B9-837A-48B7-9A72-F65BA58BE7D0}"/>
    <cellStyle name="Moeda 9 3 2 5" xfId="9588" xr:uid="{6972FC93-260B-466B-99B6-49AD89D3C8C7}"/>
    <cellStyle name="Moeda 9 3 3" xfId="8916" xr:uid="{00000000-0005-0000-0000-0000860F0000}"/>
    <cellStyle name="Moeda 9 3 3 2" xfId="9080" xr:uid="{00000000-0005-0000-0000-0000870F0000}"/>
    <cellStyle name="Moeda 9 3 3 2 2" xfId="9453" xr:uid="{6BE313B7-EF17-46D1-AEA8-6C6A632D10E4}"/>
    <cellStyle name="Moeda 9 3 3 2 3" xfId="9789" xr:uid="{97DC5CE3-3D1E-4F74-B215-848741DAB9FA}"/>
    <cellStyle name="Moeda 9 3 3 3" xfId="9299" xr:uid="{10DC0F89-11B2-48B6-8AEE-6BE489AE7073}"/>
    <cellStyle name="Moeda 9 3 3 4" xfId="9635" xr:uid="{74BA6571-D74C-4A08-B253-060881FC8FF3}"/>
    <cellStyle name="Moeda 9 3 4" xfId="9005" xr:uid="{00000000-0005-0000-0000-0000880F0000}"/>
    <cellStyle name="Moeda 9 3 4 2" xfId="9378" xr:uid="{8D534F2B-8678-49A5-89BD-0004A21F158D}"/>
    <cellStyle name="Moeda 9 3 4 3" xfId="9714" xr:uid="{5C425681-8E09-4EFF-8B90-7BB9CDE81A0D}"/>
    <cellStyle name="Moeda 9 3 5" xfId="9221" xr:uid="{FA9830E3-C410-4B22-A66D-B3D7168638DE}"/>
    <cellStyle name="Moeda 9 3 6" xfId="9557" xr:uid="{A9CE5B53-BE63-474F-B7A3-EBEF50F61AA9}"/>
    <cellStyle name="Moeda 9 4" xfId="3733" xr:uid="{00000000-0005-0000-0000-0000890F0000}"/>
    <cellStyle name="Moeda 9 4 2" xfId="8647" xr:uid="{00000000-0005-0000-0000-00008A0F0000}"/>
    <cellStyle name="Moeda 9 4 2 2" xfId="8953" xr:uid="{00000000-0005-0000-0000-00008B0F0000}"/>
    <cellStyle name="Moeda 9 4 2 2 2" xfId="9117" xr:uid="{00000000-0005-0000-0000-00008C0F0000}"/>
    <cellStyle name="Moeda 9 4 2 2 2 2" xfId="9490" xr:uid="{29AF3452-410C-417F-A120-DD2E361E9AD1}"/>
    <cellStyle name="Moeda 9 4 2 2 2 3" xfId="9826" xr:uid="{8DC7DADF-2B54-4CD8-83BE-32D2DD4A363C}"/>
    <cellStyle name="Moeda 9 4 2 2 3" xfId="9336" xr:uid="{1DE7FC57-3F0F-4106-8768-C6A78DAA4200}"/>
    <cellStyle name="Moeda 9 4 2 2 4" xfId="9672" xr:uid="{0391DCDF-BA15-4DAB-B7C9-1E0211C505F0}"/>
    <cellStyle name="Moeda 9 4 2 3" xfId="9040" xr:uid="{00000000-0005-0000-0000-00008D0F0000}"/>
    <cellStyle name="Moeda 9 4 2 3 2" xfId="9413" xr:uid="{7D81150C-F6D2-40D8-B8FA-B684CF73D6DB}"/>
    <cellStyle name="Moeda 9 4 2 3 3" xfId="9749" xr:uid="{A5074302-3600-43CD-9092-4DA60AAE0A34}"/>
    <cellStyle name="Moeda 9 4 2 4" xfId="9258" xr:uid="{CC8FAE12-CD9A-43DD-8850-436F73173951}"/>
    <cellStyle name="Moeda 9 4 2 5" xfId="9594" xr:uid="{0FEB122C-A689-4D23-826C-ADCE239A8987}"/>
    <cellStyle name="Moeda 9 4 3" xfId="8926" xr:uid="{00000000-0005-0000-0000-00008E0F0000}"/>
    <cellStyle name="Moeda 9 4 3 2" xfId="9090" xr:uid="{00000000-0005-0000-0000-00008F0F0000}"/>
    <cellStyle name="Moeda 9 4 3 2 2" xfId="9463" xr:uid="{AB697B72-F18F-426C-A278-621FD30FD802}"/>
    <cellStyle name="Moeda 9 4 3 2 3" xfId="9799" xr:uid="{21362690-7A6F-4BB4-BCEE-256D5691A425}"/>
    <cellStyle name="Moeda 9 4 3 3" xfId="9309" xr:uid="{ABCF8692-1A97-470B-B1DC-EF5939F5FE0C}"/>
    <cellStyle name="Moeda 9 4 3 4" xfId="9645" xr:uid="{8740DA7F-C142-4EFA-911E-3D62C543C2A0}"/>
    <cellStyle name="Moeda 9 4 4" xfId="9013" xr:uid="{00000000-0005-0000-0000-0000900F0000}"/>
    <cellStyle name="Moeda 9 4 4 2" xfId="9386" xr:uid="{AAD25EA7-BB5E-4626-BDE5-4543C79237A8}"/>
    <cellStyle name="Moeda 9 4 4 3" xfId="9722" xr:uid="{7D2ABE73-917B-441F-A3B4-7B21061BB9A5}"/>
    <cellStyle name="Moeda 9 4 5" xfId="9231" xr:uid="{2F7DE599-1E40-46A6-8092-087F8C19A416}"/>
    <cellStyle name="Moeda 9 4 6" xfId="9567" xr:uid="{8B13E079-6416-4B96-BC46-BFF5FED8A040}"/>
    <cellStyle name="Moeda 9 5" xfId="2820" xr:uid="{00000000-0005-0000-0000-0000910F0000}"/>
    <cellStyle name="Moeda 9 5 2" xfId="8904" xr:uid="{00000000-0005-0000-0000-0000920F0000}"/>
    <cellStyle name="Moeda 9 5 2 2" xfId="9068" xr:uid="{00000000-0005-0000-0000-0000930F0000}"/>
    <cellStyle name="Moeda 9 5 2 2 2" xfId="9441" xr:uid="{CAAD1CAF-12A3-4ACA-9961-6BDB7FEA5915}"/>
    <cellStyle name="Moeda 9 5 2 2 3" xfId="9777" xr:uid="{C3DC4E50-75C6-45AF-8AD6-7CF87C99F0E5}"/>
    <cellStyle name="Moeda 9 5 2 3" xfId="9287" xr:uid="{04F3BF1E-4E14-43E5-BC4C-B3D0F509C186}"/>
    <cellStyle name="Moeda 9 5 2 4" xfId="9623" xr:uid="{0FBE178C-B67F-4199-9A32-3A50BCFF9952}"/>
    <cellStyle name="Moeda 9 5 3" xfId="8993" xr:uid="{00000000-0005-0000-0000-0000940F0000}"/>
    <cellStyle name="Moeda 9 5 3 2" xfId="9366" xr:uid="{5164F0E1-6F4C-4754-8D63-93201012985D}"/>
    <cellStyle name="Moeda 9 5 3 3" xfId="9702" xr:uid="{812C1596-CF8E-47D7-B6C4-D12DAF35CDB1}"/>
    <cellStyle name="Moeda 9 5 4" xfId="9209" xr:uid="{2E8A2B30-7E03-4521-9C47-AA5F49575EFD}"/>
    <cellStyle name="Moeda 9 5 5" xfId="9545" xr:uid="{6EE371FB-4606-4865-B4E6-C79B1A6BDC92}"/>
    <cellStyle name="Moeda 9 6" xfId="7857" xr:uid="{00000000-0005-0000-0000-0000950F0000}"/>
    <cellStyle name="Moeda 9 6 2" xfId="8939" xr:uid="{00000000-0005-0000-0000-0000960F0000}"/>
    <cellStyle name="Moeda 9 6 2 2" xfId="9103" xr:uid="{00000000-0005-0000-0000-0000970F0000}"/>
    <cellStyle name="Moeda 9 6 2 2 2" xfId="9476" xr:uid="{294DC0DF-35D9-4AA4-9D0E-83F46597639C}"/>
    <cellStyle name="Moeda 9 6 2 2 3" xfId="9812" xr:uid="{538B72C1-F0B9-4A5B-A623-1920093220DA}"/>
    <cellStyle name="Moeda 9 6 2 3" xfId="9322" xr:uid="{AB3531FD-FD64-40CE-B783-0FAE0EEF6037}"/>
    <cellStyle name="Moeda 9 6 2 4" xfId="9658" xr:uid="{F3FCC9DF-47D0-44B4-97F0-4DDC1D9F30F6}"/>
    <cellStyle name="Moeda 9 6 3" xfId="9026" xr:uid="{00000000-0005-0000-0000-0000980F0000}"/>
    <cellStyle name="Moeda 9 6 3 2" xfId="9399" xr:uid="{78D743E5-3C4C-4968-AEA5-EB25C3CD6BC7}"/>
    <cellStyle name="Moeda 9 6 3 3" xfId="9735" xr:uid="{F22832AB-B5DE-4617-AA6E-F2C2560BEA62}"/>
    <cellStyle name="Moeda 9 6 4" xfId="9244" xr:uid="{EE284F4B-9203-4035-A0EE-0822C26B039E}"/>
    <cellStyle name="Moeda 9 6 5" xfId="9580" xr:uid="{1145FFD5-2BD0-46DE-8D2D-EB4CCD65E1FE}"/>
    <cellStyle name="Moeda 9 7" xfId="8902" xr:uid="{00000000-0005-0000-0000-0000990F0000}"/>
    <cellStyle name="Moeda 9 7 2" xfId="9066" xr:uid="{00000000-0005-0000-0000-00009A0F0000}"/>
    <cellStyle name="Moeda 9 7 2 2" xfId="9439" xr:uid="{B2559190-9DE5-437B-BCBA-1E9E30FDE672}"/>
    <cellStyle name="Moeda 9 7 2 3" xfId="9775" xr:uid="{B34B3CD5-C666-416C-9515-2BC454A9A0E6}"/>
    <cellStyle name="Moeda 9 7 3" xfId="9285" xr:uid="{70DE6E6C-E8C7-4B5C-9D15-FB624E8D248F}"/>
    <cellStyle name="Moeda 9 7 4" xfId="9621" xr:uid="{29B83BE8-5C5E-4053-81B4-7FFA662E4E41}"/>
    <cellStyle name="Moeda 9 8" xfId="8991" xr:uid="{00000000-0005-0000-0000-00009B0F0000}"/>
    <cellStyle name="Moeda 9 8 2" xfId="9364" xr:uid="{427A296D-BF2F-46C2-A537-B30DF43AA0EE}"/>
    <cellStyle name="Moeda 9 8 3" xfId="9700" xr:uid="{471B21FF-98B7-4BDA-A7B7-ACC57F37B8A2}"/>
    <cellStyle name="Moeda 9 9" xfId="2646" xr:uid="{00000000-0005-0000-0000-00009C0F0000}"/>
    <cellStyle name="Moeda 9 9 2" xfId="9207" xr:uid="{784E127B-224D-4EF7-BE77-6E0E51C2A4BA}"/>
    <cellStyle name="Moeda 9 9 3" xfId="9543" xr:uid="{E69DAA3F-929F-4ECA-BFDD-5D9BE2ED6479}"/>
    <cellStyle name="Moneda_CALDERA.XLC" xfId="452" xr:uid="{00000000-0005-0000-0000-00009D0F0000}"/>
    <cellStyle name="Monétaire [0]_CONV" xfId="8783" xr:uid="{00000000-0005-0000-0000-00009E0F0000}"/>
    <cellStyle name="Monétaire_CONV" xfId="8784"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7" xr:uid="{00000000-0005-0000-0000-0000A40F0000}"/>
    <cellStyle name="Neutral 2" xfId="1095" xr:uid="{00000000-0005-0000-0000-0000A50F0000}"/>
    <cellStyle name="Neutral 2 2" xfId="3576" xr:uid="{00000000-0005-0000-0000-0000A60F0000}"/>
    <cellStyle name="Neutral 2 2 2" xfId="5188" xr:uid="{00000000-0005-0000-0000-0000A70F0000}"/>
    <cellStyle name="Neutral 2 2 3" xfId="8560" xr:uid="{00000000-0005-0000-0000-0000A80F0000}"/>
    <cellStyle name="Neutral 2 3" xfId="3357" xr:uid="{00000000-0005-0000-0000-0000A90F0000}"/>
    <cellStyle name="Neutral 2 3 2" xfId="4987" xr:uid="{00000000-0005-0000-0000-0000AA0F0000}"/>
    <cellStyle name="Neutral 2 3 3" xfId="8391" xr:uid="{00000000-0005-0000-0000-0000AB0F0000}"/>
    <cellStyle name="Neutral 2 4" xfId="4049" xr:uid="{00000000-0005-0000-0000-0000AC0F0000}"/>
    <cellStyle name="Neutral 2 5" xfId="6367" xr:uid="{00000000-0005-0000-0000-0000AD0F0000}"/>
    <cellStyle name="Neutral 3" xfId="3358" xr:uid="{00000000-0005-0000-0000-0000AE0F0000}"/>
    <cellStyle name="Neutral 3 2" xfId="4988" xr:uid="{00000000-0005-0000-0000-0000AF0F0000}"/>
    <cellStyle name="Neutral 3 3" xfId="8392" xr:uid="{00000000-0005-0000-0000-0000B00F0000}"/>
    <cellStyle name="Neutral 4" xfId="3359" xr:uid="{00000000-0005-0000-0000-0000B10F0000}"/>
    <cellStyle name="Neutral 4 2" xfId="4989" xr:uid="{00000000-0005-0000-0000-0000B20F0000}"/>
    <cellStyle name="Neutral 4 3" xfId="8393" xr:uid="{00000000-0005-0000-0000-0000B30F0000}"/>
    <cellStyle name="Neutral 5" xfId="3360" xr:uid="{00000000-0005-0000-0000-0000B40F0000}"/>
    <cellStyle name="Neutral 5 2" xfId="4990" xr:uid="{00000000-0005-0000-0000-0000B50F0000}"/>
    <cellStyle name="Neutral 5 3" xfId="8394" xr:uid="{00000000-0005-0000-0000-0000B60F0000}"/>
    <cellStyle name="Neutral 6" xfId="3361" xr:uid="{00000000-0005-0000-0000-0000B70F0000}"/>
    <cellStyle name="Neutral 6 2" xfId="4991" xr:uid="{00000000-0005-0000-0000-0000B80F0000}"/>
    <cellStyle name="Neutral 6 3" xfId="8395" xr:uid="{00000000-0005-0000-0000-0000B90F0000}"/>
    <cellStyle name="Neutral 7" xfId="3356" xr:uid="{00000000-0005-0000-0000-0000BA0F0000}"/>
    <cellStyle name="Neutral 7 2" xfId="4986" xr:uid="{00000000-0005-0000-0000-0000BB0F0000}"/>
    <cellStyle name="Neutral 7 3" xfId="8390" xr:uid="{00000000-0005-0000-0000-0000BC0F0000}"/>
    <cellStyle name="Neutral 8" xfId="4048" xr:uid="{00000000-0005-0000-0000-0000BD0F0000}"/>
    <cellStyle name="Neutral 9" xfId="7360" xr:uid="{00000000-0005-0000-0000-0000BE0F0000}"/>
    <cellStyle name="Neutro 2" xfId="457" xr:uid="{00000000-0005-0000-0000-0000BF0F0000}"/>
    <cellStyle name="Neutro 2 2" xfId="6286" xr:uid="{00000000-0005-0000-0000-0000C00F0000}"/>
    <cellStyle name="Neutro 3" xfId="458" xr:uid="{00000000-0005-0000-0000-0000C10F0000}"/>
    <cellStyle name="Neutro 3 2" xfId="1004"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0" xr:uid="{00000000-0005-0000-0000-0000CB0F0000}"/>
    <cellStyle name="Normal 10 10 3" xfId="7432" xr:uid="{00000000-0005-0000-0000-0000CC0F0000}"/>
    <cellStyle name="Normal 10 10 4" xfId="2199" xr:uid="{00000000-0005-0000-0000-0000CD0F0000}"/>
    <cellStyle name="Normal 10 11" xfId="466" xr:uid="{00000000-0005-0000-0000-0000CE0F0000}"/>
    <cellStyle name="Normal 10 11 2" xfId="4051" xr:uid="{00000000-0005-0000-0000-0000CF0F0000}"/>
    <cellStyle name="Normal 10 11 3" xfId="7433" xr:uid="{00000000-0005-0000-0000-0000D00F0000}"/>
    <cellStyle name="Normal 10 11 4" xfId="2200" xr:uid="{00000000-0005-0000-0000-0000D10F0000}"/>
    <cellStyle name="Normal 10 12" xfId="467" xr:uid="{00000000-0005-0000-0000-0000D20F0000}"/>
    <cellStyle name="Normal 10 12 2" xfId="4052" xr:uid="{00000000-0005-0000-0000-0000D30F0000}"/>
    <cellStyle name="Normal 10 12 3" xfId="7434" xr:uid="{00000000-0005-0000-0000-0000D40F0000}"/>
    <cellStyle name="Normal 10 12 4" xfId="2201" xr:uid="{00000000-0005-0000-0000-0000D50F0000}"/>
    <cellStyle name="Normal 10 13" xfId="468" xr:uid="{00000000-0005-0000-0000-0000D60F0000}"/>
    <cellStyle name="Normal 10 13 2" xfId="4053" xr:uid="{00000000-0005-0000-0000-0000D70F0000}"/>
    <cellStyle name="Normal 10 13 3" xfId="7435" xr:uid="{00000000-0005-0000-0000-0000D80F0000}"/>
    <cellStyle name="Normal 10 13 4" xfId="2202" xr:uid="{00000000-0005-0000-0000-0000D90F0000}"/>
    <cellStyle name="Normal 10 14" xfId="2203" xr:uid="{00000000-0005-0000-0000-0000DA0F0000}"/>
    <cellStyle name="Normal 10 14 2" xfId="4054" xr:uid="{00000000-0005-0000-0000-0000DB0F0000}"/>
    <cellStyle name="Normal 10 14 3" xfId="7436" xr:uid="{00000000-0005-0000-0000-0000DC0F0000}"/>
    <cellStyle name="Normal 10 15" xfId="2204" xr:uid="{00000000-0005-0000-0000-0000DD0F0000}"/>
    <cellStyle name="Normal 10 15 2" xfId="4055" xr:uid="{00000000-0005-0000-0000-0000DE0F0000}"/>
    <cellStyle name="Normal 10 15 3" xfId="7437" xr:uid="{00000000-0005-0000-0000-0000DF0F0000}"/>
    <cellStyle name="Normal 10 16" xfId="2205" xr:uid="{00000000-0005-0000-0000-0000E00F0000}"/>
    <cellStyle name="Normal 10 16 2" xfId="4056" xr:uid="{00000000-0005-0000-0000-0000E10F0000}"/>
    <cellStyle name="Normal 10 16 3" xfId="7438" xr:uid="{00000000-0005-0000-0000-0000E20F0000}"/>
    <cellStyle name="Normal 10 17" xfId="2206" xr:uid="{00000000-0005-0000-0000-0000E30F0000}"/>
    <cellStyle name="Normal 10 17 2" xfId="4057" xr:uid="{00000000-0005-0000-0000-0000E40F0000}"/>
    <cellStyle name="Normal 10 17 3" xfId="7439" xr:uid="{00000000-0005-0000-0000-0000E50F0000}"/>
    <cellStyle name="Normal 10 18" xfId="2207" xr:uid="{00000000-0005-0000-0000-0000E60F0000}"/>
    <cellStyle name="Normal 10 18 2" xfId="4058" xr:uid="{00000000-0005-0000-0000-0000E70F0000}"/>
    <cellStyle name="Normal 10 18 3" xfId="7440" xr:uid="{00000000-0005-0000-0000-0000E80F0000}"/>
    <cellStyle name="Normal 10 19" xfId="2208" xr:uid="{00000000-0005-0000-0000-0000E90F0000}"/>
    <cellStyle name="Normal 10 19 2" xfId="4059" xr:uid="{00000000-0005-0000-0000-0000EA0F0000}"/>
    <cellStyle name="Normal 10 19 3" xfId="7441" xr:uid="{00000000-0005-0000-0000-0000EB0F0000}"/>
    <cellStyle name="Normal 10 2" xfId="469" xr:uid="{00000000-0005-0000-0000-0000EC0F0000}"/>
    <cellStyle name="Normal 10 2 10" xfId="6458" xr:uid="{00000000-0005-0000-0000-0000ED0F0000}"/>
    <cellStyle name="Normal 10 2 11" xfId="1206" xr:uid="{00000000-0005-0000-0000-0000EE0F0000}"/>
    <cellStyle name="Normal 10 2 2" xfId="1277" xr:uid="{00000000-0005-0000-0000-0000EF0F0000}"/>
    <cellStyle name="Normal 10 2 2 2" xfId="1549" xr:uid="{00000000-0005-0000-0000-0000F00F0000}"/>
    <cellStyle name="Normal 10 2 2 2 2" xfId="5576" xr:uid="{00000000-0005-0000-0000-0000F10F0000}"/>
    <cellStyle name="Normal 10 2 2 2 3" xfId="6801" xr:uid="{00000000-0005-0000-0000-0000F20F0000}"/>
    <cellStyle name="Normal 10 2 2 3" xfId="1754" xr:uid="{00000000-0005-0000-0000-0000F30F0000}"/>
    <cellStyle name="Normal 10 2 2 3 2" xfId="5776" xr:uid="{00000000-0005-0000-0000-0000F40F0000}"/>
    <cellStyle name="Normal 10 2 2 3 3" xfId="7001" xr:uid="{00000000-0005-0000-0000-0000F50F0000}"/>
    <cellStyle name="Normal 10 2 2 4" xfId="2001" xr:uid="{00000000-0005-0000-0000-0000F60F0000}"/>
    <cellStyle name="Normal 10 2 2 4 2" xfId="6020" xr:uid="{00000000-0005-0000-0000-0000F70F0000}"/>
    <cellStyle name="Normal 10 2 2 4 3" xfId="7248" xr:uid="{00000000-0005-0000-0000-0000F80F0000}"/>
    <cellStyle name="Normal 10 2 2 5" xfId="3642" xr:uid="{00000000-0005-0000-0000-0000F90F0000}"/>
    <cellStyle name="Normal 10 2 2 5 2" xfId="5314" xr:uid="{00000000-0005-0000-0000-0000FA0F0000}"/>
    <cellStyle name="Normal 10 2 2 5 3" xfId="8599" xr:uid="{00000000-0005-0000-0000-0000FB0F0000}"/>
    <cellStyle name="Normal 10 2 2 6" xfId="3364" xr:uid="{00000000-0005-0000-0000-0000FC0F0000}"/>
    <cellStyle name="Normal 10 2 2 7" xfId="4994" xr:uid="{00000000-0005-0000-0000-0000FD0F0000}"/>
    <cellStyle name="Normal 10 2 2 8" xfId="6529" xr:uid="{00000000-0005-0000-0000-0000FE0F0000}"/>
    <cellStyle name="Normal 10 2 3" xfId="1324" xr:uid="{00000000-0005-0000-0000-0000FF0F0000}"/>
    <cellStyle name="Normal 10 2 3 2" xfId="1592" xr:uid="{00000000-0005-0000-0000-000000100000}"/>
    <cellStyle name="Normal 10 2 3 2 2" xfId="5618" xr:uid="{00000000-0005-0000-0000-000001100000}"/>
    <cellStyle name="Normal 10 2 3 2 3" xfId="6843" xr:uid="{00000000-0005-0000-0000-000002100000}"/>
    <cellStyle name="Normal 10 2 3 3" xfId="1796" xr:uid="{00000000-0005-0000-0000-000003100000}"/>
    <cellStyle name="Normal 10 2 3 3 2" xfId="5817" xr:uid="{00000000-0005-0000-0000-000004100000}"/>
    <cellStyle name="Normal 10 2 3 3 3" xfId="7043" xr:uid="{00000000-0005-0000-0000-000005100000}"/>
    <cellStyle name="Normal 10 2 3 4" xfId="2000" xr:uid="{00000000-0005-0000-0000-000006100000}"/>
    <cellStyle name="Normal 10 2 3 4 2" xfId="6019" xr:uid="{00000000-0005-0000-0000-000007100000}"/>
    <cellStyle name="Normal 10 2 3 4 3" xfId="7247" xr:uid="{00000000-0005-0000-0000-000008100000}"/>
    <cellStyle name="Normal 10 2 3 5" xfId="5360" xr:uid="{00000000-0005-0000-0000-000009100000}"/>
    <cellStyle name="Normal 10 2 3 6" xfId="6576" xr:uid="{00000000-0005-0000-0000-00000A100000}"/>
    <cellStyle name="Normal 10 2 4" xfId="1476" xr:uid="{00000000-0005-0000-0000-00000B100000}"/>
    <cellStyle name="Normal 10 2 4 2" xfId="5504" xr:uid="{00000000-0005-0000-0000-00000C100000}"/>
    <cellStyle name="Normal 10 2 4 3" xfId="6728" xr:uid="{00000000-0005-0000-0000-00000D100000}"/>
    <cellStyle name="Normal 10 2 5" xfId="1683" xr:uid="{00000000-0005-0000-0000-00000E100000}"/>
    <cellStyle name="Normal 10 2 5 2" xfId="5705" xr:uid="{00000000-0005-0000-0000-00000F100000}"/>
    <cellStyle name="Normal 10 2 5 3" xfId="6930" xr:uid="{00000000-0005-0000-0000-000010100000}"/>
    <cellStyle name="Normal 10 2 6" xfId="1790" xr:uid="{00000000-0005-0000-0000-000011100000}"/>
    <cellStyle name="Normal 10 2 6 2" xfId="5811" xr:uid="{00000000-0005-0000-0000-000012100000}"/>
    <cellStyle name="Normal 10 2 6 3" xfId="7037" xr:uid="{00000000-0005-0000-0000-000013100000}"/>
    <cellStyle name="Normal 10 2 7" xfId="2209" xr:uid="{00000000-0005-0000-0000-000014100000}"/>
    <cellStyle name="Normal 10 2 7 2" xfId="3618" xr:uid="{00000000-0005-0000-0000-000015100000}"/>
    <cellStyle name="Normal 10 2 7 3" xfId="5247" xr:uid="{00000000-0005-0000-0000-000016100000}"/>
    <cellStyle name="Normal 10 2 7 4" xfId="7442" xr:uid="{00000000-0005-0000-0000-000017100000}"/>
    <cellStyle name="Normal 10 2 8" xfId="3363" xr:uid="{00000000-0005-0000-0000-000018100000}"/>
    <cellStyle name="Normal 10 2 8 2" xfId="4993" xr:uid="{00000000-0005-0000-0000-000019100000}"/>
    <cellStyle name="Normal 10 2 8 3" xfId="8397" xr:uid="{00000000-0005-0000-0000-00001A100000}"/>
    <cellStyle name="Normal 10 2 9" xfId="4060" xr:uid="{00000000-0005-0000-0000-00001B100000}"/>
    <cellStyle name="Normal 10 20" xfId="2210" xr:uid="{00000000-0005-0000-0000-00001C100000}"/>
    <cellStyle name="Normal 10 20 2" xfId="4061" xr:uid="{00000000-0005-0000-0000-00001D100000}"/>
    <cellStyle name="Normal 10 20 3" xfId="7443" xr:uid="{00000000-0005-0000-0000-00001E100000}"/>
    <cellStyle name="Normal 10 21" xfId="2211" xr:uid="{00000000-0005-0000-0000-00001F100000}"/>
    <cellStyle name="Normal 10 21 2" xfId="4062" xr:uid="{00000000-0005-0000-0000-000020100000}"/>
    <cellStyle name="Normal 10 21 3" xfId="7444" xr:uid="{00000000-0005-0000-0000-000021100000}"/>
    <cellStyle name="Normal 10 22" xfId="2212" xr:uid="{00000000-0005-0000-0000-000022100000}"/>
    <cellStyle name="Normal 10 22 2" xfId="4063" xr:uid="{00000000-0005-0000-0000-000023100000}"/>
    <cellStyle name="Normal 10 22 3" xfId="7445" xr:uid="{00000000-0005-0000-0000-000024100000}"/>
    <cellStyle name="Normal 10 23" xfId="2213" xr:uid="{00000000-0005-0000-0000-000025100000}"/>
    <cellStyle name="Normal 10 23 2" xfId="4064" xr:uid="{00000000-0005-0000-0000-000026100000}"/>
    <cellStyle name="Normal 10 23 3" xfId="7446" xr:uid="{00000000-0005-0000-0000-000027100000}"/>
    <cellStyle name="Normal 10 24" xfId="2214" xr:uid="{00000000-0005-0000-0000-000028100000}"/>
    <cellStyle name="Normal 10 24 2" xfId="4065" xr:uid="{00000000-0005-0000-0000-000029100000}"/>
    <cellStyle name="Normal 10 24 3" xfId="7447" xr:uid="{00000000-0005-0000-0000-00002A100000}"/>
    <cellStyle name="Normal 10 25" xfId="2215" xr:uid="{00000000-0005-0000-0000-00002B100000}"/>
    <cellStyle name="Normal 10 25 2" xfId="4066" xr:uid="{00000000-0005-0000-0000-00002C100000}"/>
    <cellStyle name="Normal 10 25 3" xfId="7448" xr:uid="{00000000-0005-0000-0000-00002D100000}"/>
    <cellStyle name="Normal 10 26" xfId="2216" xr:uid="{00000000-0005-0000-0000-00002E100000}"/>
    <cellStyle name="Normal 10 26 2" xfId="4067" xr:uid="{00000000-0005-0000-0000-00002F100000}"/>
    <cellStyle name="Normal 10 26 3" xfId="7449" xr:uid="{00000000-0005-0000-0000-000030100000}"/>
    <cellStyle name="Normal 10 27" xfId="2217" xr:uid="{00000000-0005-0000-0000-000031100000}"/>
    <cellStyle name="Normal 10 27 2" xfId="4068" xr:uid="{00000000-0005-0000-0000-000032100000}"/>
    <cellStyle name="Normal 10 27 3" xfId="7450" xr:uid="{00000000-0005-0000-0000-000033100000}"/>
    <cellStyle name="Normal 10 28" xfId="2218" xr:uid="{00000000-0005-0000-0000-000034100000}"/>
    <cellStyle name="Normal 10 28 2" xfId="4069" xr:uid="{00000000-0005-0000-0000-000035100000}"/>
    <cellStyle name="Normal 10 28 3" xfId="7451" xr:uid="{00000000-0005-0000-0000-000036100000}"/>
    <cellStyle name="Normal 10 29" xfId="2219" xr:uid="{00000000-0005-0000-0000-000037100000}"/>
    <cellStyle name="Normal 10 29 2" xfId="4070" xr:uid="{00000000-0005-0000-0000-000038100000}"/>
    <cellStyle name="Normal 10 29 3" xfId="7452" xr:uid="{00000000-0005-0000-0000-000039100000}"/>
    <cellStyle name="Normal 10 3" xfId="470" xr:uid="{00000000-0005-0000-0000-00003A100000}"/>
    <cellStyle name="Normal 10 3 2" xfId="1526" xr:uid="{00000000-0005-0000-0000-00003B100000}"/>
    <cellStyle name="Normal 10 3 2 2" xfId="5553" xr:uid="{00000000-0005-0000-0000-00003C100000}"/>
    <cellStyle name="Normal 10 3 2 3" xfId="6778" xr:uid="{00000000-0005-0000-0000-00003D100000}"/>
    <cellStyle name="Normal 10 3 3" xfId="1731" xr:uid="{00000000-0005-0000-0000-00003E100000}"/>
    <cellStyle name="Normal 10 3 3 2" xfId="5753" xr:uid="{00000000-0005-0000-0000-00003F100000}"/>
    <cellStyle name="Normal 10 3 3 3" xfId="6978" xr:uid="{00000000-0005-0000-0000-000040100000}"/>
    <cellStyle name="Normal 10 3 4" xfId="1482" xr:uid="{00000000-0005-0000-0000-000041100000}"/>
    <cellStyle name="Normal 10 3 4 2" xfId="5510" xr:uid="{00000000-0005-0000-0000-000042100000}"/>
    <cellStyle name="Normal 10 3 4 3" xfId="6734" xr:uid="{00000000-0005-0000-0000-000043100000}"/>
    <cellStyle name="Normal 10 3 5" xfId="2220" xr:uid="{00000000-0005-0000-0000-000044100000}"/>
    <cellStyle name="Normal 10 3 5 2" xfId="3634" xr:uid="{00000000-0005-0000-0000-000045100000}"/>
    <cellStyle name="Normal 10 3 5 3" xfId="5292" xr:uid="{00000000-0005-0000-0000-000046100000}"/>
    <cellStyle name="Normal 10 3 5 4" xfId="7453" xr:uid="{00000000-0005-0000-0000-000047100000}"/>
    <cellStyle name="Normal 10 3 6" xfId="4071" xr:uid="{00000000-0005-0000-0000-000048100000}"/>
    <cellStyle name="Normal 10 3 7" xfId="6507" xr:uid="{00000000-0005-0000-0000-000049100000}"/>
    <cellStyle name="Normal 10 3 8" xfId="1255" xr:uid="{00000000-0005-0000-0000-00004A100000}"/>
    <cellStyle name="Normal 10 30" xfId="2221" xr:uid="{00000000-0005-0000-0000-00004B100000}"/>
    <cellStyle name="Normal 10 30 2" xfId="4072" xr:uid="{00000000-0005-0000-0000-00004C100000}"/>
    <cellStyle name="Normal 10 30 3" xfId="7454" xr:uid="{00000000-0005-0000-0000-00004D100000}"/>
    <cellStyle name="Normal 10 31" xfId="2222" xr:uid="{00000000-0005-0000-0000-00004E100000}"/>
    <cellStyle name="Normal 10 31 2" xfId="4073" xr:uid="{00000000-0005-0000-0000-00004F100000}"/>
    <cellStyle name="Normal 10 31 3" xfId="7455" xr:uid="{00000000-0005-0000-0000-000050100000}"/>
    <cellStyle name="Normal 10 32" xfId="2223" xr:uid="{00000000-0005-0000-0000-000051100000}"/>
    <cellStyle name="Normal 10 32 2" xfId="4074" xr:uid="{00000000-0005-0000-0000-000052100000}"/>
    <cellStyle name="Normal 10 32 3" xfId="7456" xr:uid="{00000000-0005-0000-0000-000053100000}"/>
    <cellStyle name="Normal 10 33" xfId="2224" xr:uid="{00000000-0005-0000-0000-000054100000}"/>
    <cellStyle name="Normal 10 33 2" xfId="4075" xr:uid="{00000000-0005-0000-0000-000055100000}"/>
    <cellStyle name="Normal 10 33 3" xfId="7457" xr:uid="{00000000-0005-0000-0000-000056100000}"/>
    <cellStyle name="Normal 10 34" xfId="2225" xr:uid="{00000000-0005-0000-0000-000057100000}"/>
    <cellStyle name="Normal 10 34 2" xfId="4076" xr:uid="{00000000-0005-0000-0000-000058100000}"/>
    <cellStyle name="Normal 10 34 3" xfId="7458" xr:uid="{00000000-0005-0000-0000-000059100000}"/>
    <cellStyle name="Normal 10 35" xfId="2226" xr:uid="{00000000-0005-0000-0000-00005A100000}"/>
    <cellStyle name="Normal 10 35 2" xfId="4077" xr:uid="{00000000-0005-0000-0000-00005B100000}"/>
    <cellStyle name="Normal 10 35 3" xfId="7459" xr:uid="{00000000-0005-0000-0000-00005C100000}"/>
    <cellStyle name="Normal 10 36" xfId="2227" xr:uid="{00000000-0005-0000-0000-00005D100000}"/>
    <cellStyle name="Normal 10 36 2" xfId="4078" xr:uid="{00000000-0005-0000-0000-00005E100000}"/>
    <cellStyle name="Normal 10 36 3" xfId="7460" xr:uid="{00000000-0005-0000-0000-00005F100000}"/>
    <cellStyle name="Normal 10 37" xfId="2228" xr:uid="{00000000-0005-0000-0000-000060100000}"/>
    <cellStyle name="Normal 10 37 2" xfId="4079" xr:uid="{00000000-0005-0000-0000-000061100000}"/>
    <cellStyle name="Normal 10 37 3" xfId="7461" xr:uid="{00000000-0005-0000-0000-000062100000}"/>
    <cellStyle name="Normal 10 38" xfId="2229" xr:uid="{00000000-0005-0000-0000-000063100000}"/>
    <cellStyle name="Normal 10 38 2" xfId="4080" xr:uid="{00000000-0005-0000-0000-000064100000}"/>
    <cellStyle name="Normal 10 38 3" xfId="7462" xr:uid="{00000000-0005-0000-0000-000065100000}"/>
    <cellStyle name="Normal 10 39" xfId="2230" xr:uid="{00000000-0005-0000-0000-000066100000}"/>
    <cellStyle name="Normal 10 39 2" xfId="4081" xr:uid="{00000000-0005-0000-0000-000067100000}"/>
    <cellStyle name="Normal 10 39 3" xfId="7463" xr:uid="{00000000-0005-0000-0000-000068100000}"/>
    <cellStyle name="Normal 10 4" xfId="471" xr:uid="{00000000-0005-0000-0000-000069100000}"/>
    <cellStyle name="Normal 10 4 2" xfId="1571" xr:uid="{00000000-0005-0000-0000-00006A100000}"/>
    <cellStyle name="Normal 10 4 2 2" xfId="5597" xr:uid="{00000000-0005-0000-0000-00006B100000}"/>
    <cellStyle name="Normal 10 4 2 3" xfId="6822" xr:uid="{00000000-0005-0000-0000-00006C100000}"/>
    <cellStyle name="Normal 10 4 3" xfId="1775" xr:uid="{00000000-0005-0000-0000-00006D100000}"/>
    <cellStyle name="Normal 10 4 3 2" xfId="5796" xr:uid="{00000000-0005-0000-0000-00006E100000}"/>
    <cellStyle name="Normal 10 4 3 3" xfId="7022" xr:uid="{00000000-0005-0000-0000-00006F100000}"/>
    <cellStyle name="Normal 10 4 4" xfId="1925" xr:uid="{00000000-0005-0000-0000-000070100000}"/>
    <cellStyle name="Normal 10 4 4 2" xfId="5945" xr:uid="{00000000-0005-0000-0000-000071100000}"/>
    <cellStyle name="Normal 10 4 4 3" xfId="7172" xr:uid="{00000000-0005-0000-0000-000072100000}"/>
    <cellStyle name="Normal 10 4 5" xfId="2231" xr:uid="{00000000-0005-0000-0000-000073100000}"/>
    <cellStyle name="Normal 10 4 5 2" xfId="3659" xr:uid="{00000000-0005-0000-0000-000074100000}"/>
    <cellStyle name="Normal 10 4 5 3" xfId="5338" xr:uid="{00000000-0005-0000-0000-000075100000}"/>
    <cellStyle name="Normal 10 4 5 4" xfId="7464" xr:uid="{00000000-0005-0000-0000-000076100000}"/>
    <cellStyle name="Normal 10 4 6" xfId="4082" xr:uid="{00000000-0005-0000-0000-000077100000}"/>
    <cellStyle name="Normal 10 4 7" xfId="6554" xr:uid="{00000000-0005-0000-0000-000078100000}"/>
    <cellStyle name="Normal 10 4 8" xfId="1302" xr:uid="{00000000-0005-0000-0000-000079100000}"/>
    <cellStyle name="Normal 10 40" xfId="2232" xr:uid="{00000000-0005-0000-0000-00007A100000}"/>
    <cellStyle name="Normal 10 40 2" xfId="4083" xr:uid="{00000000-0005-0000-0000-00007B100000}"/>
    <cellStyle name="Normal 10 40 3" xfId="7465" xr:uid="{00000000-0005-0000-0000-00007C100000}"/>
    <cellStyle name="Normal 10 41" xfId="2233" xr:uid="{00000000-0005-0000-0000-00007D100000}"/>
    <cellStyle name="Normal 10 41 2" xfId="4084" xr:uid="{00000000-0005-0000-0000-00007E100000}"/>
    <cellStyle name="Normal 10 41 3" xfId="7466" xr:uid="{00000000-0005-0000-0000-00007F100000}"/>
    <cellStyle name="Normal 10 42" xfId="2234" xr:uid="{00000000-0005-0000-0000-000080100000}"/>
    <cellStyle name="Normal 10 42 2" xfId="4085" xr:uid="{00000000-0005-0000-0000-000081100000}"/>
    <cellStyle name="Normal 10 42 3" xfId="7467" xr:uid="{00000000-0005-0000-0000-000082100000}"/>
    <cellStyle name="Normal 10 43" xfId="2235" xr:uid="{00000000-0005-0000-0000-000083100000}"/>
    <cellStyle name="Normal 10 43 2" xfId="4086" xr:uid="{00000000-0005-0000-0000-000084100000}"/>
    <cellStyle name="Normal 10 43 3" xfId="7468" xr:uid="{00000000-0005-0000-0000-000085100000}"/>
    <cellStyle name="Normal 10 44" xfId="2236" xr:uid="{00000000-0005-0000-0000-000086100000}"/>
    <cellStyle name="Normal 10 44 2" xfId="4087" xr:uid="{00000000-0005-0000-0000-000087100000}"/>
    <cellStyle name="Normal 10 44 3" xfId="7469" xr:uid="{00000000-0005-0000-0000-000088100000}"/>
    <cellStyle name="Normal 10 45" xfId="2237" xr:uid="{00000000-0005-0000-0000-000089100000}"/>
    <cellStyle name="Normal 10 45 2" xfId="4088" xr:uid="{00000000-0005-0000-0000-00008A100000}"/>
    <cellStyle name="Normal 10 45 3" xfId="7470" xr:uid="{00000000-0005-0000-0000-00008B100000}"/>
    <cellStyle name="Normal 10 46" xfId="2238" xr:uid="{00000000-0005-0000-0000-00008C100000}"/>
    <cellStyle name="Normal 10 46 2" xfId="4089" xr:uid="{00000000-0005-0000-0000-00008D100000}"/>
    <cellStyle name="Normal 10 46 3" xfId="7471" xr:uid="{00000000-0005-0000-0000-00008E100000}"/>
    <cellStyle name="Normal 10 47" xfId="2239" xr:uid="{00000000-0005-0000-0000-00008F100000}"/>
    <cellStyle name="Normal 10 47 2" xfId="4090" xr:uid="{00000000-0005-0000-0000-000090100000}"/>
    <cellStyle name="Normal 10 47 3" xfId="7472" xr:uid="{00000000-0005-0000-0000-000091100000}"/>
    <cellStyle name="Normal 10 48" xfId="2240" xr:uid="{00000000-0005-0000-0000-000092100000}"/>
    <cellStyle name="Normal 10 48 2" xfId="4091" xr:uid="{00000000-0005-0000-0000-000093100000}"/>
    <cellStyle name="Normal 10 48 3" xfId="7473" xr:uid="{00000000-0005-0000-0000-000094100000}"/>
    <cellStyle name="Normal 10 49" xfId="2241" xr:uid="{00000000-0005-0000-0000-000095100000}"/>
    <cellStyle name="Normal 10 49 2" xfId="4092" xr:uid="{00000000-0005-0000-0000-000096100000}"/>
    <cellStyle name="Normal 10 49 3" xfId="7474" xr:uid="{00000000-0005-0000-0000-000097100000}"/>
    <cellStyle name="Normal 10 5" xfId="472" xr:uid="{00000000-0005-0000-0000-000098100000}"/>
    <cellStyle name="Normal 10 5 2" xfId="2242" xr:uid="{00000000-0005-0000-0000-000099100000}"/>
    <cellStyle name="Normal 10 5 2 2" xfId="3677" xr:uid="{00000000-0005-0000-0000-00009A100000}"/>
    <cellStyle name="Normal 10 5 2 3" xfId="5479" xr:uid="{00000000-0005-0000-0000-00009B100000}"/>
    <cellStyle name="Normal 10 5 2 4" xfId="7475" xr:uid="{00000000-0005-0000-0000-00009C100000}"/>
    <cellStyle name="Normal 10 5 3" xfId="4093" xr:uid="{00000000-0005-0000-0000-00009D100000}"/>
    <cellStyle name="Normal 10 5 4" xfId="6703" xr:uid="{00000000-0005-0000-0000-00009E100000}"/>
    <cellStyle name="Normal 10 5 5" xfId="1451" xr:uid="{00000000-0005-0000-0000-00009F100000}"/>
    <cellStyle name="Normal 10 50" xfId="2243" xr:uid="{00000000-0005-0000-0000-0000A0100000}"/>
    <cellStyle name="Normal 10 50 2" xfId="4094" xr:uid="{00000000-0005-0000-0000-0000A1100000}"/>
    <cellStyle name="Normal 10 50 3" xfId="7476" xr:uid="{00000000-0005-0000-0000-0000A2100000}"/>
    <cellStyle name="Normal 10 51" xfId="2244" xr:uid="{00000000-0005-0000-0000-0000A3100000}"/>
    <cellStyle name="Normal 10 51 2" xfId="4095" xr:uid="{00000000-0005-0000-0000-0000A4100000}"/>
    <cellStyle name="Normal 10 51 3" xfId="7477" xr:uid="{00000000-0005-0000-0000-0000A5100000}"/>
    <cellStyle name="Normal 10 52" xfId="2245" xr:uid="{00000000-0005-0000-0000-0000A6100000}"/>
    <cellStyle name="Normal 10 52 2" xfId="4096" xr:uid="{00000000-0005-0000-0000-0000A7100000}"/>
    <cellStyle name="Normal 10 52 3" xfId="7478" xr:uid="{00000000-0005-0000-0000-0000A8100000}"/>
    <cellStyle name="Normal 10 53" xfId="2246" xr:uid="{00000000-0005-0000-0000-0000A9100000}"/>
    <cellStyle name="Normal 10 53 2" xfId="4097" xr:uid="{00000000-0005-0000-0000-0000AA100000}"/>
    <cellStyle name="Normal 10 53 3" xfId="7479" xr:uid="{00000000-0005-0000-0000-0000AB100000}"/>
    <cellStyle name="Normal 10 54" xfId="2247" xr:uid="{00000000-0005-0000-0000-0000AC100000}"/>
    <cellStyle name="Normal 10 54 2" xfId="4098" xr:uid="{00000000-0005-0000-0000-0000AD100000}"/>
    <cellStyle name="Normal 10 54 3" xfId="7480" xr:uid="{00000000-0005-0000-0000-0000AE100000}"/>
    <cellStyle name="Normal 10 55" xfId="2248" xr:uid="{00000000-0005-0000-0000-0000AF100000}"/>
    <cellStyle name="Normal 10 55 2" xfId="4099" xr:uid="{00000000-0005-0000-0000-0000B0100000}"/>
    <cellStyle name="Normal 10 55 3" xfId="7481" xr:uid="{00000000-0005-0000-0000-0000B1100000}"/>
    <cellStyle name="Normal 10 56" xfId="2249" xr:uid="{00000000-0005-0000-0000-0000B2100000}"/>
    <cellStyle name="Normal 10 56 2" xfId="4100" xr:uid="{00000000-0005-0000-0000-0000B3100000}"/>
    <cellStyle name="Normal 10 56 3" xfId="7482" xr:uid="{00000000-0005-0000-0000-0000B4100000}"/>
    <cellStyle name="Normal 10 57" xfId="2250" xr:uid="{00000000-0005-0000-0000-0000B5100000}"/>
    <cellStyle name="Normal 10 57 2" xfId="4101" xr:uid="{00000000-0005-0000-0000-0000B6100000}"/>
    <cellStyle name="Normal 10 57 3" xfId="7483" xr:uid="{00000000-0005-0000-0000-0000B7100000}"/>
    <cellStyle name="Normal 10 58" xfId="2251" xr:uid="{00000000-0005-0000-0000-0000B8100000}"/>
    <cellStyle name="Normal 10 58 2" xfId="4102" xr:uid="{00000000-0005-0000-0000-0000B9100000}"/>
    <cellStyle name="Normal 10 58 3" xfId="7484" xr:uid="{00000000-0005-0000-0000-0000BA100000}"/>
    <cellStyle name="Normal 10 59" xfId="2252" xr:uid="{00000000-0005-0000-0000-0000BB100000}"/>
    <cellStyle name="Normal 10 59 2" xfId="4103" xr:uid="{00000000-0005-0000-0000-0000BC100000}"/>
    <cellStyle name="Normal 10 59 3" xfId="7485" xr:uid="{00000000-0005-0000-0000-0000BD100000}"/>
    <cellStyle name="Normal 10 6" xfId="473" xr:uid="{00000000-0005-0000-0000-0000BE100000}"/>
    <cellStyle name="Normal 10 6 2" xfId="2253" xr:uid="{00000000-0005-0000-0000-0000BF100000}"/>
    <cellStyle name="Normal 10 6 2 2" xfId="3671" xr:uid="{00000000-0005-0000-0000-0000C0100000}"/>
    <cellStyle name="Normal 10 6 2 3" xfId="5438" xr:uid="{00000000-0005-0000-0000-0000C1100000}"/>
    <cellStyle name="Normal 10 6 2 4" xfId="7486" xr:uid="{00000000-0005-0000-0000-0000C2100000}"/>
    <cellStyle name="Normal 10 6 3" xfId="4104" xr:uid="{00000000-0005-0000-0000-0000C3100000}"/>
    <cellStyle name="Normal 10 6 4" xfId="6659" xr:uid="{00000000-0005-0000-0000-0000C4100000}"/>
    <cellStyle name="Normal 10 6 5" xfId="1407" xr:uid="{00000000-0005-0000-0000-0000C5100000}"/>
    <cellStyle name="Normal 10 60" xfId="2254" xr:uid="{00000000-0005-0000-0000-0000C6100000}"/>
    <cellStyle name="Normal 10 60 2" xfId="4105" xr:uid="{00000000-0005-0000-0000-0000C7100000}"/>
    <cellStyle name="Normal 10 60 3" xfId="7487" xr:uid="{00000000-0005-0000-0000-0000C8100000}"/>
    <cellStyle name="Normal 10 61" xfId="2255" xr:uid="{00000000-0005-0000-0000-0000C9100000}"/>
    <cellStyle name="Normal 10 61 2" xfId="4106" xr:uid="{00000000-0005-0000-0000-0000CA100000}"/>
    <cellStyle name="Normal 10 61 3" xfId="7488" xr:uid="{00000000-0005-0000-0000-0000CB100000}"/>
    <cellStyle name="Normal 10 62" xfId="2256" xr:uid="{00000000-0005-0000-0000-0000CC100000}"/>
    <cellStyle name="Normal 10 62 2" xfId="4107" xr:uid="{00000000-0005-0000-0000-0000CD100000}"/>
    <cellStyle name="Normal 10 62 3" xfId="7489" xr:uid="{00000000-0005-0000-0000-0000CE100000}"/>
    <cellStyle name="Normal 10 63" xfId="2257" xr:uid="{00000000-0005-0000-0000-0000CF100000}"/>
    <cellStyle name="Normal 10 63 2" xfId="4108" xr:uid="{00000000-0005-0000-0000-0000D0100000}"/>
    <cellStyle name="Normal 10 63 3" xfId="7490" xr:uid="{00000000-0005-0000-0000-0000D1100000}"/>
    <cellStyle name="Normal 10 64" xfId="2258" xr:uid="{00000000-0005-0000-0000-0000D2100000}"/>
    <cellStyle name="Normal 10 64 2" xfId="4109" xr:uid="{00000000-0005-0000-0000-0000D3100000}"/>
    <cellStyle name="Normal 10 64 3" xfId="7491" xr:uid="{00000000-0005-0000-0000-0000D4100000}"/>
    <cellStyle name="Normal 10 65" xfId="2259" xr:uid="{00000000-0005-0000-0000-0000D5100000}"/>
    <cellStyle name="Normal 10 65 2" xfId="4110" xr:uid="{00000000-0005-0000-0000-0000D6100000}"/>
    <cellStyle name="Normal 10 65 3" xfId="7492" xr:uid="{00000000-0005-0000-0000-0000D7100000}"/>
    <cellStyle name="Normal 10 66" xfId="2260" xr:uid="{00000000-0005-0000-0000-0000D8100000}"/>
    <cellStyle name="Normal 10 66 2" xfId="4111" xr:uid="{00000000-0005-0000-0000-0000D9100000}"/>
    <cellStyle name="Normal 10 66 3" xfId="7493" xr:uid="{00000000-0005-0000-0000-0000DA100000}"/>
    <cellStyle name="Normal 10 67" xfId="2261" xr:uid="{00000000-0005-0000-0000-0000DB100000}"/>
    <cellStyle name="Normal 10 67 2" xfId="4112" xr:uid="{00000000-0005-0000-0000-0000DC100000}"/>
    <cellStyle name="Normal 10 67 3" xfId="7494" xr:uid="{00000000-0005-0000-0000-0000DD100000}"/>
    <cellStyle name="Normal 10 68" xfId="2262" xr:uid="{00000000-0005-0000-0000-0000DE100000}"/>
    <cellStyle name="Normal 10 68 2" xfId="4113" xr:uid="{00000000-0005-0000-0000-0000DF100000}"/>
    <cellStyle name="Normal 10 68 3" xfId="7495" xr:uid="{00000000-0005-0000-0000-0000E0100000}"/>
    <cellStyle name="Normal 10 69" xfId="2263" xr:uid="{00000000-0005-0000-0000-0000E1100000}"/>
    <cellStyle name="Normal 10 69 2" xfId="4114" xr:uid="{00000000-0005-0000-0000-0000E2100000}"/>
    <cellStyle name="Normal 10 69 3" xfId="7496" xr:uid="{00000000-0005-0000-0000-0000E3100000}"/>
    <cellStyle name="Normal 10 7" xfId="474" xr:uid="{00000000-0005-0000-0000-0000E4100000}"/>
    <cellStyle name="Normal 10 7 2" xfId="2264" xr:uid="{00000000-0005-0000-0000-0000E5100000}"/>
    <cellStyle name="Normal 10 7 2 2" xfId="3697" xr:uid="{00000000-0005-0000-0000-0000E6100000}"/>
    <cellStyle name="Normal 10 7 2 3" xfId="5706" xr:uid="{00000000-0005-0000-0000-0000E7100000}"/>
    <cellStyle name="Normal 10 7 2 4" xfId="7497" xr:uid="{00000000-0005-0000-0000-0000E8100000}"/>
    <cellStyle name="Normal 10 7 3" xfId="4115" xr:uid="{00000000-0005-0000-0000-0000E9100000}"/>
    <cellStyle name="Normal 10 7 4" xfId="6931" xr:uid="{00000000-0005-0000-0000-0000EA100000}"/>
    <cellStyle name="Normal 10 7 5" xfId="1684" xr:uid="{00000000-0005-0000-0000-0000EB100000}"/>
    <cellStyle name="Normal 10 70" xfId="2265" xr:uid="{00000000-0005-0000-0000-0000EC100000}"/>
    <cellStyle name="Normal 10 70 2" xfId="4116" xr:uid="{00000000-0005-0000-0000-0000ED100000}"/>
    <cellStyle name="Normal 10 70 3" xfId="7498" xr:uid="{00000000-0005-0000-0000-0000EE100000}"/>
    <cellStyle name="Normal 10 71" xfId="2266" xr:uid="{00000000-0005-0000-0000-0000EF100000}"/>
    <cellStyle name="Normal 10 71 2" xfId="4117" xr:uid="{00000000-0005-0000-0000-0000F0100000}"/>
    <cellStyle name="Normal 10 71 3" xfId="7499" xr:uid="{00000000-0005-0000-0000-0000F1100000}"/>
    <cellStyle name="Normal 10 72" xfId="2267" xr:uid="{00000000-0005-0000-0000-0000F2100000}"/>
    <cellStyle name="Normal 10 72 2" xfId="4118" xr:uid="{00000000-0005-0000-0000-0000F3100000}"/>
    <cellStyle name="Normal 10 72 3" xfId="7500" xr:uid="{00000000-0005-0000-0000-0000F4100000}"/>
    <cellStyle name="Normal 10 73" xfId="2268" xr:uid="{00000000-0005-0000-0000-0000F5100000}"/>
    <cellStyle name="Normal 10 73 2" xfId="4119" xr:uid="{00000000-0005-0000-0000-0000F6100000}"/>
    <cellStyle name="Normal 10 73 3" xfId="7501" xr:uid="{00000000-0005-0000-0000-0000F7100000}"/>
    <cellStyle name="Normal 10 74" xfId="2269" xr:uid="{00000000-0005-0000-0000-0000F8100000}"/>
    <cellStyle name="Normal 10 74 2" xfId="4120" xr:uid="{00000000-0005-0000-0000-0000F9100000}"/>
    <cellStyle name="Normal 10 74 3" xfId="7502" xr:uid="{00000000-0005-0000-0000-0000FA100000}"/>
    <cellStyle name="Normal 10 75" xfId="2270" xr:uid="{00000000-0005-0000-0000-0000FB100000}"/>
    <cellStyle name="Normal 10 75 2" xfId="4121" xr:uid="{00000000-0005-0000-0000-0000FC100000}"/>
    <cellStyle name="Normal 10 75 3" xfId="7503" xr:uid="{00000000-0005-0000-0000-0000FD100000}"/>
    <cellStyle name="Normal 10 76" xfId="2271" xr:uid="{00000000-0005-0000-0000-0000FE100000}"/>
    <cellStyle name="Normal 10 76 2" xfId="4122" xr:uid="{00000000-0005-0000-0000-0000FF100000}"/>
    <cellStyle name="Normal 10 76 3" xfId="7504" xr:uid="{00000000-0005-0000-0000-000000110000}"/>
    <cellStyle name="Normal 10 77" xfId="2272" xr:uid="{00000000-0005-0000-0000-000001110000}"/>
    <cellStyle name="Normal 10 77 2" xfId="4123" xr:uid="{00000000-0005-0000-0000-000002110000}"/>
    <cellStyle name="Normal 10 77 3" xfId="7505" xr:uid="{00000000-0005-0000-0000-000003110000}"/>
    <cellStyle name="Normal 10 78" xfId="2273" xr:uid="{00000000-0005-0000-0000-000004110000}"/>
    <cellStyle name="Normal 10 78 2" xfId="4124" xr:uid="{00000000-0005-0000-0000-000005110000}"/>
    <cellStyle name="Normal 10 78 3" xfId="7506" xr:uid="{00000000-0005-0000-0000-000006110000}"/>
    <cellStyle name="Normal 10 79" xfId="2274" xr:uid="{00000000-0005-0000-0000-000007110000}"/>
    <cellStyle name="Normal 10 79 2" xfId="4125" xr:uid="{00000000-0005-0000-0000-000008110000}"/>
    <cellStyle name="Normal 10 79 3" xfId="7507" xr:uid="{00000000-0005-0000-0000-000009110000}"/>
    <cellStyle name="Normal 10 8" xfId="475" xr:uid="{00000000-0005-0000-0000-00000A110000}"/>
    <cellStyle name="Normal 10 8 2" xfId="2275" xr:uid="{00000000-0005-0000-0000-00000B110000}"/>
    <cellStyle name="Normal 10 8 2 2" xfId="3611" xr:uid="{00000000-0005-0000-0000-00000C110000}"/>
    <cellStyle name="Normal 10 8 2 3" xfId="5225" xr:uid="{00000000-0005-0000-0000-00000D110000}"/>
    <cellStyle name="Normal 10 8 2 4" xfId="7508" xr:uid="{00000000-0005-0000-0000-00000E110000}"/>
    <cellStyle name="Normal 10 8 3" xfId="4126" xr:uid="{00000000-0005-0000-0000-00000F110000}"/>
    <cellStyle name="Normal 10 8 4" xfId="6434" xr:uid="{00000000-0005-0000-0000-000010110000}"/>
    <cellStyle name="Normal 10 8 5" xfId="1182" xr:uid="{00000000-0005-0000-0000-000011110000}"/>
    <cellStyle name="Normal 10 80" xfId="3362" xr:uid="{00000000-0005-0000-0000-000012110000}"/>
    <cellStyle name="Normal 10 80 2" xfId="3837" xr:uid="{00000000-0005-0000-0000-000013110000}"/>
    <cellStyle name="Normal 10 80 2 2" xfId="6218" xr:uid="{00000000-0005-0000-0000-000014110000}"/>
    <cellStyle name="Normal 10 80 2 3" xfId="8748" xr:uid="{00000000-0005-0000-0000-000015110000}"/>
    <cellStyle name="Normal 10 80 3" xfId="4992" xr:uid="{00000000-0005-0000-0000-000016110000}"/>
    <cellStyle name="Normal 10 80 4" xfId="8396" xr:uid="{00000000-0005-0000-0000-000017110000}"/>
    <cellStyle name="Normal 10 81" xfId="3860" xr:uid="{00000000-0005-0000-0000-000018110000}"/>
    <cellStyle name="Normal 10 82" xfId="6368" xr:uid="{00000000-0005-0000-0000-000019110000}"/>
    <cellStyle name="Normal 10 83" xfId="1096" xr:uid="{00000000-0005-0000-0000-00001A110000}"/>
    <cellStyle name="Normal 10 9" xfId="476" xr:uid="{00000000-0005-0000-0000-00001B110000}"/>
    <cellStyle name="Normal 10 9 2" xfId="4127" xr:uid="{00000000-0005-0000-0000-00001C110000}"/>
    <cellStyle name="Normal 10 9 3" xfId="7509" xr:uid="{00000000-0005-0000-0000-00001D110000}"/>
    <cellStyle name="Normal 10 9 4" xfId="2276" xr:uid="{00000000-0005-0000-0000-00001E110000}"/>
    <cellStyle name="Normal 100" xfId="9144" xr:uid="{00000000-0005-0000-0000-00001F110000}"/>
    <cellStyle name="Normal 100 2" xfId="9146" xr:uid="{00000000-0005-0000-0000-000020110000}"/>
    <cellStyle name="Normal 101" xfId="9145" xr:uid="{00000000-0005-0000-0000-000021110000}"/>
    <cellStyle name="Normal 101 2" xfId="9148" xr:uid="{00000000-0005-0000-0000-000022110000}"/>
    <cellStyle name="Normal 101 2 2" xfId="9151" xr:uid="{00000000-0005-0000-0000-000023110000}"/>
    <cellStyle name="Normal 102" xfId="9147" xr:uid="{00000000-0005-0000-0000-000024110000}"/>
    <cellStyle name="Normal 102 2" xfId="9152" xr:uid="{00000000-0005-0000-0000-000025110000}"/>
    <cellStyle name="Normal 103" xfId="9149" xr:uid="{00000000-0005-0000-0000-000026110000}"/>
    <cellStyle name="Normal 103 2" xfId="9154" xr:uid="{00000000-0005-0000-0000-000027110000}"/>
    <cellStyle name="Normal 104" xfId="9153" xr:uid="{00000000-0005-0000-0000-000028110000}"/>
    <cellStyle name="Normal 104 2" xfId="9156" xr:uid="{00000000-0005-0000-0000-000029110000}"/>
    <cellStyle name="Normal 105" xfId="9155" xr:uid="{00000000-0005-0000-0000-00002A110000}"/>
    <cellStyle name="Normal 105 2" xfId="9158" xr:uid="{00000000-0005-0000-0000-00002B110000}"/>
    <cellStyle name="Normal 105 2 2" xfId="9160" xr:uid="{00000000-0005-0000-0000-00002C110000}"/>
    <cellStyle name="Normal 106" xfId="9157" xr:uid="{00000000-0005-0000-0000-00002D110000}"/>
    <cellStyle name="Normal 106 2" xfId="9161" xr:uid="{00000000-0005-0000-0000-00002E110000}"/>
    <cellStyle name="Normal 107" xfId="9159" xr:uid="{00000000-0005-0000-0000-00002F110000}"/>
    <cellStyle name="Normal 107 2" xfId="9162" xr:uid="{00000000-0005-0000-0000-000030110000}"/>
    <cellStyle name="Normal 108" xfId="979" xr:uid="{00000000-0005-0000-0000-000031110000}"/>
    <cellStyle name="Normal 109" xfId="980" xr:uid="{00000000-0005-0000-0000-000032110000}"/>
    <cellStyle name="Normal 109 2" xfId="9165" xr:uid="{00000000-0005-0000-0000-000033110000}"/>
    <cellStyle name="Normal 11" xfId="477" xr:uid="{00000000-0005-0000-0000-000034110000}"/>
    <cellStyle name="Normal 11 10" xfId="4534" xr:uid="{00000000-0005-0000-0000-000035110000}"/>
    <cellStyle name="Normal 11 11" xfId="6435" xr:uid="{00000000-0005-0000-0000-000036110000}"/>
    <cellStyle name="Normal 11 12" xfId="1183" xr:uid="{00000000-0005-0000-0000-000037110000}"/>
    <cellStyle name="Normal 11 2" xfId="478" xr:uid="{00000000-0005-0000-0000-000038110000}"/>
    <cellStyle name="Normal 11 2 2" xfId="986" xr:uid="{00000000-0005-0000-0000-000039110000}"/>
    <cellStyle name="Normal 11 2 2 2" xfId="5554" xr:uid="{00000000-0005-0000-0000-00003A110000}"/>
    <cellStyle name="Normal 11 2 2 3" xfId="6779" xr:uid="{00000000-0005-0000-0000-00003B110000}"/>
    <cellStyle name="Normal 11 2 2 4" xfId="1527" xr:uid="{00000000-0005-0000-0000-00003C110000}"/>
    <cellStyle name="Normal 11 2 3" xfId="1732" xr:uid="{00000000-0005-0000-0000-00003D110000}"/>
    <cellStyle name="Normal 11 2 3 2" xfId="5754" xr:uid="{00000000-0005-0000-0000-00003E110000}"/>
    <cellStyle name="Normal 11 2 3 3" xfId="6979" xr:uid="{00000000-0005-0000-0000-00003F110000}"/>
    <cellStyle name="Normal 11 2 4" xfId="1630" xr:uid="{00000000-0005-0000-0000-000040110000}"/>
    <cellStyle name="Normal 11 2 4 2" xfId="5656" xr:uid="{00000000-0005-0000-0000-000041110000}"/>
    <cellStyle name="Normal 11 2 4 3" xfId="6881" xr:uid="{00000000-0005-0000-0000-000042110000}"/>
    <cellStyle name="Normal 11 2 5" xfId="2277" xr:uid="{00000000-0005-0000-0000-000043110000}"/>
    <cellStyle name="Normal 11 2 5 2" xfId="3635" xr:uid="{00000000-0005-0000-0000-000044110000}"/>
    <cellStyle name="Normal 11 2 5 3" xfId="5293" xr:uid="{00000000-0005-0000-0000-000045110000}"/>
    <cellStyle name="Normal 11 2 5 4" xfId="7510" xr:uid="{00000000-0005-0000-0000-000046110000}"/>
    <cellStyle name="Normal 11 2 6" xfId="3365" xr:uid="{00000000-0005-0000-0000-000047110000}"/>
    <cellStyle name="Normal 11 2 6 2" xfId="4995" xr:uid="{00000000-0005-0000-0000-000048110000}"/>
    <cellStyle name="Normal 11 2 6 3" xfId="8398" xr:uid="{00000000-0005-0000-0000-000049110000}"/>
    <cellStyle name="Normal 11 2 7" xfId="4128" xr:uid="{00000000-0005-0000-0000-00004A110000}"/>
    <cellStyle name="Normal 11 2 8" xfId="6508" xr:uid="{00000000-0005-0000-0000-00004B110000}"/>
    <cellStyle name="Normal 11 2 9" xfId="1256" xr:uid="{00000000-0005-0000-0000-00004C110000}"/>
    <cellStyle name="Normal 11 3" xfId="479" xr:uid="{00000000-0005-0000-0000-00004D110000}"/>
    <cellStyle name="Normal 11 3 2" xfId="1572" xr:uid="{00000000-0005-0000-0000-00004E110000}"/>
    <cellStyle name="Normal 11 3 2 2" xfId="5598" xr:uid="{00000000-0005-0000-0000-00004F110000}"/>
    <cellStyle name="Normal 11 3 2 3" xfId="6823" xr:uid="{00000000-0005-0000-0000-000050110000}"/>
    <cellStyle name="Normal 11 3 3" xfId="1776" xr:uid="{00000000-0005-0000-0000-000051110000}"/>
    <cellStyle name="Normal 11 3 3 2" xfId="5797" xr:uid="{00000000-0005-0000-0000-000052110000}"/>
    <cellStyle name="Normal 11 3 3 3" xfId="7023" xr:uid="{00000000-0005-0000-0000-000053110000}"/>
    <cellStyle name="Normal 11 3 4" xfId="1975" xr:uid="{00000000-0005-0000-0000-000054110000}"/>
    <cellStyle name="Normal 11 3 4 2" xfId="5994" xr:uid="{00000000-0005-0000-0000-000055110000}"/>
    <cellStyle name="Normal 11 3 4 3" xfId="7222" xr:uid="{00000000-0005-0000-0000-000056110000}"/>
    <cellStyle name="Normal 11 3 5" xfId="2647" xr:uid="{00000000-0005-0000-0000-000057110000}"/>
    <cellStyle name="Normal 11 3 5 2" xfId="3660" xr:uid="{00000000-0005-0000-0000-000058110000}"/>
    <cellStyle name="Normal 11 3 5 3" xfId="5339" xr:uid="{00000000-0005-0000-0000-000059110000}"/>
    <cellStyle name="Normal 11 3 5 4" xfId="7858" xr:uid="{00000000-0005-0000-0000-00005A110000}"/>
    <cellStyle name="Normal 11 3 6" xfId="4129" xr:uid="{00000000-0005-0000-0000-00005B110000}"/>
    <cellStyle name="Normal 11 3 7" xfId="6555" xr:uid="{00000000-0005-0000-0000-00005C110000}"/>
    <cellStyle name="Normal 11 3 8" xfId="1303" xr:uid="{00000000-0005-0000-0000-00005D110000}"/>
    <cellStyle name="Normal 11 4" xfId="480" xr:uid="{00000000-0005-0000-0000-00005E110000}"/>
    <cellStyle name="Normal 11 4 2" xfId="3678" xr:uid="{00000000-0005-0000-0000-00005F110000}"/>
    <cellStyle name="Normal 11 4 2 2" xfId="5480" xr:uid="{00000000-0005-0000-0000-000060110000}"/>
    <cellStyle name="Normal 11 4 2 3" xfId="8610" xr:uid="{00000000-0005-0000-0000-000061110000}"/>
    <cellStyle name="Normal 11 4 3" xfId="4549" xr:uid="{00000000-0005-0000-0000-000062110000}"/>
    <cellStyle name="Normal 11 4 4" xfId="6704" xr:uid="{00000000-0005-0000-0000-000063110000}"/>
    <cellStyle name="Normal 11 4 5" xfId="1452" xr:uid="{00000000-0005-0000-0000-000064110000}"/>
    <cellStyle name="Normal 11 5" xfId="481" xr:uid="{00000000-0005-0000-0000-000065110000}"/>
    <cellStyle name="Normal 11 5 2" xfId="3672" xr:uid="{00000000-0005-0000-0000-000066110000}"/>
    <cellStyle name="Normal 11 5 2 2" xfId="5465" xr:uid="{00000000-0005-0000-0000-000067110000}"/>
    <cellStyle name="Normal 11 5 2 3" xfId="8609" xr:uid="{00000000-0005-0000-0000-000068110000}"/>
    <cellStyle name="Normal 11 5 3" xfId="4634" xr:uid="{00000000-0005-0000-0000-000069110000}"/>
    <cellStyle name="Normal 11 5 4" xfId="6687" xr:uid="{00000000-0005-0000-0000-00006A110000}"/>
    <cellStyle name="Normal 11 5 5" xfId="1435" xr:uid="{00000000-0005-0000-0000-00006B110000}"/>
    <cellStyle name="Normal 11 6" xfId="1689" xr:uid="{00000000-0005-0000-0000-00006C110000}"/>
    <cellStyle name="Normal 11 6 2" xfId="5711" xr:uid="{00000000-0005-0000-0000-00006D110000}"/>
    <cellStyle name="Normal 11 6 3" xfId="6936" xr:uid="{00000000-0005-0000-0000-00006E110000}"/>
    <cellStyle name="Normal 11 7" xfId="3612" xr:uid="{00000000-0005-0000-0000-00006F110000}"/>
    <cellStyle name="Normal 11 7 2" xfId="5226" xr:uid="{00000000-0005-0000-0000-000070110000}"/>
    <cellStyle name="Normal 11 7 3" xfId="8592" xr:uid="{00000000-0005-0000-0000-000071110000}"/>
    <cellStyle name="Normal 11 8" xfId="2768" xr:uid="{00000000-0005-0000-0000-000072110000}"/>
    <cellStyle name="Normal 11 9" xfId="3861" xr:uid="{00000000-0005-0000-0000-000073110000}"/>
    <cellStyle name="Normal 110" xfId="982" xr:uid="{00000000-0005-0000-0000-000074110000}"/>
    <cellStyle name="Normal 110 2" xfId="9168" xr:uid="{00000000-0005-0000-0000-000075110000}"/>
    <cellStyle name="Normal 111" xfId="9166" xr:uid="{00000000-0005-0000-0000-000076110000}"/>
    <cellStyle name="Normal 111 2" xfId="9170" xr:uid="{00000000-0005-0000-0000-000077110000}"/>
    <cellStyle name="Normal 112" xfId="9169" xr:uid="{00000000-0005-0000-0000-000078110000}"/>
    <cellStyle name="Normal 112 2" xfId="9172" xr:uid="{00000000-0005-0000-0000-000079110000}"/>
    <cellStyle name="Normal 113" xfId="9171" xr:uid="{00000000-0005-0000-0000-00007A110000}"/>
    <cellStyle name="Normal 113 2" xfId="9508" xr:uid="{E9178E28-C0DD-4227-AE58-AE3CCB84B62E}"/>
    <cellStyle name="Normal 12" xfId="482" xr:uid="{00000000-0005-0000-0000-00007B110000}"/>
    <cellStyle name="Normal 12 10" xfId="4542" xr:uid="{00000000-0005-0000-0000-00007C110000}"/>
    <cellStyle name="Normal 12 11" xfId="6463" xr:uid="{00000000-0005-0000-0000-00007D110000}"/>
    <cellStyle name="Normal 12 12" xfId="1211" xr:uid="{00000000-0005-0000-0000-00007E110000}"/>
    <cellStyle name="Normal 12 2" xfId="483" xr:uid="{00000000-0005-0000-0000-00007F110000}"/>
    <cellStyle name="Normal 12 2 2" xfId="4130" xr:uid="{00000000-0005-0000-0000-000080110000}"/>
    <cellStyle name="Normal 12 2 3" xfId="7511" xr:uid="{00000000-0005-0000-0000-000081110000}"/>
    <cellStyle name="Normal 12 2 4" xfId="2278" xr:uid="{00000000-0005-0000-0000-000082110000}"/>
    <cellStyle name="Normal 12 3" xfId="484" xr:uid="{00000000-0005-0000-0000-000083110000}"/>
    <cellStyle name="Normal 12 3 2" xfId="4131" xr:uid="{00000000-0005-0000-0000-000084110000}"/>
    <cellStyle name="Normal 12 3 3" xfId="7859" xr:uid="{00000000-0005-0000-0000-000085110000}"/>
    <cellStyle name="Normal 12 3 4" xfId="2648" xr:uid="{00000000-0005-0000-0000-000086110000}"/>
    <cellStyle name="Normal 12 4" xfId="2911" xr:uid="{00000000-0005-0000-0000-000087110000}"/>
    <cellStyle name="Normal 12 4 2" xfId="4578" xr:uid="{00000000-0005-0000-0000-000088110000}"/>
    <cellStyle name="Normal 12 4 3" xfId="7969" xr:uid="{00000000-0005-0000-0000-000089110000}"/>
    <cellStyle name="Normal 12 5" xfId="3001" xr:uid="{00000000-0005-0000-0000-00008A110000}"/>
    <cellStyle name="Normal 12 5 2" xfId="4663" xr:uid="{00000000-0005-0000-0000-00008B110000}"/>
    <cellStyle name="Normal 12 5 3" xfId="8057" xr:uid="{00000000-0005-0000-0000-00008C110000}"/>
    <cellStyle name="Normal 12 6" xfId="3750" xr:uid="{00000000-0005-0000-0000-00008D110000}"/>
    <cellStyle name="Normal 12 6 2" xfId="6147" xr:uid="{00000000-0005-0000-0000-00008E110000}"/>
    <cellStyle name="Normal 12 6 3" xfId="8663" xr:uid="{00000000-0005-0000-0000-00008F110000}"/>
    <cellStyle name="Normal 12 7" xfId="2800" xr:uid="{00000000-0005-0000-0000-000090110000}"/>
    <cellStyle name="Normal 12 8" xfId="2754" xr:uid="{00000000-0005-0000-0000-000091110000}"/>
    <cellStyle name="Normal 12 9" xfId="3862" xr:uid="{00000000-0005-0000-0000-000092110000}"/>
    <cellStyle name="Normal 13" xfId="485" xr:uid="{00000000-0005-0000-0000-000093110000}"/>
    <cellStyle name="Normal 13 10" xfId="6460" xr:uid="{00000000-0005-0000-0000-000094110000}"/>
    <cellStyle name="Normal 13 11" xfId="1208" xr:uid="{00000000-0005-0000-0000-000095110000}"/>
    <cellStyle name="Normal 13 2" xfId="2649" xr:uid="{00000000-0005-0000-0000-000096110000}"/>
    <cellStyle name="Normal 13 2 2" xfId="2650" xr:uid="{00000000-0005-0000-0000-000097110000}"/>
    <cellStyle name="Normal 13 2 2 2" xfId="2965" xr:uid="{00000000-0005-0000-0000-000098110000}"/>
    <cellStyle name="Normal 13 2 2 2 2" xfId="4629" xr:uid="{00000000-0005-0000-0000-000099110000}"/>
    <cellStyle name="Normal 13 2 2 2 3" xfId="8021" xr:uid="{00000000-0005-0000-0000-00009A110000}"/>
    <cellStyle name="Normal 13 2 2 3" xfId="3065" xr:uid="{00000000-0005-0000-0000-00009B110000}"/>
    <cellStyle name="Normal 13 2 2 3 2" xfId="4712" xr:uid="{00000000-0005-0000-0000-00009C110000}"/>
    <cellStyle name="Normal 13 2 2 3 3" xfId="8121" xr:uid="{00000000-0005-0000-0000-00009D110000}"/>
    <cellStyle name="Normal 13 2 2 4" xfId="3828" xr:uid="{00000000-0005-0000-0000-00009E110000}"/>
    <cellStyle name="Normal 13 2 2 4 2" xfId="6211" xr:uid="{00000000-0005-0000-0000-00009F110000}"/>
    <cellStyle name="Normal 13 2 2 4 3" xfId="8739" xr:uid="{00000000-0005-0000-0000-0000A0110000}"/>
    <cellStyle name="Normal 13 2 2 5" xfId="2872" xr:uid="{00000000-0005-0000-0000-0000A1110000}"/>
    <cellStyle name="Normal 13 2 2 6" xfId="4133" xr:uid="{00000000-0005-0000-0000-0000A2110000}"/>
    <cellStyle name="Normal 13 2 2 7" xfId="7861" xr:uid="{00000000-0005-0000-0000-0000A3110000}"/>
    <cellStyle name="Normal 13 2 3" xfId="2966" xr:uid="{00000000-0005-0000-0000-0000A4110000}"/>
    <cellStyle name="Normal 13 2 3 2" xfId="4630" xr:uid="{00000000-0005-0000-0000-0000A5110000}"/>
    <cellStyle name="Normal 13 2 3 3" xfId="8022" xr:uid="{00000000-0005-0000-0000-0000A6110000}"/>
    <cellStyle name="Normal 13 2 4" xfId="3066" xr:uid="{00000000-0005-0000-0000-0000A7110000}"/>
    <cellStyle name="Normal 13 2 4 2" xfId="4713" xr:uid="{00000000-0005-0000-0000-0000A8110000}"/>
    <cellStyle name="Normal 13 2 4 3" xfId="8122" xr:uid="{00000000-0005-0000-0000-0000A9110000}"/>
    <cellStyle name="Normal 13 2 5" xfId="3768" xr:uid="{00000000-0005-0000-0000-0000AA110000}"/>
    <cellStyle name="Normal 13 2 5 2" xfId="6162" xr:uid="{00000000-0005-0000-0000-0000AB110000}"/>
    <cellStyle name="Normal 13 2 5 3" xfId="8680" xr:uid="{00000000-0005-0000-0000-0000AC110000}"/>
    <cellStyle name="Normal 13 2 6" xfId="2873" xr:uid="{00000000-0005-0000-0000-0000AD110000}"/>
    <cellStyle name="Normal 13 2 7" xfId="4132" xr:uid="{00000000-0005-0000-0000-0000AE110000}"/>
    <cellStyle name="Normal 13 2 8" xfId="7860" xr:uid="{00000000-0005-0000-0000-0000AF110000}"/>
    <cellStyle name="Normal 13 3" xfId="2651" xr:uid="{00000000-0005-0000-0000-0000B0110000}"/>
    <cellStyle name="Normal 13 3 2" xfId="2964" xr:uid="{00000000-0005-0000-0000-0000B1110000}"/>
    <cellStyle name="Normal 13 3 2 2" xfId="4628" xr:uid="{00000000-0005-0000-0000-0000B2110000}"/>
    <cellStyle name="Normal 13 3 2 3" xfId="8020" xr:uid="{00000000-0005-0000-0000-0000B3110000}"/>
    <cellStyle name="Normal 13 3 3" xfId="3064" xr:uid="{00000000-0005-0000-0000-0000B4110000}"/>
    <cellStyle name="Normal 13 3 3 2" xfId="4711" xr:uid="{00000000-0005-0000-0000-0000B5110000}"/>
    <cellStyle name="Normal 13 3 3 3" xfId="8120" xr:uid="{00000000-0005-0000-0000-0000B6110000}"/>
    <cellStyle name="Normal 13 3 4" xfId="3739" xr:uid="{00000000-0005-0000-0000-0000B7110000}"/>
    <cellStyle name="Normal 13 3 4 2" xfId="6140" xr:uid="{00000000-0005-0000-0000-0000B8110000}"/>
    <cellStyle name="Normal 13 3 4 3" xfId="8653" xr:uid="{00000000-0005-0000-0000-0000B9110000}"/>
    <cellStyle name="Normal 13 3 5" xfId="2871" xr:uid="{00000000-0005-0000-0000-0000BA110000}"/>
    <cellStyle name="Normal 13 3 6" xfId="4134" xr:uid="{00000000-0005-0000-0000-0000BB110000}"/>
    <cellStyle name="Normal 13 3 7" xfId="7862" xr:uid="{00000000-0005-0000-0000-0000BC110000}"/>
    <cellStyle name="Normal 13 4" xfId="2922" xr:uid="{00000000-0005-0000-0000-0000BD110000}"/>
    <cellStyle name="Normal 13 4 2" xfId="3813" xr:uid="{00000000-0005-0000-0000-0000BE110000}"/>
    <cellStyle name="Normal 13 4 2 2" xfId="6200" xr:uid="{00000000-0005-0000-0000-0000BF110000}"/>
    <cellStyle name="Normal 13 4 2 3" xfId="8724" xr:uid="{00000000-0005-0000-0000-0000C0110000}"/>
    <cellStyle name="Normal 13 4 3" xfId="4590" xr:uid="{00000000-0005-0000-0000-0000C1110000}"/>
    <cellStyle name="Normal 13 4 4" xfId="7979" xr:uid="{00000000-0005-0000-0000-0000C2110000}"/>
    <cellStyle name="Normal 13 5" xfId="3015" xr:uid="{00000000-0005-0000-0000-0000C3110000}"/>
    <cellStyle name="Normal 13 5 2" xfId="4674" xr:uid="{00000000-0005-0000-0000-0000C4110000}"/>
    <cellStyle name="Normal 13 5 3" xfId="8071" xr:uid="{00000000-0005-0000-0000-0000C5110000}"/>
    <cellStyle name="Normal 13 6" xfId="3366" xr:uid="{00000000-0005-0000-0000-0000C6110000}"/>
    <cellStyle name="Normal 13 6 2" xfId="4996" xr:uid="{00000000-0005-0000-0000-0000C7110000}"/>
    <cellStyle name="Normal 13 6 3" xfId="8399" xr:uid="{00000000-0005-0000-0000-0000C8110000}"/>
    <cellStyle name="Normal 13 7" xfId="3732" xr:uid="{00000000-0005-0000-0000-0000C9110000}"/>
    <cellStyle name="Normal 13 7 2" xfId="6134" xr:uid="{00000000-0005-0000-0000-0000CA110000}"/>
    <cellStyle name="Normal 13 7 3" xfId="8646" xr:uid="{00000000-0005-0000-0000-0000CB110000}"/>
    <cellStyle name="Normal 13 8" xfId="2815" xr:uid="{00000000-0005-0000-0000-0000CC110000}"/>
    <cellStyle name="Normal 13 9" xfId="3863" xr:uid="{00000000-0005-0000-0000-0000CD110000}"/>
    <cellStyle name="Normal 14" xfId="486" xr:uid="{00000000-0005-0000-0000-0000CE110000}"/>
    <cellStyle name="Normal 14 10" xfId="6465" xr:uid="{00000000-0005-0000-0000-0000CF110000}"/>
    <cellStyle name="Normal 14 11" xfId="1213" xr:uid="{00000000-0005-0000-0000-0000D0110000}"/>
    <cellStyle name="Normal 14 2" xfId="1278" xr:uid="{00000000-0005-0000-0000-0000D1110000}"/>
    <cellStyle name="Normal 14 2 2" xfId="1550" xr:uid="{00000000-0005-0000-0000-0000D2110000}"/>
    <cellStyle name="Normal 14 2 2 2" xfId="5577" xr:uid="{00000000-0005-0000-0000-0000D3110000}"/>
    <cellStyle name="Normal 14 2 2 3" xfId="6802" xr:uid="{00000000-0005-0000-0000-0000D4110000}"/>
    <cellStyle name="Normal 14 2 3" xfId="1755" xr:uid="{00000000-0005-0000-0000-0000D5110000}"/>
    <cellStyle name="Normal 14 2 3 2" xfId="5777" xr:uid="{00000000-0005-0000-0000-0000D6110000}"/>
    <cellStyle name="Normal 14 2 3 3" xfId="7002" xr:uid="{00000000-0005-0000-0000-0000D7110000}"/>
    <cellStyle name="Normal 14 2 4" xfId="1928" xr:uid="{00000000-0005-0000-0000-0000D8110000}"/>
    <cellStyle name="Normal 14 2 4 2" xfId="5948" xr:uid="{00000000-0005-0000-0000-0000D9110000}"/>
    <cellStyle name="Normal 14 2 4 3" xfId="7175" xr:uid="{00000000-0005-0000-0000-0000DA110000}"/>
    <cellStyle name="Normal 14 2 5" xfId="2652" xr:uid="{00000000-0005-0000-0000-0000DB110000}"/>
    <cellStyle name="Normal 14 2 5 2" xfId="3643" xr:uid="{00000000-0005-0000-0000-0000DC110000}"/>
    <cellStyle name="Normal 14 2 5 3" xfId="5315" xr:uid="{00000000-0005-0000-0000-0000DD110000}"/>
    <cellStyle name="Normal 14 2 5 4" xfId="7863" xr:uid="{00000000-0005-0000-0000-0000DE110000}"/>
    <cellStyle name="Normal 14 2 6" xfId="4135" xr:uid="{00000000-0005-0000-0000-0000DF110000}"/>
    <cellStyle name="Normal 14 2 7" xfId="6530" xr:uid="{00000000-0005-0000-0000-0000E0110000}"/>
    <cellStyle name="Normal 14 3" xfId="1325" xr:uid="{00000000-0005-0000-0000-0000E1110000}"/>
    <cellStyle name="Normal 14 3 2" xfId="1593" xr:uid="{00000000-0005-0000-0000-0000E2110000}"/>
    <cellStyle name="Normal 14 3 2 2" xfId="5619" xr:uid="{00000000-0005-0000-0000-0000E3110000}"/>
    <cellStyle name="Normal 14 3 2 3" xfId="6844" xr:uid="{00000000-0005-0000-0000-0000E4110000}"/>
    <cellStyle name="Normal 14 3 3" xfId="1797" xr:uid="{00000000-0005-0000-0000-0000E5110000}"/>
    <cellStyle name="Normal 14 3 3 2" xfId="5818" xr:uid="{00000000-0005-0000-0000-0000E6110000}"/>
    <cellStyle name="Normal 14 3 3 3" xfId="7044" xr:uid="{00000000-0005-0000-0000-0000E7110000}"/>
    <cellStyle name="Normal 14 3 4" xfId="1930" xr:uid="{00000000-0005-0000-0000-0000E8110000}"/>
    <cellStyle name="Normal 14 3 4 2" xfId="5950" xr:uid="{00000000-0005-0000-0000-0000E9110000}"/>
    <cellStyle name="Normal 14 3 4 3" xfId="7177" xr:uid="{00000000-0005-0000-0000-0000EA110000}"/>
    <cellStyle name="Normal 14 3 5" xfId="5361" xr:uid="{00000000-0005-0000-0000-0000EB110000}"/>
    <cellStyle name="Normal 14 3 6" xfId="6577" xr:uid="{00000000-0005-0000-0000-0000EC110000}"/>
    <cellStyle name="Normal 14 4" xfId="1483" xr:uid="{00000000-0005-0000-0000-0000ED110000}"/>
    <cellStyle name="Normal 14 4 2" xfId="5511" xr:uid="{00000000-0005-0000-0000-0000EE110000}"/>
    <cellStyle name="Normal 14 4 3" xfId="6735" xr:uid="{00000000-0005-0000-0000-0000EF110000}"/>
    <cellStyle name="Normal 14 5" xfId="1690" xr:uid="{00000000-0005-0000-0000-0000F0110000}"/>
    <cellStyle name="Normal 14 5 2" xfId="5712" xr:uid="{00000000-0005-0000-0000-0000F1110000}"/>
    <cellStyle name="Normal 14 5 3" xfId="6937" xr:uid="{00000000-0005-0000-0000-0000F2110000}"/>
    <cellStyle name="Normal 14 6" xfId="1954" xr:uid="{00000000-0005-0000-0000-0000F3110000}"/>
    <cellStyle name="Normal 14 6 2" xfId="5974" xr:uid="{00000000-0005-0000-0000-0000F4110000}"/>
    <cellStyle name="Normal 14 6 3" xfId="7201" xr:uid="{00000000-0005-0000-0000-0000F5110000}"/>
    <cellStyle name="Normal 14 7" xfId="2630" xr:uid="{00000000-0005-0000-0000-0000F6110000}"/>
    <cellStyle name="Normal 14 7 2" xfId="3623" xr:uid="{00000000-0005-0000-0000-0000F7110000}"/>
    <cellStyle name="Normal 14 7 3" xfId="5252" xr:uid="{00000000-0005-0000-0000-0000F8110000}"/>
    <cellStyle name="Normal 14 7 4" xfId="7847" xr:uid="{00000000-0005-0000-0000-0000F9110000}"/>
    <cellStyle name="Normal 14 8" xfId="3367" xr:uid="{00000000-0005-0000-0000-0000FA110000}"/>
    <cellStyle name="Normal 14 8 2" xfId="4997" xr:uid="{00000000-0005-0000-0000-0000FB110000}"/>
    <cellStyle name="Normal 14 8 3" xfId="8400" xr:uid="{00000000-0005-0000-0000-0000FC110000}"/>
    <cellStyle name="Normal 14 9" xfId="3881" xr:uid="{00000000-0005-0000-0000-0000FD110000}"/>
    <cellStyle name="Normal 15" xfId="487" xr:uid="{00000000-0005-0000-0000-0000FE110000}"/>
    <cellStyle name="Normal 15 10" xfId="4543" xr:uid="{00000000-0005-0000-0000-0000FF110000}"/>
    <cellStyle name="Normal 15 11" xfId="6466" xr:uid="{00000000-0005-0000-0000-000000120000}"/>
    <cellStyle name="Normal 15 12" xfId="1214" xr:uid="{00000000-0005-0000-0000-000001120000}"/>
    <cellStyle name="Normal 15 2" xfId="488" xr:uid="{00000000-0005-0000-0000-000002120000}"/>
    <cellStyle name="Normal 15 2 2" xfId="1551" xr:uid="{00000000-0005-0000-0000-000003120000}"/>
    <cellStyle name="Normal 15 2 2 2" xfId="5578" xr:uid="{00000000-0005-0000-0000-000004120000}"/>
    <cellStyle name="Normal 15 2 2 3" xfId="6803" xr:uid="{00000000-0005-0000-0000-000005120000}"/>
    <cellStyle name="Normal 15 2 3" xfId="1756" xr:uid="{00000000-0005-0000-0000-000006120000}"/>
    <cellStyle name="Normal 15 2 3 2" xfId="5778" xr:uid="{00000000-0005-0000-0000-000007120000}"/>
    <cellStyle name="Normal 15 2 3 3" xfId="7003" xr:uid="{00000000-0005-0000-0000-000008120000}"/>
    <cellStyle name="Normal 15 2 4" xfId="1932" xr:uid="{00000000-0005-0000-0000-000009120000}"/>
    <cellStyle name="Normal 15 2 4 2" xfId="5952" xr:uid="{00000000-0005-0000-0000-00000A120000}"/>
    <cellStyle name="Normal 15 2 4 3" xfId="7179" xr:uid="{00000000-0005-0000-0000-00000B120000}"/>
    <cellStyle name="Normal 15 2 5" xfId="2653" xr:uid="{00000000-0005-0000-0000-00000C120000}"/>
    <cellStyle name="Normal 15 2 5 2" xfId="3644" xr:uid="{00000000-0005-0000-0000-00000D120000}"/>
    <cellStyle name="Normal 15 2 5 3" xfId="5316" xr:uid="{00000000-0005-0000-0000-00000E120000}"/>
    <cellStyle name="Normal 15 2 5 4" xfId="7864" xr:uid="{00000000-0005-0000-0000-00000F120000}"/>
    <cellStyle name="Normal 15 2 6" xfId="4136" xr:uid="{00000000-0005-0000-0000-000010120000}"/>
    <cellStyle name="Normal 15 2 7" xfId="6531" xr:uid="{00000000-0005-0000-0000-000011120000}"/>
    <cellStyle name="Normal 15 2 8" xfId="1279" xr:uid="{00000000-0005-0000-0000-000012120000}"/>
    <cellStyle name="Normal 15 3" xfId="1326" xr:uid="{00000000-0005-0000-0000-000013120000}"/>
    <cellStyle name="Normal 15 3 2" xfId="1594" xr:uid="{00000000-0005-0000-0000-000014120000}"/>
    <cellStyle name="Normal 15 3 2 2" xfId="5620" xr:uid="{00000000-0005-0000-0000-000015120000}"/>
    <cellStyle name="Normal 15 3 2 3" xfId="6845" xr:uid="{00000000-0005-0000-0000-000016120000}"/>
    <cellStyle name="Normal 15 3 3" xfId="1798" xr:uid="{00000000-0005-0000-0000-000017120000}"/>
    <cellStyle name="Normal 15 3 3 2" xfId="5819" xr:uid="{00000000-0005-0000-0000-000018120000}"/>
    <cellStyle name="Normal 15 3 3 3" xfId="7045" xr:uid="{00000000-0005-0000-0000-000019120000}"/>
    <cellStyle name="Normal 15 3 4" xfId="1931" xr:uid="{00000000-0005-0000-0000-00001A120000}"/>
    <cellStyle name="Normal 15 3 4 2" xfId="5951" xr:uid="{00000000-0005-0000-0000-00001B120000}"/>
    <cellStyle name="Normal 15 3 4 3" xfId="7178" xr:uid="{00000000-0005-0000-0000-00001C120000}"/>
    <cellStyle name="Normal 15 3 5" xfId="5362" xr:uid="{00000000-0005-0000-0000-00001D120000}"/>
    <cellStyle name="Normal 15 3 6" xfId="6578" xr:uid="{00000000-0005-0000-0000-00001E120000}"/>
    <cellStyle name="Normal 15 4" xfId="1484" xr:uid="{00000000-0005-0000-0000-00001F120000}"/>
    <cellStyle name="Normal 15 4 2" xfId="5512" xr:uid="{00000000-0005-0000-0000-000020120000}"/>
    <cellStyle name="Normal 15 4 3" xfId="6736" xr:uid="{00000000-0005-0000-0000-000021120000}"/>
    <cellStyle name="Normal 15 5" xfId="1691" xr:uid="{00000000-0005-0000-0000-000022120000}"/>
    <cellStyle name="Normal 15 5 2" xfId="5713" xr:uid="{00000000-0005-0000-0000-000023120000}"/>
    <cellStyle name="Normal 15 5 3" xfId="6938" xr:uid="{00000000-0005-0000-0000-000024120000}"/>
    <cellStyle name="Normal 15 6" xfId="1990" xr:uid="{00000000-0005-0000-0000-000025120000}"/>
    <cellStyle name="Normal 15 6 2" xfId="6009" xr:uid="{00000000-0005-0000-0000-000026120000}"/>
    <cellStyle name="Normal 15 6 3" xfId="7237" xr:uid="{00000000-0005-0000-0000-000027120000}"/>
    <cellStyle name="Normal 15 7" xfId="2279" xr:uid="{00000000-0005-0000-0000-000028120000}"/>
    <cellStyle name="Normal 15 7 2" xfId="3624" xr:uid="{00000000-0005-0000-0000-000029120000}"/>
    <cellStyle name="Normal 15 7 3" xfId="5253" xr:uid="{00000000-0005-0000-0000-00002A120000}"/>
    <cellStyle name="Normal 15 7 4" xfId="7512" xr:uid="{00000000-0005-0000-0000-00002B120000}"/>
    <cellStyle name="Normal 15 8" xfId="2629" xr:uid="{00000000-0005-0000-0000-00002C120000}"/>
    <cellStyle name="Normal 15 8 2" xfId="4998" xr:uid="{00000000-0005-0000-0000-00002D120000}"/>
    <cellStyle name="Normal 15 8 3" xfId="7846" xr:uid="{00000000-0005-0000-0000-00002E120000}"/>
    <cellStyle name="Normal 15 9" xfId="3882" xr:uid="{00000000-0005-0000-0000-00002F120000}"/>
    <cellStyle name="Normal 16" xfId="489" xr:uid="{00000000-0005-0000-0000-000030120000}"/>
    <cellStyle name="Normal 16 10" xfId="3886" xr:uid="{00000000-0005-0000-0000-000031120000}"/>
    <cellStyle name="Normal 16 11" xfId="6467" xr:uid="{00000000-0005-0000-0000-000032120000}"/>
    <cellStyle name="Normal 16 12" xfId="1215" xr:uid="{00000000-0005-0000-0000-000033120000}"/>
    <cellStyle name="Normal 16 2" xfId="490" xr:uid="{00000000-0005-0000-0000-000034120000}"/>
    <cellStyle name="Normal 16 2 2" xfId="1552" xr:uid="{00000000-0005-0000-0000-000035120000}"/>
    <cellStyle name="Normal 16 2 2 2" xfId="3686" xr:uid="{00000000-0005-0000-0000-000036120000}"/>
    <cellStyle name="Normal 16 2 2 2 2" xfId="5579" xr:uid="{00000000-0005-0000-0000-000037120000}"/>
    <cellStyle name="Normal 16 2 2 2 3" xfId="8614" xr:uid="{00000000-0005-0000-0000-000038120000}"/>
    <cellStyle name="Normal 16 2 2 3" xfId="4626" xr:uid="{00000000-0005-0000-0000-000039120000}"/>
    <cellStyle name="Normal 16 2 2 4" xfId="6804" xr:uid="{00000000-0005-0000-0000-00003A120000}"/>
    <cellStyle name="Normal 16 2 3" xfId="1757" xr:uid="{00000000-0005-0000-0000-00003B120000}"/>
    <cellStyle name="Normal 16 2 3 2" xfId="3700" xr:uid="{00000000-0005-0000-0000-00003C120000}"/>
    <cellStyle name="Normal 16 2 3 2 2" xfId="5779" xr:uid="{00000000-0005-0000-0000-00003D120000}"/>
    <cellStyle name="Normal 16 2 3 2 3" xfId="8620" xr:uid="{00000000-0005-0000-0000-00003E120000}"/>
    <cellStyle name="Normal 16 2 3 3" xfId="4709" xr:uid="{00000000-0005-0000-0000-00003F120000}"/>
    <cellStyle name="Normal 16 2 3 4" xfId="7004" xr:uid="{00000000-0005-0000-0000-000040120000}"/>
    <cellStyle name="Normal 16 2 4" xfId="1978" xr:uid="{00000000-0005-0000-0000-000041120000}"/>
    <cellStyle name="Normal 16 2 4 2" xfId="5997" xr:uid="{00000000-0005-0000-0000-000042120000}"/>
    <cellStyle name="Normal 16 2 4 3" xfId="7225" xr:uid="{00000000-0005-0000-0000-000043120000}"/>
    <cellStyle name="Normal 16 2 5" xfId="3645" xr:uid="{00000000-0005-0000-0000-000044120000}"/>
    <cellStyle name="Normal 16 2 5 2" xfId="5317" xr:uid="{00000000-0005-0000-0000-000045120000}"/>
    <cellStyle name="Normal 16 2 5 3" xfId="8600" xr:uid="{00000000-0005-0000-0000-000046120000}"/>
    <cellStyle name="Normal 16 2 6" xfId="2869" xr:uid="{00000000-0005-0000-0000-000047120000}"/>
    <cellStyle name="Normal 16 2 7" xfId="4137" xr:uid="{00000000-0005-0000-0000-000048120000}"/>
    <cellStyle name="Normal 16 2 8" xfId="6532" xr:uid="{00000000-0005-0000-0000-000049120000}"/>
    <cellStyle name="Normal 16 2 9" xfId="1280" xr:uid="{00000000-0005-0000-0000-00004A120000}"/>
    <cellStyle name="Normal 16 3" xfId="1327" xr:uid="{00000000-0005-0000-0000-00004B120000}"/>
    <cellStyle name="Normal 16 3 2" xfId="1595" xr:uid="{00000000-0005-0000-0000-00004C120000}"/>
    <cellStyle name="Normal 16 3 2 2" xfId="5621" xr:uid="{00000000-0005-0000-0000-00004D120000}"/>
    <cellStyle name="Normal 16 3 2 3" xfId="6846" xr:uid="{00000000-0005-0000-0000-00004E120000}"/>
    <cellStyle name="Normal 16 3 3" xfId="1799" xr:uid="{00000000-0005-0000-0000-00004F120000}"/>
    <cellStyle name="Normal 16 3 3 2" xfId="5820" xr:uid="{00000000-0005-0000-0000-000050120000}"/>
    <cellStyle name="Normal 16 3 3 3" xfId="7046" xr:uid="{00000000-0005-0000-0000-000051120000}"/>
    <cellStyle name="Normal 16 3 4" xfId="1977" xr:uid="{00000000-0005-0000-0000-000052120000}"/>
    <cellStyle name="Normal 16 3 4 2" xfId="5996" xr:uid="{00000000-0005-0000-0000-000053120000}"/>
    <cellStyle name="Normal 16 3 4 3" xfId="7224" xr:uid="{00000000-0005-0000-0000-000054120000}"/>
    <cellStyle name="Normal 16 3 5" xfId="3663" xr:uid="{00000000-0005-0000-0000-000055120000}"/>
    <cellStyle name="Normal 16 3 5 2" xfId="5363" xr:uid="{00000000-0005-0000-0000-000056120000}"/>
    <cellStyle name="Normal 16 3 5 3" xfId="8606" xr:uid="{00000000-0005-0000-0000-000057120000}"/>
    <cellStyle name="Normal 16 3 6" xfId="4627" xr:uid="{00000000-0005-0000-0000-000058120000}"/>
    <cellStyle name="Normal 16 3 7" xfId="6579" xr:uid="{00000000-0005-0000-0000-000059120000}"/>
    <cellStyle name="Normal 16 4" xfId="1485" xr:uid="{00000000-0005-0000-0000-00005A120000}"/>
    <cellStyle name="Normal 16 4 2" xfId="3679" xr:uid="{00000000-0005-0000-0000-00005B120000}"/>
    <cellStyle name="Normal 16 4 2 2" xfId="5513" xr:uid="{00000000-0005-0000-0000-00005C120000}"/>
    <cellStyle name="Normal 16 4 2 3" xfId="8611" xr:uid="{00000000-0005-0000-0000-00005D120000}"/>
    <cellStyle name="Normal 16 4 3" xfId="4710" xr:uid="{00000000-0005-0000-0000-00005E120000}"/>
    <cellStyle name="Normal 16 4 4" xfId="6737" xr:uid="{00000000-0005-0000-0000-00005F120000}"/>
    <cellStyle name="Normal 16 5" xfId="1692" xr:uid="{00000000-0005-0000-0000-000060120000}"/>
    <cellStyle name="Normal 16 5 2" xfId="5714" xr:uid="{00000000-0005-0000-0000-000061120000}"/>
    <cellStyle name="Normal 16 5 3" xfId="6939" xr:uid="{00000000-0005-0000-0000-000062120000}"/>
    <cellStyle name="Normal 16 6" xfId="1986" xr:uid="{00000000-0005-0000-0000-000063120000}"/>
    <cellStyle name="Normal 16 6 2" xfId="6005" xr:uid="{00000000-0005-0000-0000-000064120000}"/>
    <cellStyle name="Normal 16 6 3" xfId="7233" xr:uid="{00000000-0005-0000-0000-000065120000}"/>
    <cellStyle name="Normal 16 7" xfId="2622" xr:uid="{00000000-0005-0000-0000-000066120000}"/>
    <cellStyle name="Normal 16 7 2" xfId="3625" xr:uid="{00000000-0005-0000-0000-000067120000}"/>
    <cellStyle name="Normal 16 7 3" xfId="5254" xr:uid="{00000000-0005-0000-0000-000068120000}"/>
    <cellStyle name="Normal 16 7 4" xfId="7839" xr:uid="{00000000-0005-0000-0000-000069120000}"/>
    <cellStyle name="Normal 16 8" xfId="3368" xr:uid="{00000000-0005-0000-0000-00006A120000}"/>
    <cellStyle name="Normal 16 8 2" xfId="4999" xr:uid="{00000000-0005-0000-0000-00006B120000}"/>
    <cellStyle name="Normal 16 8 3" xfId="8401" xr:uid="{00000000-0005-0000-0000-00006C120000}"/>
    <cellStyle name="Normal 16 9" xfId="2870" xr:uid="{00000000-0005-0000-0000-00006D120000}"/>
    <cellStyle name="Normal 17" xfId="491" xr:uid="{00000000-0005-0000-0000-00006E120000}"/>
    <cellStyle name="Normal 17 10" xfId="8874" xr:uid="{00000000-0005-0000-0000-00006F120000}"/>
    <cellStyle name="Normal 17 11" xfId="1216" xr:uid="{00000000-0005-0000-0000-000070120000}"/>
    <cellStyle name="Normal 17 2" xfId="1248" xr:uid="{00000000-0005-0000-0000-000071120000}"/>
    <cellStyle name="Normal 17 2 2" xfId="1338" xr:uid="{00000000-0005-0000-0000-000072120000}"/>
    <cellStyle name="Normal 17 2 2 2" xfId="1354" xr:uid="{00000000-0005-0000-0000-000073120000}"/>
    <cellStyle name="Normal 17 2 2 2 2" xfId="1622" xr:uid="{00000000-0005-0000-0000-000074120000}"/>
    <cellStyle name="Normal 17 2 2 2 2 2" xfId="5648" xr:uid="{00000000-0005-0000-0000-000075120000}"/>
    <cellStyle name="Normal 17 2 2 2 2 3" xfId="6873" xr:uid="{00000000-0005-0000-0000-000076120000}"/>
    <cellStyle name="Normal 17 2 2 2 3" xfId="1823" xr:uid="{00000000-0005-0000-0000-000077120000}"/>
    <cellStyle name="Normal 17 2 2 2 3 2" xfId="5844" xr:uid="{00000000-0005-0000-0000-000078120000}"/>
    <cellStyle name="Normal 17 2 2 2 3 3" xfId="7070" xr:uid="{00000000-0005-0000-0000-000079120000}"/>
    <cellStyle name="Normal 17 2 2 2 4" xfId="1940" xr:uid="{00000000-0005-0000-0000-00007A120000}"/>
    <cellStyle name="Normal 17 2 2 2 4 2" xfId="5960" xr:uid="{00000000-0005-0000-0000-00007B120000}"/>
    <cellStyle name="Normal 17 2 2 2 4 3" xfId="7187" xr:uid="{00000000-0005-0000-0000-00007C120000}"/>
    <cellStyle name="Normal 17 2 2 2 5" xfId="5388" xr:uid="{00000000-0005-0000-0000-00007D120000}"/>
    <cellStyle name="Normal 17 2 2 2 6" xfId="6606" xr:uid="{00000000-0005-0000-0000-00007E120000}"/>
    <cellStyle name="Normal 17 2 2 3" xfId="1606" xr:uid="{00000000-0005-0000-0000-00007F120000}"/>
    <cellStyle name="Normal 17 2 2 3 2" xfId="5632" xr:uid="{00000000-0005-0000-0000-000080120000}"/>
    <cellStyle name="Normal 17 2 2 3 3" xfId="6857" xr:uid="{00000000-0005-0000-0000-000081120000}"/>
    <cellStyle name="Normal 17 2 2 4" xfId="1807" xr:uid="{00000000-0005-0000-0000-000082120000}"/>
    <cellStyle name="Normal 17 2 2 4 2" xfId="5828" xr:uid="{00000000-0005-0000-0000-000083120000}"/>
    <cellStyle name="Normal 17 2 2 4 3" xfId="7054" xr:uid="{00000000-0005-0000-0000-000084120000}"/>
    <cellStyle name="Normal 17 2 2 5" xfId="1944" xr:uid="{00000000-0005-0000-0000-000085120000}"/>
    <cellStyle name="Normal 17 2 2 5 2" xfId="5964" xr:uid="{00000000-0005-0000-0000-000086120000}"/>
    <cellStyle name="Normal 17 2 2 5 3" xfId="7191" xr:uid="{00000000-0005-0000-0000-000087120000}"/>
    <cellStyle name="Normal 17 2 2 6" xfId="5372" xr:uid="{00000000-0005-0000-0000-000088120000}"/>
    <cellStyle name="Normal 17 2 2 7" xfId="6590" xr:uid="{00000000-0005-0000-0000-000089120000}"/>
    <cellStyle name="Normal 17 2 3" xfId="1363" xr:uid="{00000000-0005-0000-0000-00008A120000}"/>
    <cellStyle name="Normal 17 2 3 2" xfId="1631" xr:uid="{00000000-0005-0000-0000-00008B120000}"/>
    <cellStyle name="Normal 17 2 3 2 2" xfId="5657" xr:uid="{00000000-0005-0000-0000-00008C120000}"/>
    <cellStyle name="Normal 17 2 3 2 3" xfId="6882" xr:uid="{00000000-0005-0000-0000-00008D120000}"/>
    <cellStyle name="Normal 17 2 3 3" xfId="1831" xr:uid="{00000000-0005-0000-0000-00008E120000}"/>
    <cellStyle name="Normal 17 2 3 3 2" xfId="5852" xr:uid="{00000000-0005-0000-0000-00008F120000}"/>
    <cellStyle name="Normal 17 2 3 3 3" xfId="7078" xr:uid="{00000000-0005-0000-0000-000090120000}"/>
    <cellStyle name="Normal 17 2 3 4" xfId="1893" xr:uid="{00000000-0005-0000-0000-000091120000}"/>
    <cellStyle name="Normal 17 2 3 4 2" xfId="5913" xr:uid="{00000000-0005-0000-0000-000092120000}"/>
    <cellStyle name="Normal 17 2 3 4 3" xfId="7140" xr:uid="{00000000-0005-0000-0000-000093120000}"/>
    <cellStyle name="Normal 17 2 3 5" xfId="5396" xr:uid="{00000000-0005-0000-0000-000094120000}"/>
    <cellStyle name="Normal 17 2 3 6" xfId="6615" xr:uid="{00000000-0005-0000-0000-000095120000}"/>
    <cellStyle name="Normal 17 2 4" xfId="1518" xr:uid="{00000000-0005-0000-0000-000096120000}"/>
    <cellStyle name="Normal 17 2 4 2" xfId="5546" xr:uid="{00000000-0005-0000-0000-000097120000}"/>
    <cellStyle name="Normal 17 2 4 3" xfId="6770" xr:uid="{00000000-0005-0000-0000-000098120000}"/>
    <cellStyle name="Normal 17 2 5" xfId="1723" xr:uid="{00000000-0005-0000-0000-000099120000}"/>
    <cellStyle name="Normal 17 2 5 2" xfId="5745" xr:uid="{00000000-0005-0000-0000-00009A120000}"/>
    <cellStyle name="Normal 17 2 5 3" xfId="6970" xr:uid="{00000000-0005-0000-0000-00009B120000}"/>
    <cellStyle name="Normal 17 2 6" xfId="1718" xr:uid="{00000000-0005-0000-0000-00009C120000}"/>
    <cellStyle name="Normal 17 2 6 2" xfId="5740" xr:uid="{00000000-0005-0000-0000-00009D120000}"/>
    <cellStyle name="Normal 17 2 6 3" xfId="6965" xr:uid="{00000000-0005-0000-0000-00009E120000}"/>
    <cellStyle name="Normal 17 2 7" xfId="5285" xr:uid="{00000000-0005-0000-0000-00009F120000}"/>
    <cellStyle name="Normal 17 2 8" xfId="6500" xr:uid="{00000000-0005-0000-0000-0000A0120000}"/>
    <cellStyle name="Normal 17 3" xfId="1297" xr:uid="{00000000-0005-0000-0000-0000A1120000}"/>
    <cellStyle name="Normal 17 3 2" xfId="1328" xr:uid="{00000000-0005-0000-0000-0000A2120000}"/>
    <cellStyle name="Normal 17 3 2 2" xfId="1596" xr:uid="{00000000-0005-0000-0000-0000A3120000}"/>
    <cellStyle name="Normal 17 3 2 2 2" xfId="5622" xr:uid="{00000000-0005-0000-0000-0000A4120000}"/>
    <cellStyle name="Normal 17 3 2 2 3" xfId="6847" xr:uid="{00000000-0005-0000-0000-0000A5120000}"/>
    <cellStyle name="Normal 17 3 2 3" xfId="1800" xr:uid="{00000000-0005-0000-0000-0000A6120000}"/>
    <cellStyle name="Normal 17 3 2 3 2" xfId="5821" xr:uid="{00000000-0005-0000-0000-0000A7120000}"/>
    <cellStyle name="Normal 17 3 2 3 3" xfId="7047" xr:uid="{00000000-0005-0000-0000-0000A8120000}"/>
    <cellStyle name="Normal 17 3 2 4" xfId="1905" xr:uid="{00000000-0005-0000-0000-0000A9120000}"/>
    <cellStyle name="Normal 17 3 2 4 2" xfId="5925" xr:uid="{00000000-0005-0000-0000-0000AA120000}"/>
    <cellStyle name="Normal 17 3 2 4 3" xfId="7152" xr:uid="{00000000-0005-0000-0000-0000AB120000}"/>
    <cellStyle name="Normal 17 3 2 5" xfId="5364" xr:uid="{00000000-0005-0000-0000-0000AC120000}"/>
    <cellStyle name="Normal 17 3 2 6" xfId="6580" xr:uid="{00000000-0005-0000-0000-0000AD120000}"/>
    <cellStyle name="Normal 17 3 3" xfId="1565" xr:uid="{00000000-0005-0000-0000-0000AE120000}"/>
    <cellStyle name="Normal 17 3 3 2" xfId="5591" xr:uid="{00000000-0005-0000-0000-0000AF120000}"/>
    <cellStyle name="Normal 17 3 3 3" xfId="6816" xr:uid="{00000000-0005-0000-0000-0000B0120000}"/>
    <cellStyle name="Normal 17 3 4" xfId="1769" xr:uid="{00000000-0005-0000-0000-0000B1120000}"/>
    <cellStyle name="Normal 17 3 4 2" xfId="5790" xr:uid="{00000000-0005-0000-0000-0000B2120000}"/>
    <cellStyle name="Normal 17 3 4 3" xfId="7016" xr:uid="{00000000-0005-0000-0000-0000B3120000}"/>
    <cellStyle name="Normal 17 3 5" xfId="1904" xr:uid="{00000000-0005-0000-0000-0000B4120000}"/>
    <cellStyle name="Normal 17 3 5 2" xfId="5924" xr:uid="{00000000-0005-0000-0000-0000B5120000}"/>
    <cellStyle name="Normal 17 3 5 3" xfId="7151" xr:uid="{00000000-0005-0000-0000-0000B6120000}"/>
    <cellStyle name="Normal 17 3 6" xfId="5333" xr:uid="{00000000-0005-0000-0000-0000B7120000}"/>
    <cellStyle name="Normal 17 3 7" xfId="6549" xr:uid="{00000000-0005-0000-0000-0000B8120000}"/>
    <cellStyle name="Normal 17 4" xfId="1486" xr:uid="{00000000-0005-0000-0000-0000B9120000}"/>
    <cellStyle name="Normal 17 4 2" xfId="5514" xr:uid="{00000000-0005-0000-0000-0000BA120000}"/>
    <cellStyle name="Normal 17 4 3" xfId="6738" xr:uid="{00000000-0005-0000-0000-0000BB120000}"/>
    <cellStyle name="Normal 17 5" xfId="1693" xr:uid="{00000000-0005-0000-0000-0000BC120000}"/>
    <cellStyle name="Normal 17 5 2" xfId="5715" xr:uid="{00000000-0005-0000-0000-0000BD120000}"/>
    <cellStyle name="Normal 17 5 3" xfId="6940" xr:uid="{00000000-0005-0000-0000-0000BE120000}"/>
    <cellStyle name="Normal 17 6" xfId="1921" xr:uid="{00000000-0005-0000-0000-0000BF120000}"/>
    <cellStyle name="Normal 17 6 2" xfId="5941" xr:uid="{00000000-0005-0000-0000-0000C0120000}"/>
    <cellStyle name="Normal 17 6 3" xfId="7168" xr:uid="{00000000-0005-0000-0000-0000C1120000}"/>
    <cellStyle name="Normal 17 7" xfId="3626" xr:uid="{00000000-0005-0000-0000-0000C2120000}"/>
    <cellStyle name="Normal 17 7 2" xfId="5255" xr:uid="{00000000-0005-0000-0000-0000C3120000}"/>
    <cellStyle name="Normal 17 7 3" xfId="8594" xr:uid="{00000000-0005-0000-0000-0000C4120000}"/>
    <cellStyle name="Normal 17 8" xfId="4514" xr:uid="{00000000-0005-0000-0000-0000C5120000}"/>
    <cellStyle name="Normal 17 9" xfId="6468" xr:uid="{00000000-0005-0000-0000-0000C6120000}"/>
    <cellStyle name="Normal 18" xfId="492" xr:uid="{00000000-0005-0000-0000-0000C7120000}"/>
    <cellStyle name="Normal 18 2" xfId="1493" xr:uid="{00000000-0005-0000-0000-0000C8120000}"/>
    <cellStyle name="Normal 18 2 2" xfId="2280" xr:uid="{00000000-0005-0000-0000-0000C9120000}"/>
    <cellStyle name="Normal 18 2 2 2" xfId="3680" xr:uid="{00000000-0005-0000-0000-0000CA120000}"/>
    <cellStyle name="Normal 18 2 2 3" xfId="5521" xr:uid="{00000000-0005-0000-0000-0000CB120000}"/>
    <cellStyle name="Normal 18 2 2 4" xfId="7513" xr:uid="{00000000-0005-0000-0000-0000CC120000}"/>
    <cellStyle name="Normal 18 2 3" xfId="4138" xr:uid="{00000000-0005-0000-0000-0000CD120000}"/>
    <cellStyle name="Normal 18 2 4" xfId="6745" xr:uid="{00000000-0005-0000-0000-0000CE120000}"/>
    <cellStyle name="Normal 18 3" xfId="1700" xr:uid="{00000000-0005-0000-0000-0000CF120000}"/>
    <cellStyle name="Normal 18 3 2" xfId="5722" xr:uid="{00000000-0005-0000-0000-0000D0120000}"/>
    <cellStyle name="Normal 18 3 3" xfId="6947" xr:uid="{00000000-0005-0000-0000-0000D1120000}"/>
    <cellStyle name="Normal 18 4" xfId="1982" xr:uid="{00000000-0005-0000-0000-0000D2120000}"/>
    <cellStyle name="Normal 18 4 2" xfId="6001" xr:uid="{00000000-0005-0000-0000-0000D3120000}"/>
    <cellStyle name="Normal 18 4 3" xfId="7229" xr:uid="{00000000-0005-0000-0000-0000D4120000}"/>
    <cellStyle name="Normal 18 5" xfId="2751" xr:uid="{00000000-0005-0000-0000-0000D5120000}"/>
    <cellStyle name="Normal 18 5 2" xfId="2752" xr:uid="{00000000-0005-0000-0000-0000D6120000}"/>
    <cellStyle name="Normal 18 5 2 2" xfId="3627" xr:uid="{00000000-0005-0000-0000-0000D7120000}"/>
    <cellStyle name="Normal 18 5 3" xfId="5262" xr:uid="{00000000-0005-0000-0000-0000D8120000}"/>
    <cellStyle name="Normal 18 5 4" xfId="7937" xr:uid="{00000000-0005-0000-0000-0000D9120000}"/>
    <cellStyle name="Normal 18 6" xfId="3853" xr:uid="{00000000-0005-0000-0000-0000DA120000}"/>
    <cellStyle name="Normal 18 7" xfId="4515" xr:uid="{00000000-0005-0000-0000-0000DB120000}"/>
    <cellStyle name="Normal 18 8" xfId="6475" xr:uid="{00000000-0005-0000-0000-0000DC120000}"/>
    <cellStyle name="Normal 18 9" xfId="1223" xr:uid="{00000000-0005-0000-0000-0000DD120000}"/>
    <cellStyle name="Normal 19" xfId="493" xr:uid="{00000000-0005-0000-0000-0000DE120000}"/>
    <cellStyle name="Normal 19 2" xfId="494" xr:uid="{00000000-0005-0000-0000-0000DF120000}"/>
    <cellStyle name="Normal 19 2 2" xfId="1626" xr:uid="{00000000-0005-0000-0000-0000E0120000}"/>
    <cellStyle name="Normal 19 2 2 2" xfId="5652" xr:uid="{00000000-0005-0000-0000-0000E1120000}"/>
    <cellStyle name="Normal 19 2 2 3" xfId="6877" xr:uid="{00000000-0005-0000-0000-0000E2120000}"/>
    <cellStyle name="Normal 19 2 3" xfId="1827" xr:uid="{00000000-0005-0000-0000-0000E3120000}"/>
    <cellStyle name="Normal 19 2 3 2" xfId="5848" xr:uid="{00000000-0005-0000-0000-0000E4120000}"/>
    <cellStyle name="Normal 19 2 3 3" xfId="7074" xr:uid="{00000000-0005-0000-0000-0000E5120000}"/>
    <cellStyle name="Normal 19 2 4" xfId="1922" xr:uid="{00000000-0005-0000-0000-0000E6120000}"/>
    <cellStyle name="Normal 19 2 4 2" xfId="5942" xr:uid="{00000000-0005-0000-0000-0000E7120000}"/>
    <cellStyle name="Normal 19 2 4 3" xfId="7169" xr:uid="{00000000-0005-0000-0000-0000E8120000}"/>
    <cellStyle name="Normal 19 2 5" xfId="5391" xr:uid="{00000000-0005-0000-0000-0000E9120000}"/>
    <cellStyle name="Normal 19 2 6" xfId="6610" xr:uid="{00000000-0005-0000-0000-0000EA120000}"/>
    <cellStyle name="Normal 19 2 7" xfId="1358" xr:uid="{00000000-0005-0000-0000-0000EB120000}"/>
    <cellStyle name="Normal 19 3" xfId="1367" xr:uid="{00000000-0005-0000-0000-0000EC120000}"/>
    <cellStyle name="Normal 19 3 2" xfId="1635" xr:uid="{00000000-0005-0000-0000-0000ED120000}"/>
    <cellStyle name="Normal 19 3 2 2" xfId="5661" xr:uid="{00000000-0005-0000-0000-0000EE120000}"/>
    <cellStyle name="Normal 19 3 2 3" xfId="6886" xr:uid="{00000000-0005-0000-0000-0000EF120000}"/>
    <cellStyle name="Normal 19 3 3" xfId="1834" xr:uid="{00000000-0005-0000-0000-0000F0120000}"/>
    <cellStyle name="Normal 19 3 3 2" xfId="5855" xr:uid="{00000000-0005-0000-0000-0000F1120000}"/>
    <cellStyle name="Normal 19 3 3 3" xfId="7081" xr:uid="{00000000-0005-0000-0000-0000F2120000}"/>
    <cellStyle name="Normal 19 3 4" xfId="2020" xr:uid="{00000000-0005-0000-0000-0000F3120000}"/>
    <cellStyle name="Normal 19 3 4 2" xfId="6039" xr:uid="{00000000-0005-0000-0000-0000F4120000}"/>
    <cellStyle name="Normal 19 3 4 3" xfId="7267" xr:uid="{00000000-0005-0000-0000-0000F5120000}"/>
    <cellStyle name="Normal 19 3 5" xfId="5400" xr:uid="{00000000-0005-0000-0000-0000F6120000}"/>
    <cellStyle name="Normal 19 3 6" xfId="6619" xr:uid="{00000000-0005-0000-0000-0000F7120000}"/>
    <cellStyle name="Normal 19 4" xfId="1555" xr:uid="{00000000-0005-0000-0000-0000F8120000}"/>
    <cellStyle name="Normal 19 4 2" xfId="5581" xr:uid="{00000000-0005-0000-0000-0000F9120000}"/>
    <cellStyle name="Normal 19 4 3" xfId="6806" xr:uid="{00000000-0005-0000-0000-0000FA120000}"/>
    <cellStyle name="Normal 19 5" xfId="1760" xr:uid="{00000000-0005-0000-0000-0000FB120000}"/>
    <cellStyle name="Normal 19 5 2" xfId="5782" xr:uid="{00000000-0005-0000-0000-0000FC120000}"/>
    <cellStyle name="Normal 19 5 3" xfId="7007" xr:uid="{00000000-0005-0000-0000-0000FD120000}"/>
    <cellStyle name="Normal 19 6" xfId="2010" xr:uid="{00000000-0005-0000-0000-0000FE120000}"/>
    <cellStyle name="Normal 19 6 2" xfId="6029" xr:uid="{00000000-0005-0000-0000-0000FF120000}"/>
    <cellStyle name="Normal 19 6 3" xfId="7257" xr:uid="{00000000-0005-0000-0000-000000130000}"/>
    <cellStyle name="Normal 19 7" xfId="5000" xr:uid="{00000000-0005-0000-0000-000001130000}"/>
    <cellStyle name="Normal 19 8" xfId="6536" xr:uid="{00000000-0005-0000-0000-000002130000}"/>
    <cellStyle name="Normal 19 9" xfId="1284"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7" xr:uid="{00000000-0005-0000-0000-000007130000}"/>
    <cellStyle name="Normal 2 10 2 3" xfId="5319" xr:uid="{00000000-0005-0000-0000-000008130000}"/>
    <cellStyle name="Normal 2 10 2 4" xfId="7514" xr:uid="{00000000-0005-0000-0000-000009130000}"/>
    <cellStyle name="Normal 2 10 2 5" xfId="2281" xr:uid="{00000000-0005-0000-0000-00000A130000}"/>
    <cellStyle name="Normal 2 10 3" xfId="3857" xr:uid="{00000000-0005-0000-0000-00000B130000}"/>
    <cellStyle name="Normal 2 10 4" xfId="6534" xr:uid="{00000000-0005-0000-0000-00000C130000}"/>
    <cellStyle name="Normal 2 10 5" xfId="1282" xr:uid="{00000000-0005-0000-0000-00000D130000}"/>
    <cellStyle name="Normal 2 100" xfId="2282" xr:uid="{00000000-0005-0000-0000-00000E130000}"/>
    <cellStyle name="Normal 2 100 2" xfId="2654" xr:uid="{00000000-0005-0000-0000-00000F130000}"/>
    <cellStyle name="Normal 2 100 2 2" xfId="2929" xr:uid="{00000000-0005-0000-0000-000010130000}"/>
    <cellStyle name="Normal 2 100 2 2 2" xfId="4597" xr:uid="{00000000-0005-0000-0000-000011130000}"/>
    <cellStyle name="Normal 2 100 2 2 3" xfId="7985" xr:uid="{00000000-0005-0000-0000-000012130000}"/>
    <cellStyle name="Normal 2 100 2 3" xfId="3022" xr:uid="{00000000-0005-0000-0000-000013130000}"/>
    <cellStyle name="Normal 2 100 2 3 2" xfId="4681" xr:uid="{00000000-0005-0000-0000-000014130000}"/>
    <cellStyle name="Normal 2 100 2 3 3" xfId="8078" xr:uid="{00000000-0005-0000-0000-000015130000}"/>
    <cellStyle name="Normal 2 100 2 4" xfId="3724" xr:uid="{00000000-0005-0000-0000-000016130000}"/>
    <cellStyle name="Normal 2 100 2 4 2" xfId="6128" xr:uid="{00000000-0005-0000-0000-000017130000}"/>
    <cellStyle name="Normal 2 100 2 4 3" xfId="8638" xr:uid="{00000000-0005-0000-0000-000018130000}"/>
    <cellStyle name="Normal 2 100 2 5" xfId="2824" xr:uid="{00000000-0005-0000-0000-000019130000}"/>
    <cellStyle name="Normal 2 100 2 6" xfId="4140" xr:uid="{00000000-0005-0000-0000-00001A130000}"/>
    <cellStyle name="Normal 2 100 2 7" xfId="7865" xr:uid="{00000000-0005-0000-0000-00001B130000}"/>
    <cellStyle name="Normal 2 100 3" xfId="2914" xr:uid="{00000000-0005-0000-0000-00001C130000}"/>
    <cellStyle name="Normal 2 100 3 2" xfId="4582" xr:uid="{00000000-0005-0000-0000-00001D130000}"/>
    <cellStyle name="Normal 2 100 3 3" xfId="7971" xr:uid="{00000000-0005-0000-0000-00001E130000}"/>
    <cellStyle name="Normal 2 100 4" xfId="3006" xr:uid="{00000000-0005-0000-0000-00001F130000}"/>
    <cellStyle name="Normal 2 100 4 2" xfId="4666" xr:uid="{00000000-0005-0000-0000-000020130000}"/>
    <cellStyle name="Normal 2 100 4 3" xfId="8062" xr:uid="{00000000-0005-0000-0000-000021130000}"/>
    <cellStyle name="Normal 2 100 5" xfId="3829" xr:uid="{00000000-0005-0000-0000-000022130000}"/>
    <cellStyle name="Normal 2 100 5 2" xfId="6212" xr:uid="{00000000-0005-0000-0000-000023130000}"/>
    <cellStyle name="Normal 2 100 5 3" xfId="8740" xr:uid="{00000000-0005-0000-0000-000024130000}"/>
    <cellStyle name="Normal 2 100 6" xfId="2805" xr:uid="{00000000-0005-0000-0000-000025130000}"/>
    <cellStyle name="Normal 2 100 7" xfId="4139" xr:uid="{00000000-0005-0000-0000-000026130000}"/>
    <cellStyle name="Normal 2 100 8" xfId="7515" xr:uid="{00000000-0005-0000-0000-000027130000}"/>
    <cellStyle name="Normal 2 101" xfId="2672" xr:uid="{00000000-0005-0000-0000-000028130000}"/>
    <cellStyle name="Normal 2 101 2" xfId="2655" xr:uid="{00000000-0005-0000-0000-000029130000}"/>
    <cellStyle name="Normal 2 101 3" xfId="4141" xr:uid="{00000000-0005-0000-0000-00002A130000}"/>
    <cellStyle name="Normal 2 101 4" xfId="7871" xr:uid="{00000000-0005-0000-0000-00002B130000}"/>
    <cellStyle name="Normal 2 102" xfId="3369" xr:uid="{00000000-0005-0000-0000-00002C130000}"/>
    <cellStyle name="Normal 2 102 2" xfId="5001" xr:uid="{00000000-0005-0000-0000-00002D130000}"/>
    <cellStyle name="Normal 2 102 3" xfId="8402" xr:uid="{00000000-0005-0000-0000-00002E130000}"/>
    <cellStyle name="Normal 2 103" xfId="3856" xr:uid="{00000000-0005-0000-0000-00002F130000}"/>
    <cellStyle name="Normal 2 104" xfId="6278" xr:uid="{00000000-0005-0000-0000-000030130000}"/>
    <cellStyle name="Normal 2 105" xfId="996" xr:uid="{00000000-0005-0000-0000-000031130000}"/>
    <cellStyle name="Normal 2 106" xfId="8877" xr:uid="{00000000-0005-0000-0000-000032130000}"/>
    <cellStyle name="Normal 2 106 2" xfId="8962" xr:uid="{00000000-0005-0000-0000-000033130000}"/>
    <cellStyle name="Normal 2 11" xfId="498" xr:uid="{00000000-0005-0000-0000-000034130000}"/>
    <cellStyle name="Normal 2 11 10" xfId="1291" xr:uid="{00000000-0005-0000-0000-000035130000}"/>
    <cellStyle name="Normal 2 11 2" xfId="499" xr:uid="{00000000-0005-0000-0000-000036130000}"/>
    <cellStyle name="Normal 2 11 2 2" xfId="5366" xr:uid="{00000000-0005-0000-0000-000037130000}"/>
    <cellStyle name="Normal 2 11 2 3" xfId="6582" xr:uid="{00000000-0005-0000-0000-000038130000}"/>
    <cellStyle name="Normal 2 11 2 4" xfId="1330" xr:uid="{00000000-0005-0000-0000-000039130000}"/>
    <cellStyle name="Normal 2 11 3" xfId="1561" xr:uid="{00000000-0005-0000-0000-00003A130000}"/>
    <cellStyle name="Normal 2 11 3 2" xfId="5587" xr:uid="{00000000-0005-0000-0000-00003B130000}"/>
    <cellStyle name="Normal 2 11 3 3" xfId="6812" xr:uid="{00000000-0005-0000-0000-00003C130000}"/>
    <cellStyle name="Normal 2 11 4" xfId="1766" xr:uid="{00000000-0005-0000-0000-00003D130000}"/>
    <cellStyle name="Normal 2 11 4 2" xfId="5788" xr:uid="{00000000-0005-0000-0000-00003E130000}"/>
    <cellStyle name="Normal 2 11 4 3" xfId="7013" xr:uid="{00000000-0005-0000-0000-00003F130000}"/>
    <cellStyle name="Normal 2 11 5" xfId="1945" xr:uid="{00000000-0005-0000-0000-000040130000}"/>
    <cellStyle name="Normal 2 11 5 2" xfId="5965" xr:uid="{00000000-0005-0000-0000-000041130000}"/>
    <cellStyle name="Normal 2 11 5 3" xfId="7192" xr:uid="{00000000-0005-0000-0000-000042130000}"/>
    <cellStyle name="Normal 2 11 6" xfId="3653" xr:uid="{00000000-0005-0000-0000-000043130000}"/>
    <cellStyle name="Normal 2 11 6 2" xfId="5327" xr:uid="{00000000-0005-0000-0000-000044130000}"/>
    <cellStyle name="Normal 2 11 6 3" xfId="8603" xr:uid="{00000000-0005-0000-0000-000045130000}"/>
    <cellStyle name="Normal 2 11 7" xfId="3370" xr:uid="{00000000-0005-0000-0000-000046130000}"/>
    <cellStyle name="Normal 2 11 7 2" xfId="5002" xr:uid="{00000000-0005-0000-0000-000047130000}"/>
    <cellStyle name="Normal 2 11 7 3" xfId="8403" xr:uid="{00000000-0005-0000-0000-000048130000}"/>
    <cellStyle name="Normal 2 11 8" xfId="3864" xr:uid="{00000000-0005-0000-0000-000049130000}"/>
    <cellStyle name="Normal 2 11 9" xfId="6543" xr:uid="{00000000-0005-0000-0000-00004A130000}"/>
    <cellStyle name="Normal 2 12" xfId="500" xr:uid="{00000000-0005-0000-0000-00004B130000}"/>
    <cellStyle name="Normal 2 12 2" xfId="501" xr:uid="{00000000-0005-0000-0000-00004C130000}"/>
    <cellStyle name="Normal 2 12 2 2" xfId="3665" xr:uid="{00000000-0005-0000-0000-00004D130000}"/>
    <cellStyle name="Normal 2 12 2 3" xfId="5371" xr:uid="{00000000-0005-0000-0000-00004E130000}"/>
    <cellStyle name="Normal 2 12 2 4" xfId="7517" xr:uid="{00000000-0005-0000-0000-00004F130000}"/>
    <cellStyle name="Normal 2 12 2 5" xfId="2284" xr:uid="{00000000-0005-0000-0000-000050130000}"/>
    <cellStyle name="Normal 2 12 3" xfId="502" xr:uid="{00000000-0005-0000-0000-000051130000}"/>
    <cellStyle name="Normal 2 12 3 2" xfId="5003" xr:uid="{00000000-0005-0000-0000-000052130000}"/>
    <cellStyle name="Normal 2 12 3 3" xfId="8404" xr:uid="{00000000-0005-0000-0000-000053130000}"/>
    <cellStyle name="Normal 2 12 3 4" xfId="3371" xr:uid="{00000000-0005-0000-0000-000054130000}"/>
    <cellStyle name="Normal 2 12 4" xfId="3865" xr:uid="{00000000-0005-0000-0000-000055130000}"/>
    <cellStyle name="Normal 2 12 5" xfId="6589" xr:uid="{00000000-0005-0000-0000-000056130000}"/>
    <cellStyle name="Normal 2 12 6" xfId="1337" xr:uid="{00000000-0005-0000-0000-000057130000}"/>
    <cellStyle name="Normal 2 13" xfId="503" xr:uid="{00000000-0005-0000-0000-000058130000}"/>
    <cellStyle name="Normal 2 13 2" xfId="504" xr:uid="{00000000-0005-0000-0000-000059130000}"/>
    <cellStyle name="Normal 2 13 2 2" xfId="1892" xr:uid="{00000000-0005-0000-0000-00005A130000}"/>
    <cellStyle name="Normal 2 13 2 2 2" xfId="1896" xr:uid="{00000000-0005-0000-0000-00005B130000}"/>
    <cellStyle name="Normal 2 13 2 2 2 2" xfId="5916" xr:uid="{00000000-0005-0000-0000-00005C130000}"/>
    <cellStyle name="Normal 2 13 2 2 2 3" xfId="7143" xr:uid="{00000000-0005-0000-0000-00005D130000}"/>
    <cellStyle name="Normal 2 13 2 2 3" xfId="5912" xr:uid="{00000000-0005-0000-0000-00005E130000}"/>
    <cellStyle name="Normal 2 13 2 2 4" xfId="7139" xr:uid="{00000000-0005-0000-0000-00005F130000}"/>
    <cellStyle name="Normal 2 13 2 3" xfId="5474" xr:uid="{00000000-0005-0000-0000-000060130000}"/>
    <cellStyle name="Normal 2 13 2 4" xfId="6697" xr:uid="{00000000-0005-0000-0000-000061130000}"/>
    <cellStyle name="Normal 2 13 2 5" xfId="1445" xr:uid="{00000000-0005-0000-0000-000062130000}"/>
    <cellStyle name="Normal 2 13 3" xfId="1598" xr:uid="{00000000-0005-0000-0000-000063130000}"/>
    <cellStyle name="Normal 2 13 3 2" xfId="5624" xr:uid="{00000000-0005-0000-0000-000064130000}"/>
    <cellStyle name="Normal 2 13 3 3" xfId="6849" xr:uid="{00000000-0005-0000-0000-000065130000}"/>
    <cellStyle name="Normal 2 13 4" xfId="2065" xr:uid="{00000000-0005-0000-0000-000066130000}"/>
    <cellStyle name="Normal 2 13 4 2" xfId="6084" xr:uid="{00000000-0005-0000-0000-000067130000}"/>
    <cellStyle name="Normal 2 13 4 3" xfId="7312" xr:uid="{00000000-0005-0000-0000-000068130000}"/>
    <cellStyle name="Normal 2 13 5" xfId="3866" xr:uid="{00000000-0005-0000-0000-000069130000}"/>
    <cellStyle name="Normal 2 13 6" xfId="6691" xr:uid="{00000000-0005-0000-0000-00006A130000}"/>
    <cellStyle name="Normal 2 13 7" xfId="1439" xr:uid="{00000000-0005-0000-0000-00006B130000}"/>
    <cellStyle name="Normal 2 14" xfId="505" xr:uid="{00000000-0005-0000-0000-00006C130000}"/>
    <cellStyle name="Normal 2 14 2" xfId="506" xr:uid="{00000000-0005-0000-0000-00006D130000}"/>
    <cellStyle name="Normal 2 14 2 2" xfId="5896" xr:uid="{00000000-0005-0000-0000-00006E130000}"/>
    <cellStyle name="Normal 2 14 2 3" xfId="7123" xr:uid="{00000000-0005-0000-0000-00006F130000}"/>
    <cellStyle name="Normal 2 14 2 4" xfId="1876" xr:uid="{00000000-0005-0000-0000-000070130000}"/>
    <cellStyle name="Normal 2 14 3" xfId="4142" xr:uid="{00000000-0005-0000-0000-000071130000}"/>
    <cellStyle name="Normal 2 14 4" xfId="6772" xr:uid="{00000000-0005-0000-0000-000072130000}"/>
    <cellStyle name="Normal 2 14 5" xfId="1520" xr:uid="{00000000-0005-0000-0000-000073130000}"/>
    <cellStyle name="Normal 2 15" xfId="507" xr:uid="{00000000-0005-0000-0000-000074130000}"/>
    <cellStyle name="Normal 2 15 2" xfId="508" xr:uid="{00000000-0005-0000-0000-000075130000}"/>
    <cellStyle name="Normal 2 15 2 2" xfId="5954" xr:uid="{00000000-0005-0000-0000-000076130000}"/>
    <cellStyle name="Normal 2 15 2 3" xfId="7181" xr:uid="{00000000-0005-0000-0000-000077130000}"/>
    <cellStyle name="Normal 2 15 2 4" xfId="1934" xr:uid="{00000000-0005-0000-0000-000078130000}"/>
    <cellStyle name="Normal 2 15 3" xfId="4143" xr:uid="{00000000-0005-0000-0000-000079130000}"/>
    <cellStyle name="Normal 2 15 4" xfId="7218" xr:uid="{00000000-0005-0000-0000-00007A130000}"/>
    <cellStyle name="Normal 2 15 5" xfId="1971" xr:uid="{00000000-0005-0000-0000-00007B130000}"/>
    <cellStyle name="Normal 2 16" xfId="509" xr:uid="{00000000-0005-0000-0000-00007C130000}"/>
    <cellStyle name="Normal 2 16 2" xfId="510" xr:uid="{00000000-0005-0000-0000-00007D130000}"/>
    <cellStyle name="Normal 2 16 2 2" xfId="3567" xr:uid="{00000000-0005-0000-0000-00007E130000}"/>
    <cellStyle name="Normal 2 16 2 3" xfId="5179" xr:uid="{00000000-0005-0000-0000-00007F130000}"/>
    <cellStyle name="Normal 2 16 2 4" xfId="7521" xr:uid="{00000000-0005-0000-0000-000080130000}"/>
    <cellStyle name="Normal 2 16 2 5" xfId="2288" xr:uid="{00000000-0005-0000-0000-000081130000}"/>
    <cellStyle name="Normal 2 16 3" xfId="4144" xr:uid="{00000000-0005-0000-0000-000082130000}"/>
    <cellStyle name="Normal 2 16 4" xfId="6426" xr:uid="{00000000-0005-0000-0000-000083130000}"/>
    <cellStyle name="Normal 2 16 5" xfId="1173" xr:uid="{00000000-0005-0000-0000-000084130000}"/>
    <cellStyle name="Normal 2 17" xfId="511" xr:uid="{00000000-0005-0000-0000-000085130000}"/>
    <cellStyle name="Normal 2 17 2" xfId="512" xr:uid="{00000000-0005-0000-0000-000086130000}"/>
    <cellStyle name="Normal 2 17 2 2" xfId="4145" xr:uid="{00000000-0005-0000-0000-000087130000}"/>
    <cellStyle name="Normal 2 17 3" xfId="7522" xr:uid="{00000000-0005-0000-0000-000088130000}"/>
    <cellStyle name="Normal 2 17 4" xfId="2289" xr:uid="{00000000-0005-0000-0000-000089130000}"/>
    <cellStyle name="Normal 2 18" xfId="513" xr:uid="{00000000-0005-0000-0000-00008A130000}"/>
    <cellStyle name="Normal 2 18 2" xfId="4146" xr:uid="{00000000-0005-0000-0000-00008B130000}"/>
    <cellStyle name="Normal 2 18 3" xfId="7523" xr:uid="{00000000-0005-0000-0000-00008C130000}"/>
    <cellStyle name="Normal 2 18 4" xfId="2290" xr:uid="{00000000-0005-0000-0000-00008D130000}"/>
    <cellStyle name="Normal 2 19" xfId="514" xr:uid="{00000000-0005-0000-0000-00008E130000}"/>
    <cellStyle name="Normal 2 19 2" xfId="4147" xr:uid="{00000000-0005-0000-0000-00008F130000}"/>
    <cellStyle name="Normal 2 19 3" xfId="7524" xr:uid="{00000000-0005-0000-0000-000090130000}"/>
    <cellStyle name="Normal 2 19 4" xfId="2291" xr:uid="{00000000-0005-0000-0000-000091130000}"/>
    <cellStyle name="Normal 2 2" xfId="515" xr:uid="{00000000-0005-0000-0000-000092130000}"/>
    <cellStyle name="Normal 2 2 10" xfId="516" xr:uid="{00000000-0005-0000-0000-000093130000}"/>
    <cellStyle name="Normal 2 2 10 2" xfId="1871" xr:uid="{00000000-0005-0000-0000-000094130000}"/>
    <cellStyle name="Normal 2 2 10 2 2" xfId="5892" xr:uid="{00000000-0005-0000-0000-000095130000}"/>
    <cellStyle name="Normal 2 2 10 2 3" xfId="7118" xr:uid="{00000000-0005-0000-0000-000096130000}"/>
    <cellStyle name="Normal 2 2 10 3" xfId="2293" xr:uid="{00000000-0005-0000-0000-000097130000}"/>
    <cellStyle name="Normal 2 2 10 3 2" xfId="3691" xr:uid="{00000000-0005-0000-0000-000098130000}"/>
    <cellStyle name="Normal 2 2 10 3 3" xfId="5658" xr:uid="{00000000-0005-0000-0000-000099130000}"/>
    <cellStyle name="Normal 2 2 10 3 4" xfId="7525" xr:uid="{00000000-0005-0000-0000-00009A130000}"/>
    <cellStyle name="Normal 2 2 10 4" xfId="4148" xr:uid="{00000000-0005-0000-0000-00009B130000}"/>
    <cellStyle name="Normal 2 2 10 5" xfId="6883" xr:uid="{00000000-0005-0000-0000-00009C130000}"/>
    <cellStyle name="Normal 2 2 10 6" xfId="1632" xr:uid="{00000000-0005-0000-0000-00009D130000}"/>
    <cellStyle name="Normal 2 2 11" xfId="517" xr:uid="{00000000-0005-0000-0000-00009E130000}"/>
    <cellStyle name="Normal 2 2 11 2" xfId="2084" xr:uid="{00000000-0005-0000-0000-00009F130000}"/>
    <cellStyle name="Normal 2 2 11 2 2" xfId="6103" xr:uid="{00000000-0005-0000-0000-0000A0130000}"/>
    <cellStyle name="Normal 2 2 11 2 3" xfId="7331" xr:uid="{00000000-0005-0000-0000-0000A1130000}"/>
    <cellStyle name="Normal 2 2 11 3" xfId="2294" xr:uid="{00000000-0005-0000-0000-0000A2130000}"/>
    <cellStyle name="Normal 2 2 11 3 2" xfId="3707" xr:uid="{00000000-0005-0000-0000-0000A3130000}"/>
    <cellStyle name="Normal 2 2 11 3 3" xfId="6004" xr:uid="{00000000-0005-0000-0000-0000A4130000}"/>
    <cellStyle name="Normal 2 2 11 3 4" xfId="7526" xr:uid="{00000000-0005-0000-0000-0000A5130000}"/>
    <cellStyle name="Normal 2 2 11 4" xfId="4149" xr:uid="{00000000-0005-0000-0000-0000A6130000}"/>
    <cellStyle name="Normal 2 2 11 5" xfId="7232" xr:uid="{00000000-0005-0000-0000-0000A7130000}"/>
    <cellStyle name="Normal 2 2 11 6" xfId="1985" xr:uid="{00000000-0005-0000-0000-0000A8130000}"/>
    <cellStyle name="Normal 2 2 12" xfId="518" xr:uid="{00000000-0005-0000-0000-0000A9130000}"/>
    <cellStyle name="Normal 2 2 12 2" xfId="4150" xr:uid="{00000000-0005-0000-0000-0000AA130000}"/>
    <cellStyle name="Normal 2 2 12 3" xfId="7527" xr:uid="{00000000-0005-0000-0000-0000AB130000}"/>
    <cellStyle name="Normal 2 2 12 4" xfId="2295" xr:uid="{00000000-0005-0000-0000-0000AC130000}"/>
    <cellStyle name="Normal 2 2 13" xfId="2296" xr:uid="{00000000-0005-0000-0000-0000AD130000}"/>
    <cellStyle name="Normal 2 2 13 2" xfId="4151" xr:uid="{00000000-0005-0000-0000-0000AE130000}"/>
    <cellStyle name="Normal 2 2 13 3" xfId="7528" xr:uid="{00000000-0005-0000-0000-0000AF130000}"/>
    <cellStyle name="Normal 2 2 14" xfId="2297" xr:uid="{00000000-0005-0000-0000-0000B0130000}"/>
    <cellStyle name="Normal 2 2 14 2" xfId="4152" xr:uid="{00000000-0005-0000-0000-0000B1130000}"/>
    <cellStyle name="Normal 2 2 14 3" xfId="7529" xr:uid="{00000000-0005-0000-0000-0000B2130000}"/>
    <cellStyle name="Normal 2 2 15" xfId="2298" xr:uid="{00000000-0005-0000-0000-0000B3130000}"/>
    <cellStyle name="Normal 2 2 15 2" xfId="4153" xr:uid="{00000000-0005-0000-0000-0000B4130000}"/>
    <cellStyle name="Normal 2 2 15 3" xfId="7530" xr:uid="{00000000-0005-0000-0000-0000B5130000}"/>
    <cellStyle name="Normal 2 2 16" xfId="2299" xr:uid="{00000000-0005-0000-0000-0000B6130000}"/>
    <cellStyle name="Normal 2 2 16 2" xfId="2657" xr:uid="{00000000-0005-0000-0000-0000B7130000}"/>
    <cellStyle name="Normal 2 2 16 2 2" xfId="2930" xr:uid="{00000000-0005-0000-0000-0000B8130000}"/>
    <cellStyle name="Normal 2 2 16 2 2 2" xfId="4598" xr:uid="{00000000-0005-0000-0000-0000B9130000}"/>
    <cellStyle name="Normal 2 2 16 2 2 3" xfId="7986" xr:uid="{00000000-0005-0000-0000-0000BA130000}"/>
    <cellStyle name="Normal 2 2 16 2 3" xfId="3023" xr:uid="{00000000-0005-0000-0000-0000BB130000}"/>
    <cellStyle name="Normal 2 2 16 2 3 2" xfId="4682" xr:uid="{00000000-0005-0000-0000-0000BC130000}"/>
    <cellStyle name="Normal 2 2 16 2 3 3" xfId="8079" xr:uid="{00000000-0005-0000-0000-0000BD130000}"/>
    <cellStyle name="Normal 2 2 16 2 4" xfId="3846" xr:uid="{00000000-0005-0000-0000-0000BE130000}"/>
    <cellStyle name="Normal 2 2 16 2 4 2" xfId="6224" xr:uid="{00000000-0005-0000-0000-0000BF130000}"/>
    <cellStyle name="Normal 2 2 16 2 4 3" xfId="8757" xr:uid="{00000000-0005-0000-0000-0000C0130000}"/>
    <cellStyle name="Normal 2 2 16 2 5" xfId="2825" xr:uid="{00000000-0005-0000-0000-0000C1130000}"/>
    <cellStyle name="Normal 2 2 16 2 6" xfId="4155" xr:uid="{00000000-0005-0000-0000-0000C2130000}"/>
    <cellStyle name="Normal 2 2 16 2 7" xfId="7867" xr:uid="{00000000-0005-0000-0000-0000C3130000}"/>
    <cellStyle name="Normal 2 2 16 3" xfId="2915" xr:uid="{00000000-0005-0000-0000-0000C4130000}"/>
    <cellStyle name="Normal 2 2 16 3 2" xfId="4583" xr:uid="{00000000-0005-0000-0000-0000C5130000}"/>
    <cellStyle name="Normal 2 2 16 3 3" xfId="7972" xr:uid="{00000000-0005-0000-0000-0000C6130000}"/>
    <cellStyle name="Normal 2 2 16 4" xfId="3007" xr:uid="{00000000-0005-0000-0000-0000C7130000}"/>
    <cellStyle name="Normal 2 2 16 4 2" xfId="4667" xr:uid="{00000000-0005-0000-0000-0000C8130000}"/>
    <cellStyle name="Normal 2 2 16 4 3" xfId="8063" xr:uid="{00000000-0005-0000-0000-0000C9130000}"/>
    <cellStyle name="Normal 2 2 16 5" xfId="3765" xr:uid="{00000000-0005-0000-0000-0000CA130000}"/>
    <cellStyle name="Normal 2 2 16 5 2" xfId="6160" xr:uid="{00000000-0005-0000-0000-0000CB130000}"/>
    <cellStyle name="Normal 2 2 16 5 3" xfId="8677" xr:uid="{00000000-0005-0000-0000-0000CC130000}"/>
    <cellStyle name="Normal 2 2 16 6" xfId="2806" xr:uid="{00000000-0005-0000-0000-0000CD130000}"/>
    <cellStyle name="Normal 2 2 16 7" xfId="4154" xr:uid="{00000000-0005-0000-0000-0000CE130000}"/>
    <cellStyle name="Normal 2 2 16 8" xfId="7531" xr:uid="{00000000-0005-0000-0000-0000CF130000}"/>
    <cellStyle name="Normal 2 2 17" xfId="3867" xr:uid="{00000000-0005-0000-0000-0000D0130000}"/>
    <cellStyle name="Normal 2 2 18" xfId="6369" xr:uid="{00000000-0005-0000-0000-0000D1130000}"/>
    <cellStyle name="Normal 2 2 19" xfId="8871" xr:uid="{00000000-0005-0000-0000-0000D2130000}"/>
    <cellStyle name="Normal 2 2 2" xfId="519" xr:uid="{00000000-0005-0000-0000-0000D3130000}"/>
    <cellStyle name="Normal 2 2 2 10" xfId="1430" xr:uid="{00000000-0005-0000-0000-0000D4130000}"/>
    <cellStyle name="Normal 2 2 2 10 2" xfId="1870" xr:uid="{00000000-0005-0000-0000-0000D5130000}"/>
    <cellStyle name="Normal 2 2 2 10 2 2" xfId="5891" xr:uid="{00000000-0005-0000-0000-0000D6130000}"/>
    <cellStyle name="Normal 2 2 2 10 2 3" xfId="7117" xr:uid="{00000000-0005-0000-0000-0000D7130000}"/>
    <cellStyle name="Normal 2 2 2 10 3" xfId="5460" xr:uid="{00000000-0005-0000-0000-0000D8130000}"/>
    <cellStyle name="Normal 2 2 2 10 4" xfId="6682" xr:uid="{00000000-0005-0000-0000-0000D9130000}"/>
    <cellStyle name="Normal 2 2 2 11" xfId="1762" xr:uid="{00000000-0005-0000-0000-0000DA130000}"/>
    <cellStyle name="Normal 2 2 2 11 2" xfId="2085" xr:uid="{00000000-0005-0000-0000-0000DB130000}"/>
    <cellStyle name="Normal 2 2 2 11 2 2" xfId="6104" xr:uid="{00000000-0005-0000-0000-0000DC130000}"/>
    <cellStyle name="Normal 2 2 2 11 2 3" xfId="7332" xr:uid="{00000000-0005-0000-0000-0000DD130000}"/>
    <cellStyle name="Normal 2 2 2 11 3" xfId="5784" xr:uid="{00000000-0005-0000-0000-0000DE130000}"/>
    <cellStyle name="Normal 2 2 2 11 4" xfId="7009" xr:uid="{00000000-0005-0000-0000-0000DF130000}"/>
    <cellStyle name="Normal 2 2 2 12" xfId="1199" xr:uid="{00000000-0005-0000-0000-0000E0130000}"/>
    <cellStyle name="Normal 2 2 2 12 2" xfId="5241" xr:uid="{00000000-0005-0000-0000-0000E1130000}"/>
    <cellStyle name="Normal 2 2 2 12 3" xfId="6451" xr:uid="{00000000-0005-0000-0000-0000E2130000}"/>
    <cellStyle name="Normal 2 2 2 13" xfId="2300" xr:uid="{00000000-0005-0000-0000-0000E3130000}"/>
    <cellStyle name="Normal 2 2 2 14" xfId="4156" xr:uid="{00000000-0005-0000-0000-0000E4130000}"/>
    <cellStyle name="Normal 2 2 2 15" xfId="6370" xr:uid="{00000000-0005-0000-0000-0000E5130000}"/>
    <cellStyle name="Normal 2 2 2 16" xfId="1098" xr:uid="{00000000-0005-0000-0000-0000E6130000}"/>
    <cellStyle name="Normal 2 2 2 2" xfId="520" xr:uid="{00000000-0005-0000-0000-0000E7130000}"/>
    <cellStyle name="Normal 2 2 2 2 10" xfId="995" xr:uid="{00000000-0005-0000-0000-0000E8130000}"/>
    <cellStyle name="Normal 2 2 2 2 11" xfId="987" xr:uid="{00000000-0005-0000-0000-0000E9130000}"/>
    <cellStyle name="Normal 2 2 2 2 2" xfId="521" xr:uid="{00000000-0005-0000-0000-0000EA130000}"/>
    <cellStyle name="Normal 2 2 2 2 2 10" xfId="1271" xr:uid="{00000000-0005-0000-0000-0000EB130000}"/>
    <cellStyle name="Normal 2 2 2 2 2 2" xfId="1355" xr:uid="{00000000-0005-0000-0000-0000EC130000}"/>
    <cellStyle name="Normal 2 2 2 2 2 2 2" xfId="1356" xr:uid="{00000000-0005-0000-0000-0000ED130000}"/>
    <cellStyle name="Normal 2 2 2 2 2 2 2 2" xfId="1623" xr:uid="{00000000-0005-0000-0000-0000EE130000}"/>
    <cellStyle name="Normal 2 2 2 2 2 2 2 2 2" xfId="1624" xr:uid="{00000000-0005-0000-0000-0000EF130000}"/>
    <cellStyle name="Normal 2 2 2 2 2 2 2 2 2 2" xfId="1983" xr:uid="{00000000-0005-0000-0000-0000F0130000}"/>
    <cellStyle name="Normal 2 2 2 2 2 2 2 2 2 2 2" xfId="1984" xr:uid="{00000000-0005-0000-0000-0000F1130000}"/>
    <cellStyle name="Normal 2 2 2 2 2 2 2 2 2 2 2 2" xfId="2082" xr:uid="{00000000-0005-0000-0000-0000F2130000}"/>
    <cellStyle name="Normal 2 2 2 2 2 2 2 2 2 2 2 2 2" xfId="2083" xr:uid="{00000000-0005-0000-0000-0000F3130000}"/>
    <cellStyle name="Normal 2 2 2 2 2 2 2 2 2 2 2 2 2 2" xfId="6102" xr:uid="{00000000-0005-0000-0000-0000F4130000}"/>
    <cellStyle name="Normal 2 2 2 2 2 2 2 2 2 2 2 2 2 3" xfId="7330" xr:uid="{00000000-0005-0000-0000-0000F5130000}"/>
    <cellStyle name="Normal 2 2 2 2 2 2 2 2 2 2 2 2 3" xfId="6101" xr:uid="{00000000-0005-0000-0000-0000F6130000}"/>
    <cellStyle name="Normal 2 2 2 2 2 2 2 2 2 2 2 2 4" xfId="7329" xr:uid="{00000000-0005-0000-0000-0000F7130000}"/>
    <cellStyle name="Normal 2 2 2 2 2 2 2 2 2 2 2 3" xfId="2095" xr:uid="{00000000-0005-0000-0000-0000F8130000}"/>
    <cellStyle name="Normal 2 2 2 2 2 2 2 2 2 2 2 3 2" xfId="6112" xr:uid="{00000000-0005-0000-0000-0000F9130000}"/>
    <cellStyle name="Normal 2 2 2 2 2 2 2 2 2 2 2 3 3" xfId="7340" xr:uid="{00000000-0005-0000-0000-0000FA130000}"/>
    <cellStyle name="Normal 2 2 2 2 2 2 2 2 2 2 2 4" xfId="6003" xr:uid="{00000000-0005-0000-0000-0000FB130000}"/>
    <cellStyle name="Normal 2 2 2 2 2 2 2 2 2 2 2 5" xfId="7231" xr:uid="{00000000-0005-0000-0000-0000FC130000}"/>
    <cellStyle name="Normal 2 2 2 2 2 2 2 2 2 2 3" xfId="2079" xr:uid="{00000000-0005-0000-0000-0000FD130000}"/>
    <cellStyle name="Normal 2 2 2 2 2 2 2 2 2 2 3 2" xfId="2094" xr:uid="{00000000-0005-0000-0000-0000FE130000}"/>
    <cellStyle name="Normal 2 2 2 2 2 2 2 2 2 2 3 2 2" xfId="6111" xr:uid="{00000000-0005-0000-0000-0000FF130000}"/>
    <cellStyle name="Normal 2 2 2 2 2 2 2 2 2 2 3 2 3" xfId="7339" xr:uid="{00000000-0005-0000-0000-000000140000}"/>
    <cellStyle name="Normal 2 2 2 2 2 2 2 2 2 2 3 3" xfId="6098" xr:uid="{00000000-0005-0000-0000-000001140000}"/>
    <cellStyle name="Normal 2 2 2 2 2 2 2 2 2 2 3 4" xfId="7326" xr:uid="{00000000-0005-0000-0000-000002140000}"/>
    <cellStyle name="Normal 2 2 2 2 2 2 2 2 2 2 4" xfId="6002" xr:uid="{00000000-0005-0000-0000-000003140000}"/>
    <cellStyle name="Normal 2 2 2 2 2 2 2 2 2 2 5" xfId="7230" xr:uid="{00000000-0005-0000-0000-000004140000}"/>
    <cellStyle name="Normal 2 2 2 2 2 2 2 2 2 3" xfId="2078" xr:uid="{00000000-0005-0000-0000-000005140000}"/>
    <cellStyle name="Normal 2 2 2 2 2 2 2 2 2 3 2" xfId="2093" xr:uid="{00000000-0005-0000-0000-000006140000}"/>
    <cellStyle name="Normal 2 2 2 2 2 2 2 2 2 3 2 2" xfId="6110" xr:uid="{00000000-0005-0000-0000-000007140000}"/>
    <cellStyle name="Normal 2 2 2 2 2 2 2 2 2 3 2 3" xfId="7338" xr:uid="{00000000-0005-0000-0000-000008140000}"/>
    <cellStyle name="Normal 2 2 2 2 2 2 2 2 2 3 3" xfId="6097" xr:uid="{00000000-0005-0000-0000-000009140000}"/>
    <cellStyle name="Normal 2 2 2 2 2 2 2 2 2 3 4" xfId="7325" xr:uid="{00000000-0005-0000-0000-00000A140000}"/>
    <cellStyle name="Normal 2 2 2 2 2 2 2 2 2 4" xfId="5650" xr:uid="{00000000-0005-0000-0000-00000B140000}"/>
    <cellStyle name="Normal 2 2 2 2 2 2 2 2 2 5" xfId="6875" xr:uid="{00000000-0005-0000-0000-00000C140000}"/>
    <cellStyle name="Normal 2 2 2 2 2 2 2 2 3" xfId="1825" xr:uid="{00000000-0005-0000-0000-00000D140000}"/>
    <cellStyle name="Normal 2 2 2 2 2 2 2 2 3 2" xfId="5846" xr:uid="{00000000-0005-0000-0000-00000E140000}"/>
    <cellStyle name="Normal 2 2 2 2 2 2 2 2 3 3" xfId="7072" xr:uid="{00000000-0005-0000-0000-00000F140000}"/>
    <cellStyle name="Normal 2 2 2 2 2 2 2 2 4" xfId="1994" xr:uid="{00000000-0005-0000-0000-000010140000}"/>
    <cellStyle name="Normal 2 2 2 2 2 2 2 2 4 2" xfId="2092" xr:uid="{00000000-0005-0000-0000-000011140000}"/>
    <cellStyle name="Normal 2 2 2 2 2 2 2 2 4 2 2" xfId="6109" xr:uid="{00000000-0005-0000-0000-000012140000}"/>
    <cellStyle name="Normal 2 2 2 2 2 2 2 2 4 2 3" xfId="7337" xr:uid="{00000000-0005-0000-0000-000013140000}"/>
    <cellStyle name="Normal 2 2 2 2 2 2 2 2 4 3" xfId="6013" xr:uid="{00000000-0005-0000-0000-000014140000}"/>
    <cellStyle name="Normal 2 2 2 2 2 2 2 2 4 4" xfId="7241" xr:uid="{00000000-0005-0000-0000-000015140000}"/>
    <cellStyle name="Normal 2 2 2 2 2 2 2 2 5" xfId="5649" xr:uid="{00000000-0005-0000-0000-000016140000}"/>
    <cellStyle name="Normal 2 2 2 2 2 2 2 2 6" xfId="6874" xr:uid="{00000000-0005-0000-0000-000017140000}"/>
    <cellStyle name="Normal 2 2 2 2 2 2 2 3" xfId="1677" xr:uid="{00000000-0005-0000-0000-000018140000}"/>
    <cellStyle name="Normal 2 2 2 2 2 2 2 3 2" xfId="5701" xr:uid="{00000000-0005-0000-0000-000019140000}"/>
    <cellStyle name="Normal 2 2 2 2 2 2 2 3 3" xfId="6926" xr:uid="{00000000-0005-0000-0000-00001A140000}"/>
    <cellStyle name="Normal 2 2 2 2 2 2 2 4" xfId="1824" xr:uid="{00000000-0005-0000-0000-00001B140000}"/>
    <cellStyle name="Normal 2 2 2 2 2 2 2 4 2" xfId="1878" xr:uid="{00000000-0005-0000-0000-00001C140000}"/>
    <cellStyle name="Normal 2 2 2 2 2 2 2 4 2 2" xfId="5898" xr:uid="{00000000-0005-0000-0000-00001D140000}"/>
    <cellStyle name="Normal 2 2 2 2 2 2 2 4 2 3" xfId="7125" xr:uid="{00000000-0005-0000-0000-00001E140000}"/>
    <cellStyle name="Normal 2 2 2 2 2 2 2 4 3" xfId="5845" xr:uid="{00000000-0005-0000-0000-00001F140000}"/>
    <cellStyle name="Normal 2 2 2 2 2 2 2 4 4" xfId="7071" xr:uid="{00000000-0005-0000-0000-000020140000}"/>
    <cellStyle name="Normal 2 2 2 2 2 2 2 5" xfId="2005" xr:uid="{00000000-0005-0000-0000-000021140000}"/>
    <cellStyle name="Normal 2 2 2 2 2 2 2 5 2" xfId="2089" xr:uid="{00000000-0005-0000-0000-000022140000}"/>
    <cellStyle name="Normal 2 2 2 2 2 2 2 5 2 2" xfId="6108" xr:uid="{00000000-0005-0000-0000-000023140000}"/>
    <cellStyle name="Normal 2 2 2 2 2 2 2 5 2 3" xfId="7336" xr:uid="{00000000-0005-0000-0000-000024140000}"/>
    <cellStyle name="Normal 2 2 2 2 2 2 2 5 3" xfId="6024" xr:uid="{00000000-0005-0000-0000-000025140000}"/>
    <cellStyle name="Normal 2 2 2 2 2 2 2 5 4" xfId="7252" xr:uid="{00000000-0005-0000-0000-000026140000}"/>
    <cellStyle name="Normal 2 2 2 2 2 2 2 6" xfId="5390" xr:uid="{00000000-0005-0000-0000-000027140000}"/>
    <cellStyle name="Normal 2 2 2 2 2 2 2 7" xfId="6608" xr:uid="{00000000-0005-0000-0000-000028140000}"/>
    <cellStyle name="Normal 2 2 2 2 2 2 3" xfId="1543" xr:uid="{00000000-0005-0000-0000-000029140000}"/>
    <cellStyle name="Normal 2 2 2 2 2 2 3 2" xfId="1676" xr:uid="{00000000-0005-0000-0000-00002A140000}"/>
    <cellStyle name="Normal 2 2 2 2 2 2 3 2 2" xfId="1949" xr:uid="{00000000-0005-0000-0000-00002B140000}"/>
    <cellStyle name="Normal 2 2 2 2 2 2 3 2 2 2" xfId="2019" xr:uid="{00000000-0005-0000-0000-00002C140000}"/>
    <cellStyle name="Normal 2 2 2 2 2 2 3 2 2 2 2" xfId="6038" xr:uid="{00000000-0005-0000-0000-00002D140000}"/>
    <cellStyle name="Normal 2 2 2 2 2 2 3 2 2 2 3" xfId="7266" xr:uid="{00000000-0005-0000-0000-00002E140000}"/>
    <cellStyle name="Normal 2 2 2 2 2 2 3 2 2 3" xfId="5969" xr:uid="{00000000-0005-0000-0000-00002F140000}"/>
    <cellStyle name="Normal 2 2 2 2 2 2 3 2 2 4" xfId="7196" xr:uid="{00000000-0005-0000-0000-000030140000}"/>
    <cellStyle name="Normal 2 2 2 2 2 2 3 2 3" xfId="5700" xr:uid="{00000000-0005-0000-0000-000031140000}"/>
    <cellStyle name="Normal 2 2 2 2 2 2 3 2 4" xfId="6925" xr:uid="{00000000-0005-0000-0000-000032140000}"/>
    <cellStyle name="Normal 2 2 2 2 2 2 3 3" xfId="1875" xr:uid="{00000000-0005-0000-0000-000033140000}"/>
    <cellStyle name="Normal 2 2 2 2 2 2 3 3 2" xfId="5895" xr:uid="{00000000-0005-0000-0000-000034140000}"/>
    <cellStyle name="Normal 2 2 2 2 2 2 3 3 3" xfId="7122" xr:uid="{00000000-0005-0000-0000-000035140000}"/>
    <cellStyle name="Normal 2 2 2 2 2 2 3 4" xfId="5570" xr:uid="{00000000-0005-0000-0000-000036140000}"/>
    <cellStyle name="Normal 2 2 2 2 2 2 3 5" xfId="6795" xr:uid="{00000000-0005-0000-0000-000037140000}"/>
    <cellStyle name="Normal 2 2 2 2 2 2 4" xfId="1748" xr:uid="{00000000-0005-0000-0000-000038140000}"/>
    <cellStyle name="Normal 2 2 2 2 2 2 4 2" xfId="1879" xr:uid="{00000000-0005-0000-0000-000039140000}"/>
    <cellStyle name="Normal 2 2 2 2 2 2 4 2 2" xfId="5899" xr:uid="{00000000-0005-0000-0000-00003A140000}"/>
    <cellStyle name="Normal 2 2 2 2 2 2 4 2 3" xfId="7126" xr:uid="{00000000-0005-0000-0000-00003B140000}"/>
    <cellStyle name="Normal 2 2 2 2 2 2 4 3" xfId="5770" xr:uid="{00000000-0005-0000-0000-00003C140000}"/>
    <cellStyle name="Normal 2 2 2 2 2 2 4 4" xfId="6995" xr:uid="{00000000-0005-0000-0000-00003D140000}"/>
    <cellStyle name="Normal 2 2 2 2 2 2 5" xfId="1933" xr:uid="{00000000-0005-0000-0000-00003E140000}"/>
    <cellStyle name="Normal 2 2 2 2 2 2 5 2" xfId="2088" xr:uid="{00000000-0005-0000-0000-00003F140000}"/>
    <cellStyle name="Normal 2 2 2 2 2 2 5 2 2" xfId="6107" xr:uid="{00000000-0005-0000-0000-000040140000}"/>
    <cellStyle name="Normal 2 2 2 2 2 2 5 2 3" xfId="7335" xr:uid="{00000000-0005-0000-0000-000041140000}"/>
    <cellStyle name="Normal 2 2 2 2 2 2 5 3" xfId="5953" xr:uid="{00000000-0005-0000-0000-000042140000}"/>
    <cellStyle name="Normal 2 2 2 2 2 2 5 4" xfId="7180" xr:uid="{00000000-0005-0000-0000-000043140000}"/>
    <cellStyle name="Normal 2 2 2 2 2 2 6" xfId="5389" xr:uid="{00000000-0005-0000-0000-000044140000}"/>
    <cellStyle name="Normal 2 2 2 2 2 2 7" xfId="6607" xr:uid="{00000000-0005-0000-0000-000045140000}"/>
    <cellStyle name="Normal 2 2 2 2 2 3" xfId="1365" xr:uid="{00000000-0005-0000-0000-000046140000}"/>
    <cellStyle name="Normal 2 2 2 2 2 3 2" xfId="5398" xr:uid="{00000000-0005-0000-0000-000047140000}"/>
    <cellStyle name="Normal 2 2 2 2 2 3 3" xfId="6617" xr:uid="{00000000-0005-0000-0000-000048140000}"/>
    <cellStyle name="Normal 2 2 2 2 2 4" xfId="1541" xr:uid="{00000000-0005-0000-0000-000049140000}"/>
    <cellStyle name="Normal 2 2 2 2 2 4 2" xfId="1675" xr:uid="{00000000-0005-0000-0000-00004A140000}"/>
    <cellStyle name="Normal 2 2 2 2 2 4 2 2" xfId="1948" xr:uid="{00000000-0005-0000-0000-00004B140000}"/>
    <cellStyle name="Normal 2 2 2 2 2 4 2 2 2" xfId="2018" xr:uid="{00000000-0005-0000-0000-00004C140000}"/>
    <cellStyle name="Normal 2 2 2 2 2 4 2 2 2 2" xfId="6037" xr:uid="{00000000-0005-0000-0000-00004D140000}"/>
    <cellStyle name="Normal 2 2 2 2 2 4 2 2 2 3" xfId="7265" xr:uid="{00000000-0005-0000-0000-00004E140000}"/>
    <cellStyle name="Normal 2 2 2 2 2 4 2 2 3" xfId="5968" xr:uid="{00000000-0005-0000-0000-00004F140000}"/>
    <cellStyle name="Normal 2 2 2 2 2 4 2 2 4" xfId="7195" xr:uid="{00000000-0005-0000-0000-000050140000}"/>
    <cellStyle name="Normal 2 2 2 2 2 4 2 3" xfId="5699" xr:uid="{00000000-0005-0000-0000-000051140000}"/>
    <cellStyle name="Normal 2 2 2 2 2 4 2 4" xfId="6924" xr:uid="{00000000-0005-0000-0000-000052140000}"/>
    <cellStyle name="Normal 2 2 2 2 2 4 3" xfId="1873" xr:uid="{00000000-0005-0000-0000-000053140000}"/>
    <cellStyle name="Normal 2 2 2 2 2 4 3 2" xfId="5894" xr:uid="{00000000-0005-0000-0000-000054140000}"/>
    <cellStyle name="Normal 2 2 2 2 2 4 3 3" xfId="7120" xr:uid="{00000000-0005-0000-0000-000055140000}"/>
    <cellStyle name="Normal 2 2 2 2 2 4 4" xfId="5568" xr:uid="{00000000-0005-0000-0000-000056140000}"/>
    <cellStyle name="Normal 2 2 2 2 2 4 5" xfId="6793" xr:uid="{00000000-0005-0000-0000-000057140000}"/>
    <cellStyle name="Normal 2 2 2 2 2 5" xfId="1746" xr:uid="{00000000-0005-0000-0000-000058140000}"/>
    <cellStyle name="Normal 2 2 2 2 2 5 2" xfId="1481" xr:uid="{00000000-0005-0000-0000-000059140000}"/>
    <cellStyle name="Normal 2 2 2 2 2 5 2 2" xfId="5509" xr:uid="{00000000-0005-0000-0000-00005A140000}"/>
    <cellStyle name="Normal 2 2 2 2 2 5 2 3" xfId="6733" xr:uid="{00000000-0005-0000-0000-00005B140000}"/>
    <cellStyle name="Normal 2 2 2 2 2 5 3" xfId="5768" xr:uid="{00000000-0005-0000-0000-00005C140000}"/>
    <cellStyle name="Normal 2 2 2 2 2 5 4" xfId="6993" xr:uid="{00000000-0005-0000-0000-00005D140000}"/>
    <cellStyle name="Normal 2 2 2 2 2 6" xfId="2003" xr:uid="{00000000-0005-0000-0000-00005E140000}"/>
    <cellStyle name="Normal 2 2 2 2 2 6 2" xfId="2087" xr:uid="{00000000-0005-0000-0000-00005F140000}"/>
    <cellStyle name="Normal 2 2 2 2 2 6 2 2" xfId="6106" xr:uid="{00000000-0005-0000-0000-000060140000}"/>
    <cellStyle name="Normal 2 2 2 2 2 6 2 3" xfId="7334" xr:uid="{00000000-0005-0000-0000-000061140000}"/>
    <cellStyle name="Normal 2 2 2 2 2 6 3" xfId="6022" xr:uid="{00000000-0005-0000-0000-000062140000}"/>
    <cellStyle name="Normal 2 2 2 2 2 6 4" xfId="7250" xr:uid="{00000000-0005-0000-0000-000063140000}"/>
    <cellStyle name="Normal 2 2 2 2 2 7" xfId="3637" xr:uid="{00000000-0005-0000-0000-000064140000}"/>
    <cellStyle name="Normal 2 2 2 2 2 7 2" xfId="5308" xr:uid="{00000000-0005-0000-0000-000065140000}"/>
    <cellStyle name="Normal 2 2 2 2 2 7 3" xfId="8597" xr:uid="{00000000-0005-0000-0000-000066140000}"/>
    <cellStyle name="Normal 2 2 2 2 2 8" xfId="4158" xr:uid="{00000000-0005-0000-0000-000067140000}"/>
    <cellStyle name="Normal 2 2 2 2 2 9" xfId="6523" xr:uid="{00000000-0005-0000-0000-000068140000}"/>
    <cellStyle name="Normal 2 2 2 2 3" xfId="522" xr:uid="{00000000-0005-0000-0000-000069140000}"/>
    <cellStyle name="Normal 2 2 2 2 3 2" xfId="1364" xr:uid="{00000000-0005-0000-0000-00006A140000}"/>
    <cellStyle name="Normal 2 2 2 2 3 2 2" xfId="5397" xr:uid="{00000000-0005-0000-0000-00006B140000}"/>
    <cellStyle name="Normal 2 2 2 2 3 2 3" xfId="6616" xr:uid="{00000000-0005-0000-0000-00006C140000}"/>
    <cellStyle name="Normal 2 2 2 2 3 3" xfId="5354" xr:uid="{00000000-0005-0000-0000-00006D140000}"/>
    <cellStyle name="Normal 2 2 2 2 3 4" xfId="6570" xr:uid="{00000000-0005-0000-0000-00006E140000}"/>
    <cellStyle name="Normal 2 2 2 2 3 5" xfId="1318" xr:uid="{00000000-0005-0000-0000-00006F140000}"/>
    <cellStyle name="Normal 2 2 2 2 4" xfId="523" xr:uid="{00000000-0005-0000-0000-000070140000}"/>
    <cellStyle name="Normal 2 2 2 2 4 2" xfId="1674" xr:uid="{00000000-0005-0000-0000-000071140000}"/>
    <cellStyle name="Normal 2 2 2 2 4 2 2" xfId="1910" xr:uid="{00000000-0005-0000-0000-000072140000}"/>
    <cellStyle name="Normal 2 2 2 2 4 2 2 2" xfId="2017" xr:uid="{00000000-0005-0000-0000-000073140000}"/>
    <cellStyle name="Normal 2 2 2 2 4 2 2 2 2" xfId="6036" xr:uid="{00000000-0005-0000-0000-000074140000}"/>
    <cellStyle name="Normal 2 2 2 2 4 2 2 2 3" xfId="7264" xr:uid="{00000000-0005-0000-0000-000075140000}"/>
    <cellStyle name="Normal 2 2 2 2 4 2 2 3" xfId="5930" xr:uid="{00000000-0005-0000-0000-000076140000}"/>
    <cellStyle name="Normal 2 2 2 2 4 2 2 4" xfId="7157" xr:uid="{00000000-0005-0000-0000-000077140000}"/>
    <cellStyle name="Normal 2 2 2 2 4 2 3" xfId="5698" xr:uid="{00000000-0005-0000-0000-000078140000}"/>
    <cellStyle name="Normal 2 2 2 2 4 2 4" xfId="6923" xr:uid="{00000000-0005-0000-0000-000079140000}"/>
    <cellStyle name="Normal 2 2 2 2 4 3" xfId="1872" xr:uid="{00000000-0005-0000-0000-00007A140000}"/>
    <cellStyle name="Normal 2 2 2 2 4 3 2" xfId="5893" xr:uid="{00000000-0005-0000-0000-00007B140000}"/>
    <cellStyle name="Normal 2 2 2 2 4 3 3" xfId="7119" xr:uid="{00000000-0005-0000-0000-00007C140000}"/>
    <cellStyle name="Normal 2 2 2 2 4 4" xfId="5497" xr:uid="{00000000-0005-0000-0000-00007D140000}"/>
    <cellStyle name="Normal 2 2 2 2 4 5" xfId="6721" xr:uid="{00000000-0005-0000-0000-00007E140000}"/>
    <cellStyle name="Normal 2 2 2 2 4 6" xfId="1469" xr:uid="{00000000-0005-0000-0000-00007F140000}"/>
    <cellStyle name="Normal 2 2 2 2 5" xfId="1419" xr:uid="{00000000-0005-0000-0000-000080140000}"/>
    <cellStyle name="Normal 2 2 2 2 5 2" xfId="1478" xr:uid="{00000000-0005-0000-0000-000081140000}"/>
    <cellStyle name="Normal 2 2 2 2 5 2 2" xfId="5506" xr:uid="{00000000-0005-0000-0000-000082140000}"/>
    <cellStyle name="Normal 2 2 2 2 5 2 3" xfId="6730" xr:uid="{00000000-0005-0000-0000-000083140000}"/>
    <cellStyle name="Normal 2 2 2 2 5 3" xfId="5449" xr:uid="{00000000-0005-0000-0000-000084140000}"/>
    <cellStyle name="Normal 2 2 2 2 5 4" xfId="6671" xr:uid="{00000000-0005-0000-0000-000085140000}"/>
    <cellStyle name="Normal 2 2 2 2 6" xfId="1806" xr:uid="{00000000-0005-0000-0000-000086140000}"/>
    <cellStyle name="Normal 2 2 2 2 6 2" xfId="2086" xr:uid="{00000000-0005-0000-0000-000087140000}"/>
    <cellStyle name="Normal 2 2 2 2 6 2 2" xfId="6105" xr:uid="{00000000-0005-0000-0000-000088140000}"/>
    <cellStyle name="Normal 2 2 2 2 6 2 3" xfId="7333" xr:uid="{00000000-0005-0000-0000-000089140000}"/>
    <cellStyle name="Normal 2 2 2 2 6 3" xfId="5827" xr:uid="{00000000-0005-0000-0000-00008A140000}"/>
    <cellStyle name="Normal 2 2 2 2 6 4" xfId="7053" xr:uid="{00000000-0005-0000-0000-00008B140000}"/>
    <cellStyle name="Normal 2 2 2 2 7" xfId="2673" xr:uid="{00000000-0005-0000-0000-00008C140000}"/>
    <cellStyle name="Normal 2 2 2 2 8" xfId="4157" xr:uid="{00000000-0005-0000-0000-00008D140000}"/>
    <cellStyle name="Normal 2 2 2 2 9" xfId="6277" xr:uid="{00000000-0005-0000-0000-00008E140000}"/>
    <cellStyle name="Normal 2 2 2 3" xfId="524" xr:uid="{00000000-0005-0000-0000-00008F140000}"/>
    <cellStyle name="Normal 2 2 2 3 2" xfId="2677" xr:uid="{00000000-0005-0000-0000-000090140000}"/>
    <cellStyle name="Normal 2 2 2 3 2 2" xfId="3651" xr:uid="{00000000-0005-0000-0000-000091140000}"/>
    <cellStyle name="Normal 2 2 2 3 2 3" xfId="5323" xr:uid="{00000000-0005-0000-0000-000092140000}"/>
    <cellStyle name="Normal 2 2 2 3 2 4" xfId="7873" xr:uid="{00000000-0005-0000-0000-000093140000}"/>
    <cellStyle name="Normal 2 2 2 3 3" xfId="4159" xr:uid="{00000000-0005-0000-0000-000094140000}"/>
    <cellStyle name="Normal 2 2 2 3 4" xfId="6539" xr:uid="{00000000-0005-0000-0000-000095140000}"/>
    <cellStyle name="Normal 2 2 2 3 5" xfId="1287" xr:uid="{00000000-0005-0000-0000-000096140000}"/>
    <cellStyle name="Normal 2 2 2 4" xfId="525" xr:uid="{00000000-0005-0000-0000-000097140000}"/>
    <cellStyle name="Normal 2 2 2 4 2" xfId="5324" xr:uid="{00000000-0005-0000-0000-000098140000}"/>
    <cellStyle name="Normal 2 2 2 4 3" xfId="6540" xr:uid="{00000000-0005-0000-0000-000099140000}"/>
    <cellStyle name="Normal 2 2 2 4 4" xfId="1288" xr:uid="{00000000-0005-0000-0000-00009A140000}"/>
    <cellStyle name="Normal 2 2 2 5" xfId="526" xr:uid="{00000000-0005-0000-0000-00009B140000}"/>
    <cellStyle name="Normal 2 2 2 5 2" xfId="5287" xr:uid="{00000000-0005-0000-0000-00009C140000}"/>
    <cellStyle name="Normal 2 2 2 5 3" xfId="6502" xr:uid="{00000000-0005-0000-0000-00009D140000}"/>
    <cellStyle name="Normal 2 2 2 5 4" xfId="1250" xr:uid="{00000000-0005-0000-0000-00009E140000}"/>
    <cellStyle name="Normal 2 2 2 6" xfId="1247" xr:uid="{00000000-0005-0000-0000-00009F140000}"/>
    <cellStyle name="Normal 2 2 2 6 2" xfId="5284" xr:uid="{00000000-0005-0000-0000-0000A0140000}"/>
    <cellStyle name="Normal 2 2 2 6 3" xfId="6499" xr:uid="{00000000-0005-0000-0000-0000A1140000}"/>
    <cellStyle name="Normal 2 2 2 7" xfId="1317" xr:uid="{00000000-0005-0000-0000-0000A2140000}"/>
    <cellStyle name="Normal 2 2 2 7 2" xfId="1336" xr:uid="{00000000-0005-0000-0000-0000A3140000}"/>
    <cellStyle name="Normal 2 2 2 7 2 2" xfId="5370" xr:uid="{00000000-0005-0000-0000-0000A4140000}"/>
    <cellStyle name="Normal 2 2 2 7 2 3" xfId="6588" xr:uid="{00000000-0005-0000-0000-0000A5140000}"/>
    <cellStyle name="Normal 2 2 2 7 3" xfId="5353" xr:uid="{00000000-0005-0000-0000-0000A6140000}"/>
    <cellStyle name="Normal 2 2 2 7 4" xfId="6569" xr:uid="{00000000-0005-0000-0000-0000A7140000}"/>
    <cellStyle name="Normal 2 2 2 8" xfId="1329" xr:uid="{00000000-0005-0000-0000-0000A8140000}"/>
    <cellStyle name="Normal 2 2 2 8 2" xfId="5365" xr:uid="{00000000-0005-0000-0000-0000A9140000}"/>
    <cellStyle name="Normal 2 2 2 8 3" xfId="6581" xr:uid="{00000000-0005-0000-0000-0000AA140000}"/>
    <cellStyle name="Normal 2 2 2 9" xfId="1466" xr:uid="{00000000-0005-0000-0000-0000AB140000}"/>
    <cellStyle name="Normal 2 2 2 9 2" xfId="1673" xr:uid="{00000000-0005-0000-0000-0000AC140000}"/>
    <cellStyle name="Normal 2 2 2 9 2 2" xfId="1909" xr:uid="{00000000-0005-0000-0000-0000AD140000}"/>
    <cellStyle name="Normal 2 2 2 9 2 2 2" xfId="2016" xr:uid="{00000000-0005-0000-0000-0000AE140000}"/>
    <cellStyle name="Normal 2 2 2 9 2 2 2 2" xfId="6035" xr:uid="{00000000-0005-0000-0000-0000AF140000}"/>
    <cellStyle name="Normal 2 2 2 9 2 2 2 3" xfId="7263" xr:uid="{00000000-0005-0000-0000-0000B0140000}"/>
    <cellStyle name="Normal 2 2 2 9 2 2 3" xfId="5929" xr:uid="{00000000-0005-0000-0000-0000B1140000}"/>
    <cellStyle name="Normal 2 2 2 9 2 2 4" xfId="7156" xr:uid="{00000000-0005-0000-0000-0000B2140000}"/>
    <cellStyle name="Normal 2 2 2 9 2 3" xfId="5697" xr:uid="{00000000-0005-0000-0000-0000B3140000}"/>
    <cellStyle name="Normal 2 2 2 9 2 4" xfId="6922" xr:uid="{00000000-0005-0000-0000-0000B4140000}"/>
    <cellStyle name="Normal 2 2 2 9 3" xfId="1869" xr:uid="{00000000-0005-0000-0000-0000B5140000}"/>
    <cellStyle name="Normal 2 2 2 9 3 2" xfId="5890" xr:uid="{00000000-0005-0000-0000-0000B6140000}"/>
    <cellStyle name="Normal 2 2 2 9 3 3" xfId="7116" xr:uid="{00000000-0005-0000-0000-0000B7140000}"/>
    <cellStyle name="Normal 2 2 2 9 4" xfId="5494" xr:uid="{00000000-0005-0000-0000-0000B8140000}"/>
    <cellStyle name="Normal 2 2 2 9 5" xfId="6718" xr:uid="{00000000-0005-0000-0000-0000B9140000}"/>
    <cellStyle name="Normal 2 2 20" xfId="1097" xr:uid="{00000000-0005-0000-0000-0000BA140000}"/>
    <cellStyle name="Normal 2 2 3" xfId="527" xr:uid="{00000000-0005-0000-0000-0000BB140000}"/>
    <cellStyle name="Normal 2 2 3 2" xfId="528" xr:uid="{00000000-0005-0000-0000-0000BC140000}"/>
    <cellStyle name="Normal 2 2 3 2 2" xfId="1352" xr:uid="{00000000-0005-0000-0000-0000BD140000}"/>
    <cellStyle name="Normal 2 2 3 2 2 2" xfId="1359" xr:uid="{00000000-0005-0000-0000-0000BE140000}"/>
    <cellStyle name="Normal 2 2 3 2 2 2 2" xfId="5392" xr:uid="{00000000-0005-0000-0000-0000BF140000}"/>
    <cellStyle name="Normal 2 2 3 2 2 2 3" xfId="6611" xr:uid="{00000000-0005-0000-0000-0000C0140000}"/>
    <cellStyle name="Normal 2 2 3 2 2 3" xfId="5386" xr:uid="{00000000-0005-0000-0000-0000C1140000}"/>
    <cellStyle name="Normal 2 2 3 2 2 4" xfId="6604" xr:uid="{00000000-0005-0000-0000-0000C2140000}"/>
    <cellStyle name="Normal 2 2 3 2 3" xfId="1368" xr:uid="{00000000-0005-0000-0000-0000C3140000}"/>
    <cellStyle name="Normal 2 2 3 2 3 2" xfId="5401" xr:uid="{00000000-0005-0000-0000-0000C4140000}"/>
    <cellStyle name="Normal 2 2 3 2 3 3" xfId="6620" xr:uid="{00000000-0005-0000-0000-0000C5140000}"/>
    <cellStyle name="Normal 2 2 3 2 4" xfId="2679" xr:uid="{00000000-0005-0000-0000-0000C6140000}"/>
    <cellStyle name="Normal 2 2 3 2 4 2" xfId="3650" xr:uid="{00000000-0005-0000-0000-0000C7140000}"/>
    <cellStyle name="Normal 2 2 3 2 4 3" xfId="5322" xr:uid="{00000000-0005-0000-0000-0000C8140000}"/>
    <cellStyle name="Normal 2 2 3 2 4 4" xfId="7874" xr:uid="{00000000-0005-0000-0000-0000C9140000}"/>
    <cellStyle name="Normal 2 2 3 2 5" xfId="4161" xr:uid="{00000000-0005-0000-0000-0000CA140000}"/>
    <cellStyle name="Normal 2 2 3 2 6" xfId="6538" xr:uid="{00000000-0005-0000-0000-0000CB140000}"/>
    <cellStyle name="Normal 2 2 3 2 7" xfId="1286" xr:uid="{00000000-0005-0000-0000-0000CC140000}"/>
    <cellStyle name="Normal 2 2 3 3" xfId="529" xr:uid="{00000000-0005-0000-0000-0000CD140000}"/>
    <cellStyle name="Normal 2 2 3 3 2" xfId="1361" xr:uid="{00000000-0005-0000-0000-0000CE140000}"/>
    <cellStyle name="Normal 2 2 3 3 2 2" xfId="5394" xr:uid="{00000000-0005-0000-0000-0000CF140000}"/>
    <cellStyle name="Normal 2 2 3 3 2 3" xfId="6613" xr:uid="{00000000-0005-0000-0000-0000D0140000}"/>
    <cellStyle name="Normal 2 2 3 3 3" xfId="5367" xr:uid="{00000000-0005-0000-0000-0000D1140000}"/>
    <cellStyle name="Normal 2 2 3 3 4" xfId="6583" xr:uid="{00000000-0005-0000-0000-0000D2140000}"/>
    <cellStyle name="Normal 2 2 3 3 5" xfId="1331" xr:uid="{00000000-0005-0000-0000-0000D3140000}"/>
    <cellStyle name="Normal 2 2 3 4" xfId="2301" xr:uid="{00000000-0005-0000-0000-0000D4140000}"/>
    <cellStyle name="Normal 2 2 3 4 2" xfId="3629" xr:uid="{00000000-0005-0000-0000-0000D5140000}"/>
    <cellStyle name="Normal 2 2 3 4 3" xfId="5280" xr:uid="{00000000-0005-0000-0000-0000D6140000}"/>
    <cellStyle name="Normal 2 2 3 4 4" xfId="7532" xr:uid="{00000000-0005-0000-0000-0000D7140000}"/>
    <cellStyle name="Normal 2 2 3 5" xfId="2678" xr:uid="{00000000-0005-0000-0000-0000D8140000}"/>
    <cellStyle name="Normal 2 2 3 6" xfId="4160" xr:uid="{00000000-0005-0000-0000-0000D9140000}"/>
    <cellStyle name="Normal 2 2 3 7" xfId="6495" xr:uid="{00000000-0005-0000-0000-0000DA140000}"/>
    <cellStyle name="Normal 2 2 3 8" xfId="1243" xr:uid="{00000000-0005-0000-0000-0000DB140000}"/>
    <cellStyle name="Normal 2 2 4" xfId="530" xr:uid="{00000000-0005-0000-0000-0000DC140000}"/>
    <cellStyle name="Normal 2 2 4 2" xfId="2302" xr:uid="{00000000-0005-0000-0000-0000DD140000}"/>
    <cellStyle name="Normal 2 2 4 2 2" xfId="3632" xr:uid="{00000000-0005-0000-0000-0000DE140000}"/>
    <cellStyle name="Normal 2 2 4 2 3" xfId="5286" xr:uid="{00000000-0005-0000-0000-0000DF140000}"/>
    <cellStyle name="Normal 2 2 4 2 4" xfId="7533" xr:uid="{00000000-0005-0000-0000-0000E0140000}"/>
    <cellStyle name="Normal 2 2 4 3" xfId="4162" xr:uid="{00000000-0005-0000-0000-0000E1140000}"/>
    <cellStyle name="Normal 2 2 4 4" xfId="6501" xr:uid="{00000000-0005-0000-0000-0000E2140000}"/>
    <cellStyle name="Normal 2 2 4 5" xfId="1249" xr:uid="{00000000-0005-0000-0000-0000E3140000}"/>
    <cellStyle name="Normal 2 2 5" xfId="531" xr:uid="{00000000-0005-0000-0000-0000E4140000}"/>
    <cellStyle name="Normal 2 2 5 2" xfId="2303" xr:uid="{00000000-0005-0000-0000-0000E5140000}"/>
    <cellStyle name="Normal 2 2 5 2 2" xfId="3649" xr:uid="{00000000-0005-0000-0000-0000E6140000}"/>
    <cellStyle name="Normal 2 2 5 2 3" xfId="5321" xr:uid="{00000000-0005-0000-0000-0000E7140000}"/>
    <cellStyle name="Normal 2 2 5 2 4" xfId="7534" xr:uid="{00000000-0005-0000-0000-0000E8140000}"/>
    <cellStyle name="Normal 2 2 5 3" xfId="4163" xr:uid="{00000000-0005-0000-0000-0000E9140000}"/>
    <cellStyle name="Normal 2 2 5 4" xfId="6537" xr:uid="{00000000-0005-0000-0000-0000EA140000}"/>
    <cellStyle name="Normal 2 2 5 5" xfId="1285" xr:uid="{00000000-0005-0000-0000-0000EB140000}"/>
    <cellStyle name="Normal 2 2 6" xfId="532" xr:uid="{00000000-0005-0000-0000-0000EC140000}"/>
    <cellStyle name="Normal 2 2 6 2" xfId="2304" xr:uid="{00000000-0005-0000-0000-0000ED140000}"/>
    <cellStyle name="Normal 2 2 6 2 2" xfId="3631" xr:uid="{00000000-0005-0000-0000-0000EE140000}"/>
    <cellStyle name="Normal 2 2 6 2 3" xfId="5282" xr:uid="{00000000-0005-0000-0000-0000EF140000}"/>
    <cellStyle name="Normal 2 2 6 2 4" xfId="7535" xr:uid="{00000000-0005-0000-0000-0000F0140000}"/>
    <cellStyle name="Normal 2 2 6 3" xfId="4164" xr:uid="{00000000-0005-0000-0000-0000F1140000}"/>
    <cellStyle name="Normal 2 2 6 4" xfId="6497" xr:uid="{00000000-0005-0000-0000-0000F2140000}"/>
    <cellStyle name="Normal 2 2 6 5" xfId="1245" xr:uid="{00000000-0005-0000-0000-0000F3140000}"/>
    <cellStyle name="Normal 2 2 7" xfId="533" xr:uid="{00000000-0005-0000-0000-0000F4140000}"/>
    <cellStyle name="Normal 2 2 7 2" xfId="1335" xr:uid="{00000000-0005-0000-0000-0000F5140000}"/>
    <cellStyle name="Normal 2 2 7 2 2" xfId="5369" xr:uid="{00000000-0005-0000-0000-0000F6140000}"/>
    <cellStyle name="Normal 2 2 7 2 3" xfId="6587" xr:uid="{00000000-0005-0000-0000-0000F7140000}"/>
    <cellStyle name="Normal 2 2 7 3" xfId="2305" xr:uid="{00000000-0005-0000-0000-0000F8140000}"/>
    <cellStyle name="Normal 2 2 7 3 2" xfId="3656" xr:uid="{00000000-0005-0000-0000-0000F9140000}"/>
    <cellStyle name="Normal 2 2 7 3 3" xfId="5330" xr:uid="{00000000-0005-0000-0000-0000FA140000}"/>
    <cellStyle name="Normal 2 2 7 3 4" xfId="7536" xr:uid="{00000000-0005-0000-0000-0000FB140000}"/>
    <cellStyle name="Normal 2 2 7 4" xfId="4165" xr:uid="{00000000-0005-0000-0000-0000FC140000}"/>
    <cellStyle name="Normal 2 2 7 5" xfId="6546" xr:uid="{00000000-0005-0000-0000-0000FD140000}"/>
    <cellStyle name="Normal 2 2 7 6" xfId="1294" xr:uid="{00000000-0005-0000-0000-0000FE140000}"/>
    <cellStyle name="Normal 2 2 8" xfId="534" xr:uid="{00000000-0005-0000-0000-0000FF140000}"/>
    <cellStyle name="Normal 2 2 8 2" xfId="2306" xr:uid="{00000000-0005-0000-0000-000000150000}"/>
    <cellStyle name="Normal 2 2 8 2 2" xfId="3664" xr:uid="{00000000-0005-0000-0000-000001150000}"/>
    <cellStyle name="Normal 2 2 8 2 3" xfId="5368" xr:uid="{00000000-0005-0000-0000-000002150000}"/>
    <cellStyle name="Normal 2 2 8 2 4" xfId="7537" xr:uid="{00000000-0005-0000-0000-000003150000}"/>
    <cellStyle name="Normal 2 2 8 3" xfId="4166" xr:uid="{00000000-0005-0000-0000-000004150000}"/>
    <cellStyle name="Normal 2 2 8 4" xfId="6586" xr:uid="{00000000-0005-0000-0000-000005150000}"/>
    <cellStyle name="Normal 2 2 8 5" xfId="1334" xr:uid="{00000000-0005-0000-0000-000006150000}"/>
    <cellStyle name="Normal 2 2 9" xfId="535" xr:uid="{00000000-0005-0000-0000-000007150000}"/>
    <cellStyle name="Normal 2 2 9 2" xfId="1672" xr:uid="{00000000-0005-0000-0000-000008150000}"/>
    <cellStyle name="Normal 2 2 9 2 2" xfId="1894" xr:uid="{00000000-0005-0000-0000-000009150000}"/>
    <cellStyle name="Normal 2 2 9 2 2 2" xfId="2015" xr:uid="{00000000-0005-0000-0000-00000A150000}"/>
    <cellStyle name="Normal 2 2 9 2 2 2 2" xfId="6034" xr:uid="{00000000-0005-0000-0000-00000B150000}"/>
    <cellStyle name="Normal 2 2 9 2 2 2 3" xfId="7262" xr:uid="{00000000-0005-0000-0000-00000C150000}"/>
    <cellStyle name="Normal 2 2 9 2 2 3" xfId="5914" xr:uid="{00000000-0005-0000-0000-00000D150000}"/>
    <cellStyle name="Normal 2 2 9 2 2 4" xfId="7141" xr:uid="{00000000-0005-0000-0000-00000E150000}"/>
    <cellStyle name="Normal 2 2 9 2 3" xfId="5696" xr:uid="{00000000-0005-0000-0000-00000F150000}"/>
    <cellStyle name="Normal 2 2 9 2 4" xfId="6921" xr:uid="{00000000-0005-0000-0000-000010150000}"/>
    <cellStyle name="Normal 2 2 9 3" xfId="1868" xr:uid="{00000000-0005-0000-0000-000011150000}"/>
    <cellStyle name="Normal 2 2 9 3 2" xfId="5889" xr:uid="{00000000-0005-0000-0000-000012150000}"/>
    <cellStyle name="Normal 2 2 9 3 3" xfId="7115" xr:uid="{00000000-0005-0000-0000-000013150000}"/>
    <cellStyle name="Normal 2 2 9 4" xfId="2307" xr:uid="{00000000-0005-0000-0000-000014150000}"/>
    <cellStyle name="Normal 2 2 9 4 2" xfId="3674" xr:uid="{00000000-0005-0000-0000-000015150000}"/>
    <cellStyle name="Normal 2 2 9 4 3" xfId="5471" xr:uid="{00000000-0005-0000-0000-000016150000}"/>
    <cellStyle name="Normal 2 2 9 4 4" xfId="7538" xr:uid="{00000000-0005-0000-0000-000017150000}"/>
    <cellStyle name="Normal 2 2 9 5" xfId="4167" xr:uid="{00000000-0005-0000-0000-000018150000}"/>
    <cellStyle name="Normal 2 2 9 6" xfId="6694" xr:uid="{00000000-0005-0000-0000-000019150000}"/>
    <cellStyle name="Normal 2 2 9 7" xfId="1442" xr:uid="{00000000-0005-0000-0000-00001A150000}"/>
    <cellStyle name="Normal 2 20" xfId="2308" xr:uid="{00000000-0005-0000-0000-00001B150000}"/>
    <cellStyle name="Normal 2 20 2" xfId="4168" xr:uid="{00000000-0005-0000-0000-00001C150000}"/>
    <cellStyle name="Normal 2 20 3" xfId="7539" xr:uid="{00000000-0005-0000-0000-00001D150000}"/>
    <cellStyle name="Normal 2 21" xfId="536" xr:uid="{00000000-0005-0000-0000-00001E150000}"/>
    <cellStyle name="Normal 2 21 2" xfId="4169" xr:uid="{00000000-0005-0000-0000-00001F150000}"/>
    <cellStyle name="Normal 2 21 3" xfId="7540" xr:uid="{00000000-0005-0000-0000-000020150000}"/>
    <cellStyle name="Normal 2 21 4" xfId="2309" xr:uid="{00000000-0005-0000-0000-000021150000}"/>
    <cellStyle name="Normal 2 22" xfId="2310" xr:uid="{00000000-0005-0000-0000-000022150000}"/>
    <cellStyle name="Normal 2 22 2" xfId="4170" xr:uid="{00000000-0005-0000-0000-000023150000}"/>
    <cellStyle name="Normal 2 22 3" xfId="7541" xr:uid="{00000000-0005-0000-0000-000024150000}"/>
    <cellStyle name="Normal 2 23" xfId="2311" xr:uid="{00000000-0005-0000-0000-000025150000}"/>
    <cellStyle name="Normal 2 23 2" xfId="4171" xr:uid="{00000000-0005-0000-0000-000026150000}"/>
    <cellStyle name="Normal 2 23 3" xfId="7542" xr:uid="{00000000-0005-0000-0000-000027150000}"/>
    <cellStyle name="Normal 2 24" xfId="2312" xr:uid="{00000000-0005-0000-0000-000028150000}"/>
    <cellStyle name="Normal 2 24 2" xfId="4172" xr:uid="{00000000-0005-0000-0000-000029150000}"/>
    <cellStyle name="Normal 2 24 3" xfId="7543" xr:uid="{00000000-0005-0000-0000-00002A150000}"/>
    <cellStyle name="Normal 2 25" xfId="2313" xr:uid="{00000000-0005-0000-0000-00002B150000}"/>
    <cellStyle name="Normal 2 25 2" xfId="4173" xr:uid="{00000000-0005-0000-0000-00002C150000}"/>
    <cellStyle name="Normal 2 25 3" xfId="7544" xr:uid="{00000000-0005-0000-0000-00002D150000}"/>
    <cellStyle name="Normal 2 26" xfId="2314" xr:uid="{00000000-0005-0000-0000-00002E150000}"/>
    <cellStyle name="Normal 2 26 2" xfId="4174" xr:uid="{00000000-0005-0000-0000-00002F150000}"/>
    <cellStyle name="Normal 2 26 3" xfId="7545" xr:uid="{00000000-0005-0000-0000-000030150000}"/>
    <cellStyle name="Normal 2 27" xfId="2315" xr:uid="{00000000-0005-0000-0000-000031150000}"/>
    <cellStyle name="Normal 2 27 2" xfId="4175" xr:uid="{00000000-0005-0000-0000-000032150000}"/>
    <cellStyle name="Normal 2 27 3" xfId="7546" xr:uid="{00000000-0005-0000-0000-000033150000}"/>
    <cellStyle name="Normal 2 28" xfId="2316" xr:uid="{00000000-0005-0000-0000-000034150000}"/>
    <cellStyle name="Normal 2 28 2" xfId="4176" xr:uid="{00000000-0005-0000-0000-000035150000}"/>
    <cellStyle name="Normal 2 28 3" xfId="7547" xr:uid="{00000000-0005-0000-0000-000036150000}"/>
    <cellStyle name="Normal 2 29" xfId="2317" xr:uid="{00000000-0005-0000-0000-000037150000}"/>
    <cellStyle name="Normal 2 29 2" xfId="4177" xr:uid="{00000000-0005-0000-0000-000038150000}"/>
    <cellStyle name="Normal 2 29 3" xfId="7548" xr:uid="{00000000-0005-0000-0000-000039150000}"/>
    <cellStyle name="Normal 2 3" xfId="537" xr:uid="{00000000-0005-0000-0000-00003A150000}"/>
    <cellStyle name="Normal 2 3 2" xfId="538" xr:uid="{00000000-0005-0000-0000-00003B150000}"/>
    <cellStyle name="Normal 2 3 2 2" xfId="2681" xr:uid="{00000000-0005-0000-0000-00003C150000}"/>
    <cellStyle name="Normal 2 3 2 2 2" xfId="4179" xr:uid="{00000000-0005-0000-0000-00003D150000}"/>
    <cellStyle name="Normal 2 3 2 2 3" xfId="7876" xr:uid="{00000000-0005-0000-0000-00003E150000}"/>
    <cellStyle name="Normal 2 3 2 3" xfId="2680" xr:uid="{00000000-0005-0000-0000-00003F150000}"/>
    <cellStyle name="Normal 2 3 2 3 2" xfId="3852" xr:uid="{00000000-0005-0000-0000-000040150000}"/>
    <cellStyle name="Normal 2 3 2 3 3" xfId="6228" xr:uid="{00000000-0005-0000-0000-000041150000}"/>
    <cellStyle name="Normal 2 3 2 3 4" xfId="7875" xr:uid="{00000000-0005-0000-0000-000042150000}"/>
    <cellStyle name="Normal 2 3 2 4" xfId="4178" xr:uid="{00000000-0005-0000-0000-000043150000}"/>
    <cellStyle name="Normal 2 3 2 5" xfId="6462" xr:uid="{00000000-0005-0000-0000-000044150000}"/>
    <cellStyle name="Normal 2 3 2 6" xfId="1210" xr:uid="{00000000-0005-0000-0000-000045150000}"/>
    <cellStyle name="Normal 2 3 3" xfId="539" xr:uid="{00000000-0005-0000-0000-000046150000}"/>
    <cellStyle name="Normal 2 3 3 2" xfId="2682" xr:uid="{00000000-0005-0000-0000-000047150000}"/>
    <cellStyle name="Normal 2 3 3 2 2" xfId="3621" xr:uid="{00000000-0005-0000-0000-000048150000}"/>
    <cellStyle name="Normal 2 3 3 2 3" xfId="5250" xr:uid="{00000000-0005-0000-0000-000049150000}"/>
    <cellStyle name="Normal 2 3 3 2 4" xfId="7877" xr:uid="{00000000-0005-0000-0000-00004A150000}"/>
    <cellStyle name="Normal 2 3 3 3" xfId="4180" xr:uid="{00000000-0005-0000-0000-00004B150000}"/>
    <cellStyle name="Normal 2 3 3 4" xfId="6420" xr:uid="{00000000-0005-0000-0000-00004C150000}"/>
    <cellStyle name="Normal 2 3 3 5" xfId="1166" xr:uid="{00000000-0005-0000-0000-00004D150000}"/>
    <cellStyle name="Normal 2 3 4" xfId="2318" xr:uid="{00000000-0005-0000-0000-00004E150000}"/>
    <cellStyle name="Normal 2 3 4 2" xfId="3772" xr:uid="{00000000-0005-0000-0000-00004F150000}"/>
    <cellStyle name="Normal 2 3 4 3" xfId="6167" xr:uid="{00000000-0005-0000-0000-000050150000}"/>
    <cellStyle name="Normal 2 3 4 4" xfId="7549" xr:uid="{00000000-0005-0000-0000-000051150000}"/>
    <cellStyle name="Normal 2 3 5" xfId="3773" xr:uid="{00000000-0005-0000-0000-000052150000}"/>
    <cellStyle name="Normal 2 3 5 2" xfId="6168" xr:uid="{00000000-0005-0000-0000-000053150000}"/>
    <cellStyle name="Normal 2 3 5 3" xfId="8684" xr:uid="{00000000-0005-0000-0000-000054150000}"/>
    <cellStyle name="Normal 2 3 6" xfId="3868" xr:uid="{00000000-0005-0000-0000-000055150000}"/>
    <cellStyle name="Normal 2 3 7" xfId="4541" xr:uid="{00000000-0005-0000-0000-000056150000}"/>
    <cellStyle name="Normal 2 3 8" xfId="6371" xr:uid="{00000000-0005-0000-0000-000057150000}"/>
    <cellStyle name="Normal 2 3 9" xfId="1099" xr:uid="{00000000-0005-0000-0000-000058150000}"/>
    <cellStyle name="Normal 2 30" xfId="2319" xr:uid="{00000000-0005-0000-0000-000059150000}"/>
    <cellStyle name="Normal 2 30 2" xfId="4181" xr:uid="{00000000-0005-0000-0000-00005A150000}"/>
    <cellStyle name="Normal 2 30 3" xfId="7550" xr:uid="{00000000-0005-0000-0000-00005B150000}"/>
    <cellStyle name="Normal 2 31" xfId="2320" xr:uid="{00000000-0005-0000-0000-00005C150000}"/>
    <cellStyle name="Normal 2 31 2" xfId="4182" xr:uid="{00000000-0005-0000-0000-00005D150000}"/>
    <cellStyle name="Normal 2 31 3" xfId="7551" xr:uid="{00000000-0005-0000-0000-00005E150000}"/>
    <cellStyle name="Normal 2 32" xfId="2321" xr:uid="{00000000-0005-0000-0000-00005F150000}"/>
    <cellStyle name="Normal 2 32 2" xfId="4183" xr:uid="{00000000-0005-0000-0000-000060150000}"/>
    <cellStyle name="Normal 2 32 3" xfId="7552" xr:uid="{00000000-0005-0000-0000-000061150000}"/>
    <cellStyle name="Normal 2 33" xfId="2322" xr:uid="{00000000-0005-0000-0000-000062150000}"/>
    <cellStyle name="Normal 2 33 2" xfId="4184" xr:uid="{00000000-0005-0000-0000-000063150000}"/>
    <cellStyle name="Normal 2 33 3" xfId="7553" xr:uid="{00000000-0005-0000-0000-000064150000}"/>
    <cellStyle name="Normal 2 34" xfId="2323" xr:uid="{00000000-0005-0000-0000-000065150000}"/>
    <cellStyle name="Normal 2 34 2" xfId="4185" xr:uid="{00000000-0005-0000-0000-000066150000}"/>
    <cellStyle name="Normal 2 34 3" xfId="7554" xr:uid="{00000000-0005-0000-0000-000067150000}"/>
    <cellStyle name="Normal 2 35" xfId="2324" xr:uid="{00000000-0005-0000-0000-000068150000}"/>
    <cellStyle name="Normal 2 35 2" xfId="4186" xr:uid="{00000000-0005-0000-0000-000069150000}"/>
    <cellStyle name="Normal 2 35 3" xfId="7555" xr:uid="{00000000-0005-0000-0000-00006A150000}"/>
    <cellStyle name="Normal 2 36" xfId="2325" xr:uid="{00000000-0005-0000-0000-00006B150000}"/>
    <cellStyle name="Normal 2 36 2" xfId="4187" xr:uid="{00000000-0005-0000-0000-00006C150000}"/>
    <cellStyle name="Normal 2 36 3" xfId="7556" xr:uid="{00000000-0005-0000-0000-00006D150000}"/>
    <cellStyle name="Normal 2 37" xfId="2326" xr:uid="{00000000-0005-0000-0000-00006E150000}"/>
    <cellStyle name="Normal 2 37 2" xfId="4188" xr:uid="{00000000-0005-0000-0000-00006F150000}"/>
    <cellStyle name="Normal 2 37 3" xfId="7557" xr:uid="{00000000-0005-0000-0000-000070150000}"/>
    <cellStyle name="Normal 2 38" xfId="2327" xr:uid="{00000000-0005-0000-0000-000071150000}"/>
    <cellStyle name="Normal 2 38 2" xfId="4189" xr:uid="{00000000-0005-0000-0000-000072150000}"/>
    <cellStyle name="Normal 2 38 3" xfId="7558" xr:uid="{00000000-0005-0000-0000-000073150000}"/>
    <cellStyle name="Normal 2 39" xfId="2328" xr:uid="{00000000-0005-0000-0000-000074150000}"/>
    <cellStyle name="Normal 2 39 2" xfId="4190" xr:uid="{00000000-0005-0000-0000-000075150000}"/>
    <cellStyle name="Normal 2 39 3" xfId="7559" xr:uid="{00000000-0005-0000-0000-000076150000}"/>
    <cellStyle name="Normal 2 4" xfId="540" xr:uid="{00000000-0005-0000-0000-000077150000}"/>
    <cellStyle name="Normal 2 4 10" xfId="6372" xr:uid="{00000000-0005-0000-0000-000078150000}"/>
    <cellStyle name="Normal 2 4 11" xfId="1100" xr:uid="{00000000-0005-0000-0000-000079150000}"/>
    <cellStyle name="Normal 2 4 2" xfId="541" xr:uid="{00000000-0005-0000-0000-00007A150000}"/>
    <cellStyle name="Normal 2 4 2 2" xfId="1102" xr:uid="{00000000-0005-0000-0000-00007B150000}"/>
    <cellStyle name="Normal 2 4 2 2 2" xfId="2683" xr:uid="{00000000-0005-0000-0000-00007C150000}"/>
    <cellStyle name="Normal 2 4 2 2 2 2" xfId="2962" xr:uid="{00000000-0005-0000-0000-00007D150000}"/>
    <cellStyle name="Normal 2 4 2 2 2 2 2" xfId="4623" xr:uid="{00000000-0005-0000-0000-00007E150000}"/>
    <cellStyle name="Normal 2 4 2 2 2 2 3" xfId="8018" xr:uid="{00000000-0005-0000-0000-00007F150000}"/>
    <cellStyle name="Normal 2 4 2 2 2 3" xfId="3061" xr:uid="{00000000-0005-0000-0000-000080150000}"/>
    <cellStyle name="Normal 2 4 2 2 2 3 2" xfId="4706" xr:uid="{00000000-0005-0000-0000-000081150000}"/>
    <cellStyle name="Normal 2 4 2 2 2 3 3" xfId="8117" xr:uid="{00000000-0005-0000-0000-000082150000}"/>
    <cellStyle name="Normal 2 4 2 2 2 4" xfId="3745" xr:uid="{00000000-0005-0000-0000-000083150000}"/>
    <cellStyle name="Normal 2 4 2 2 2 4 2" xfId="6143" xr:uid="{00000000-0005-0000-0000-000084150000}"/>
    <cellStyle name="Normal 2 4 2 2 2 4 3" xfId="8659" xr:uid="{00000000-0005-0000-0000-000085150000}"/>
    <cellStyle name="Normal 2 4 2 2 2 5" xfId="2866" xr:uid="{00000000-0005-0000-0000-000086150000}"/>
    <cellStyle name="Normal 2 4 2 2 2 6" xfId="4193" xr:uid="{00000000-0005-0000-0000-000087150000}"/>
    <cellStyle name="Normal 2 4 2 2 2 7" xfId="7878" xr:uid="{00000000-0005-0000-0000-000088150000}"/>
    <cellStyle name="Normal 2 4 2 2 3" xfId="4192" xr:uid="{00000000-0005-0000-0000-000089150000}"/>
    <cellStyle name="Normal 2 4 2 2 4" xfId="6374" xr:uid="{00000000-0005-0000-0000-00008A150000}"/>
    <cellStyle name="Normal 2 4 2 3" xfId="1103" xr:uid="{00000000-0005-0000-0000-00008B150000}"/>
    <cellStyle name="Normal 2 4 2 3 2" xfId="2684" xr:uid="{00000000-0005-0000-0000-00008C150000}"/>
    <cellStyle name="Normal 2 4 2 3 2 2" xfId="4195" xr:uid="{00000000-0005-0000-0000-00008D150000}"/>
    <cellStyle name="Normal 2 4 2 3 2 3" xfId="7879" xr:uid="{00000000-0005-0000-0000-00008E150000}"/>
    <cellStyle name="Normal 2 4 2 3 3" xfId="4194" xr:uid="{00000000-0005-0000-0000-00008F150000}"/>
    <cellStyle name="Normal 2 4 2 3 4" xfId="6375" xr:uid="{00000000-0005-0000-0000-000090150000}"/>
    <cellStyle name="Normal 2 4 2 4" xfId="2685" xr:uid="{00000000-0005-0000-0000-000091150000}"/>
    <cellStyle name="Normal 2 4 2 4 2" xfId="2963" xr:uid="{00000000-0005-0000-0000-000092150000}"/>
    <cellStyle name="Normal 2 4 2 4 2 2" xfId="4624" xr:uid="{00000000-0005-0000-0000-000093150000}"/>
    <cellStyle name="Normal 2 4 2 4 2 3" xfId="8019" xr:uid="{00000000-0005-0000-0000-000094150000}"/>
    <cellStyle name="Normal 2 4 2 4 3" xfId="3062" xr:uid="{00000000-0005-0000-0000-000095150000}"/>
    <cellStyle name="Normal 2 4 2 4 3 2" xfId="4707" xr:uid="{00000000-0005-0000-0000-000096150000}"/>
    <cellStyle name="Normal 2 4 2 4 3 3" xfId="8118" xr:uid="{00000000-0005-0000-0000-000097150000}"/>
    <cellStyle name="Normal 2 4 2 4 4" xfId="3802" xr:uid="{00000000-0005-0000-0000-000098150000}"/>
    <cellStyle name="Normal 2 4 2 4 4 2" xfId="6192" xr:uid="{00000000-0005-0000-0000-000099150000}"/>
    <cellStyle name="Normal 2 4 2 4 4 3" xfId="8713" xr:uid="{00000000-0005-0000-0000-00009A150000}"/>
    <cellStyle name="Normal 2 4 2 4 5" xfId="2867" xr:uid="{00000000-0005-0000-0000-00009B150000}"/>
    <cellStyle name="Normal 2 4 2 4 6" xfId="4196" xr:uid="{00000000-0005-0000-0000-00009C150000}"/>
    <cellStyle name="Normal 2 4 2 4 7" xfId="7880" xr:uid="{00000000-0005-0000-0000-00009D150000}"/>
    <cellStyle name="Normal 2 4 2 5" xfId="3372" xr:uid="{00000000-0005-0000-0000-00009E150000}"/>
    <cellStyle name="Normal 2 4 2 5 2" xfId="5004" xr:uid="{00000000-0005-0000-0000-00009F150000}"/>
    <cellStyle name="Normal 2 4 2 5 3" xfId="8405" xr:uid="{00000000-0005-0000-0000-0000A0150000}"/>
    <cellStyle name="Normal 2 4 2 6" xfId="4191" xr:uid="{00000000-0005-0000-0000-0000A1150000}"/>
    <cellStyle name="Normal 2 4 2 7" xfId="6373" xr:uid="{00000000-0005-0000-0000-0000A2150000}"/>
    <cellStyle name="Normal 2 4 2 8" xfId="1101" xr:uid="{00000000-0005-0000-0000-0000A3150000}"/>
    <cellStyle name="Normal 2 4 3" xfId="542" xr:uid="{00000000-0005-0000-0000-0000A4150000}"/>
    <cellStyle name="Normal 2 4 3 2" xfId="1105" xr:uid="{00000000-0005-0000-0000-0000A5150000}"/>
    <cellStyle name="Normal 2 4 3 2 2" xfId="4198" xr:uid="{00000000-0005-0000-0000-0000A6150000}"/>
    <cellStyle name="Normal 2 4 3 2 3" xfId="6377" xr:uid="{00000000-0005-0000-0000-0000A7150000}"/>
    <cellStyle name="Normal 2 4 3 3" xfId="1106" xr:uid="{00000000-0005-0000-0000-0000A8150000}"/>
    <cellStyle name="Normal 2 4 3 3 2" xfId="4199" xr:uid="{00000000-0005-0000-0000-0000A9150000}"/>
    <cellStyle name="Normal 2 4 3 3 3" xfId="6378" xr:uid="{00000000-0005-0000-0000-0000AA150000}"/>
    <cellStyle name="Normal 2 4 3 4" xfId="1107" xr:uid="{00000000-0005-0000-0000-0000AB150000}"/>
    <cellStyle name="Normal 2 4 3 4 2" xfId="1108" xr:uid="{00000000-0005-0000-0000-0000AC150000}"/>
    <cellStyle name="Normal 2 4 3 4 2 2" xfId="2686" xr:uid="{00000000-0005-0000-0000-0000AD150000}"/>
    <cellStyle name="Normal 2 4 3 4 2 2 2" xfId="4202" xr:uid="{00000000-0005-0000-0000-0000AE150000}"/>
    <cellStyle name="Normal 2 4 3 4 2 2 3" xfId="7881" xr:uid="{00000000-0005-0000-0000-0000AF150000}"/>
    <cellStyle name="Normal 2 4 3 4 2 3" xfId="4201" xr:uid="{00000000-0005-0000-0000-0000B0150000}"/>
    <cellStyle name="Normal 2 4 3 4 2 4" xfId="6380" xr:uid="{00000000-0005-0000-0000-0000B1150000}"/>
    <cellStyle name="Normal 2 4 3 4 3" xfId="1109" xr:uid="{00000000-0005-0000-0000-0000B2150000}"/>
    <cellStyle name="Normal 2 4 3 4 3 2" xfId="4203" xr:uid="{00000000-0005-0000-0000-0000B3150000}"/>
    <cellStyle name="Normal 2 4 3 4 3 3" xfId="6381" xr:uid="{00000000-0005-0000-0000-0000B4150000}"/>
    <cellStyle name="Normal 2 4 3 4 4" xfId="4200" xr:uid="{00000000-0005-0000-0000-0000B5150000}"/>
    <cellStyle name="Normal 2 4 3 4 5" xfId="6379" xr:uid="{00000000-0005-0000-0000-0000B6150000}"/>
    <cellStyle name="Normal 2 4 3 5" xfId="2687" xr:uid="{00000000-0005-0000-0000-0000B7150000}"/>
    <cellStyle name="Normal 2 4 3 5 2" xfId="2961" xr:uid="{00000000-0005-0000-0000-0000B8150000}"/>
    <cellStyle name="Normal 2 4 3 5 2 2" xfId="4622" xr:uid="{00000000-0005-0000-0000-0000B9150000}"/>
    <cellStyle name="Normal 2 4 3 5 2 3" xfId="8017" xr:uid="{00000000-0005-0000-0000-0000BA150000}"/>
    <cellStyle name="Normal 2 4 3 5 3" xfId="3060" xr:uid="{00000000-0005-0000-0000-0000BB150000}"/>
    <cellStyle name="Normal 2 4 3 5 3 2" xfId="4705" xr:uid="{00000000-0005-0000-0000-0000BC150000}"/>
    <cellStyle name="Normal 2 4 3 5 3 3" xfId="8116" xr:uid="{00000000-0005-0000-0000-0000BD150000}"/>
    <cellStyle name="Normal 2 4 3 5 4" xfId="3832" xr:uid="{00000000-0005-0000-0000-0000BE150000}"/>
    <cellStyle name="Normal 2 4 3 5 4 2" xfId="6213" xr:uid="{00000000-0005-0000-0000-0000BF150000}"/>
    <cellStyle name="Normal 2 4 3 5 4 3" xfId="8743" xr:uid="{00000000-0005-0000-0000-0000C0150000}"/>
    <cellStyle name="Normal 2 4 3 5 5" xfId="2865" xr:uid="{00000000-0005-0000-0000-0000C1150000}"/>
    <cellStyle name="Normal 2 4 3 5 6" xfId="4204" xr:uid="{00000000-0005-0000-0000-0000C2150000}"/>
    <cellStyle name="Normal 2 4 3 5 7" xfId="7882" xr:uid="{00000000-0005-0000-0000-0000C3150000}"/>
    <cellStyle name="Normal 2 4 3 6" xfId="3620" xr:uid="{00000000-0005-0000-0000-0000C4150000}"/>
    <cellStyle name="Normal 2 4 3 6 2" xfId="5249" xr:uid="{00000000-0005-0000-0000-0000C5150000}"/>
    <cellStyle name="Normal 2 4 3 6 3" xfId="8593" xr:uid="{00000000-0005-0000-0000-0000C6150000}"/>
    <cellStyle name="Normal 2 4 3 7" xfId="4197" xr:uid="{00000000-0005-0000-0000-0000C7150000}"/>
    <cellStyle name="Normal 2 4 3 8" xfId="6376" xr:uid="{00000000-0005-0000-0000-0000C8150000}"/>
    <cellStyle name="Normal 2 4 3 9" xfId="1104" xr:uid="{00000000-0005-0000-0000-0000C9150000}"/>
    <cellStyle name="Normal 2 4 4" xfId="1110" xr:uid="{00000000-0005-0000-0000-0000CA150000}"/>
    <cellStyle name="Normal 2 4 4 2" xfId="1111" xr:uid="{00000000-0005-0000-0000-0000CB150000}"/>
    <cellStyle name="Normal 2 4 4 2 2" xfId="4206" xr:uid="{00000000-0005-0000-0000-0000CC150000}"/>
    <cellStyle name="Normal 2 4 4 2 3" xfId="6383" xr:uid="{00000000-0005-0000-0000-0000CD150000}"/>
    <cellStyle name="Normal 2 4 4 3" xfId="1112" xr:uid="{00000000-0005-0000-0000-0000CE150000}"/>
    <cellStyle name="Normal 2 4 4 3 2" xfId="2688" xr:uid="{00000000-0005-0000-0000-0000CF150000}"/>
    <cellStyle name="Normal 2 4 4 3 2 2" xfId="4208" xr:uid="{00000000-0005-0000-0000-0000D0150000}"/>
    <cellStyle name="Normal 2 4 4 3 2 3" xfId="7883" xr:uid="{00000000-0005-0000-0000-0000D1150000}"/>
    <cellStyle name="Normal 2 4 4 3 3" xfId="4207" xr:uid="{00000000-0005-0000-0000-0000D2150000}"/>
    <cellStyle name="Normal 2 4 4 3 4" xfId="6384" xr:uid="{00000000-0005-0000-0000-0000D3150000}"/>
    <cellStyle name="Normal 2 4 4 4" xfId="4205" xr:uid="{00000000-0005-0000-0000-0000D4150000}"/>
    <cellStyle name="Normal 2 4 4 5" xfId="6382" xr:uid="{00000000-0005-0000-0000-0000D5150000}"/>
    <cellStyle name="Normal 2 4 5" xfId="1113" xr:uid="{00000000-0005-0000-0000-0000D6150000}"/>
    <cellStyle name="Normal 2 4 5 2" xfId="2689" xr:uid="{00000000-0005-0000-0000-0000D7150000}"/>
    <cellStyle name="Normal 2 4 5 2 2" xfId="4210" xr:uid="{00000000-0005-0000-0000-0000D8150000}"/>
    <cellStyle name="Normal 2 4 5 2 3" xfId="7884" xr:uid="{00000000-0005-0000-0000-0000D9150000}"/>
    <cellStyle name="Normal 2 4 5 3" xfId="4209" xr:uid="{00000000-0005-0000-0000-0000DA150000}"/>
    <cellStyle name="Normal 2 4 5 4" xfId="6385" xr:uid="{00000000-0005-0000-0000-0000DB150000}"/>
    <cellStyle name="Normal 2 4 6" xfId="1209" xr:uid="{00000000-0005-0000-0000-0000DC150000}"/>
    <cellStyle name="Normal 2 4 6 2" xfId="2690" xr:uid="{00000000-0005-0000-0000-0000DD150000}"/>
    <cellStyle name="Normal 2 4 6 3" xfId="4211" xr:uid="{00000000-0005-0000-0000-0000DE150000}"/>
    <cellStyle name="Normal 2 4 6 4" xfId="6461" xr:uid="{00000000-0005-0000-0000-0000DF150000}"/>
    <cellStyle name="Normal 2 4 7" xfId="2329" xr:uid="{00000000-0005-0000-0000-0000E0150000}"/>
    <cellStyle name="Normal 2 4 7 2" xfId="2691" xr:uid="{00000000-0005-0000-0000-0000E1150000}"/>
    <cellStyle name="Normal 2 4 7 2 2" xfId="4625" xr:uid="{00000000-0005-0000-0000-0000E2150000}"/>
    <cellStyle name="Normal 2 4 7 2 3" xfId="7885" xr:uid="{00000000-0005-0000-0000-0000E3150000}"/>
    <cellStyle name="Normal 2 4 7 3" xfId="3063" xr:uid="{00000000-0005-0000-0000-0000E4150000}"/>
    <cellStyle name="Normal 2 4 7 3 2" xfId="4708" xr:uid="{00000000-0005-0000-0000-0000E5150000}"/>
    <cellStyle name="Normal 2 4 7 3 3" xfId="8119" xr:uid="{00000000-0005-0000-0000-0000E6150000}"/>
    <cellStyle name="Normal 2 4 7 4" xfId="3770" xr:uid="{00000000-0005-0000-0000-0000E7150000}"/>
    <cellStyle name="Normal 2 4 7 4 2" xfId="6165" xr:uid="{00000000-0005-0000-0000-0000E8150000}"/>
    <cellStyle name="Normal 2 4 7 4 3" xfId="8682" xr:uid="{00000000-0005-0000-0000-0000E9150000}"/>
    <cellStyle name="Normal 2 4 7 5" xfId="2868" xr:uid="{00000000-0005-0000-0000-0000EA150000}"/>
    <cellStyle name="Normal 2 4 7 6" xfId="4212" xr:uid="{00000000-0005-0000-0000-0000EB150000}"/>
    <cellStyle name="Normal 2 4 7 7" xfId="7560" xr:uid="{00000000-0005-0000-0000-0000EC150000}"/>
    <cellStyle name="Normal 2 4 8" xfId="3827" xr:uid="{00000000-0005-0000-0000-0000ED150000}"/>
    <cellStyle name="Normal 2 4 8 2" xfId="6210" xr:uid="{00000000-0005-0000-0000-0000EE150000}"/>
    <cellStyle name="Normal 2 4 8 3" xfId="8738" xr:uid="{00000000-0005-0000-0000-0000EF150000}"/>
    <cellStyle name="Normal 2 4 9" xfId="3869" xr:uid="{00000000-0005-0000-0000-0000F0150000}"/>
    <cellStyle name="Normal 2 4_Folha2" xfId="1114" xr:uid="{00000000-0005-0000-0000-0000F1150000}"/>
    <cellStyle name="Normal 2 40" xfId="2330" xr:uid="{00000000-0005-0000-0000-0000F2150000}"/>
    <cellStyle name="Normal 2 40 2" xfId="4213" xr:uid="{00000000-0005-0000-0000-0000F3150000}"/>
    <cellStyle name="Normal 2 40 3" xfId="7561" xr:uid="{00000000-0005-0000-0000-0000F4150000}"/>
    <cellStyle name="Normal 2 41" xfId="2331" xr:uid="{00000000-0005-0000-0000-0000F5150000}"/>
    <cellStyle name="Normal 2 41 2" xfId="4214" xr:uid="{00000000-0005-0000-0000-0000F6150000}"/>
    <cellStyle name="Normal 2 41 3" xfId="7562" xr:uid="{00000000-0005-0000-0000-0000F7150000}"/>
    <cellStyle name="Normal 2 42" xfId="2332" xr:uid="{00000000-0005-0000-0000-0000F8150000}"/>
    <cellStyle name="Normal 2 42 2" xfId="4215" xr:uid="{00000000-0005-0000-0000-0000F9150000}"/>
    <cellStyle name="Normal 2 42 3" xfId="7563" xr:uid="{00000000-0005-0000-0000-0000FA150000}"/>
    <cellStyle name="Normal 2 43" xfId="2333" xr:uid="{00000000-0005-0000-0000-0000FB150000}"/>
    <cellStyle name="Normal 2 43 2" xfId="4216" xr:uid="{00000000-0005-0000-0000-0000FC150000}"/>
    <cellStyle name="Normal 2 43 3" xfId="7564" xr:uid="{00000000-0005-0000-0000-0000FD150000}"/>
    <cellStyle name="Normal 2 44" xfId="2334" xr:uid="{00000000-0005-0000-0000-0000FE150000}"/>
    <cellStyle name="Normal 2 44 2" xfId="4217" xr:uid="{00000000-0005-0000-0000-0000FF150000}"/>
    <cellStyle name="Normal 2 44 3" xfId="7565" xr:uid="{00000000-0005-0000-0000-000000160000}"/>
    <cellStyle name="Normal 2 45" xfId="2335" xr:uid="{00000000-0005-0000-0000-000001160000}"/>
    <cellStyle name="Normal 2 45 2" xfId="4218" xr:uid="{00000000-0005-0000-0000-000002160000}"/>
    <cellStyle name="Normal 2 45 3" xfId="7566" xr:uid="{00000000-0005-0000-0000-000003160000}"/>
    <cellStyle name="Normal 2 46" xfId="2336" xr:uid="{00000000-0005-0000-0000-000004160000}"/>
    <cellStyle name="Normal 2 46 2" xfId="4219" xr:uid="{00000000-0005-0000-0000-000005160000}"/>
    <cellStyle name="Normal 2 46 3" xfId="7567" xr:uid="{00000000-0005-0000-0000-000006160000}"/>
    <cellStyle name="Normal 2 47" xfId="2337" xr:uid="{00000000-0005-0000-0000-000007160000}"/>
    <cellStyle name="Normal 2 47 2" xfId="4220" xr:uid="{00000000-0005-0000-0000-000008160000}"/>
    <cellStyle name="Normal 2 47 3" xfId="7568" xr:uid="{00000000-0005-0000-0000-000009160000}"/>
    <cellStyle name="Normal 2 48" xfId="2338" xr:uid="{00000000-0005-0000-0000-00000A160000}"/>
    <cellStyle name="Normal 2 48 2" xfId="4221" xr:uid="{00000000-0005-0000-0000-00000B160000}"/>
    <cellStyle name="Normal 2 48 3" xfId="7569" xr:uid="{00000000-0005-0000-0000-00000C160000}"/>
    <cellStyle name="Normal 2 49" xfId="2339" xr:uid="{00000000-0005-0000-0000-00000D160000}"/>
    <cellStyle name="Normal 2 49 2" xfId="4222" xr:uid="{00000000-0005-0000-0000-00000E160000}"/>
    <cellStyle name="Normal 2 49 3" xfId="7570" xr:uid="{00000000-0005-0000-0000-00000F160000}"/>
    <cellStyle name="Normal 2 5" xfId="543" xr:uid="{00000000-0005-0000-0000-000010160000}"/>
    <cellStyle name="Normal 2 5 2" xfId="544" xr:uid="{00000000-0005-0000-0000-000011160000}"/>
    <cellStyle name="Normal 2 5 2 2" xfId="3622" xr:uid="{00000000-0005-0000-0000-000012160000}"/>
    <cellStyle name="Normal 2 5 2 3" xfId="5251" xr:uid="{00000000-0005-0000-0000-000013160000}"/>
    <cellStyle name="Normal 2 5 2 4" xfId="7571" xr:uid="{00000000-0005-0000-0000-000014160000}"/>
    <cellStyle name="Normal 2 5 2 5" xfId="2340" xr:uid="{00000000-0005-0000-0000-000015160000}"/>
    <cellStyle name="Normal 2 5 3" xfId="3870" xr:uid="{00000000-0005-0000-0000-000016160000}"/>
    <cellStyle name="Normal 2 5 4" xfId="6464" xr:uid="{00000000-0005-0000-0000-000017160000}"/>
    <cellStyle name="Normal 2 5 5" xfId="1212" xr:uid="{00000000-0005-0000-0000-000018160000}"/>
    <cellStyle name="Normal 2 50" xfId="2341" xr:uid="{00000000-0005-0000-0000-000019160000}"/>
    <cellStyle name="Normal 2 50 2" xfId="4223" xr:uid="{00000000-0005-0000-0000-00001A160000}"/>
    <cellStyle name="Normal 2 50 3" xfId="7572" xr:uid="{00000000-0005-0000-0000-00001B160000}"/>
    <cellStyle name="Normal 2 51" xfId="2342" xr:uid="{00000000-0005-0000-0000-00001C160000}"/>
    <cellStyle name="Normal 2 51 2" xfId="4224" xr:uid="{00000000-0005-0000-0000-00001D160000}"/>
    <cellStyle name="Normal 2 51 3" xfId="7573" xr:uid="{00000000-0005-0000-0000-00001E160000}"/>
    <cellStyle name="Normal 2 52" xfId="2343" xr:uid="{00000000-0005-0000-0000-00001F160000}"/>
    <cellStyle name="Normal 2 52 2" xfId="4225" xr:uid="{00000000-0005-0000-0000-000020160000}"/>
    <cellStyle name="Normal 2 52 3" xfId="7574" xr:uid="{00000000-0005-0000-0000-000021160000}"/>
    <cellStyle name="Normal 2 53" xfId="2344" xr:uid="{00000000-0005-0000-0000-000022160000}"/>
    <cellStyle name="Normal 2 53 2" xfId="4226" xr:uid="{00000000-0005-0000-0000-000023160000}"/>
    <cellStyle name="Normal 2 53 3" xfId="7575" xr:uid="{00000000-0005-0000-0000-000024160000}"/>
    <cellStyle name="Normal 2 54" xfId="2345" xr:uid="{00000000-0005-0000-0000-000025160000}"/>
    <cellStyle name="Normal 2 54 2" xfId="4227" xr:uid="{00000000-0005-0000-0000-000026160000}"/>
    <cellStyle name="Normal 2 54 3" xfId="7576" xr:uid="{00000000-0005-0000-0000-000027160000}"/>
    <cellStyle name="Normal 2 55" xfId="2346" xr:uid="{00000000-0005-0000-0000-000028160000}"/>
    <cellStyle name="Normal 2 55 2" xfId="4228" xr:uid="{00000000-0005-0000-0000-000029160000}"/>
    <cellStyle name="Normal 2 55 3" xfId="7577" xr:uid="{00000000-0005-0000-0000-00002A160000}"/>
    <cellStyle name="Normal 2 56" xfId="2347" xr:uid="{00000000-0005-0000-0000-00002B160000}"/>
    <cellStyle name="Normal 2 56 2" xfId="4229" xr:uid="{00000000-0005-0000-0000-00002C160000}"/>
    <cellStyle name="Normal 2 56 3" xfId="7578" xr:uid="{00000000-0005-0000-0000-00002D160000}"/>
    <cellStyle name="Normal 2 57" xfId="2348" xr:uid="{00000000-0005-0000-0000-00002E160000}"/>
    <cellStyle name="Normal 2 57 2" xfId="4230" xr:uid="{00000000-0005-0000-0000-00002F160000}"/>
    <cellStyle name="Normal 2 57 3" xfId="7579" xr:uid="{00000000-0005-0000-0000-000030160000}"/>
    <cellStyle name="Normal 2 58" xfId="2349" xr:uid="{00000000-0005-0000-0000-000031160000}"/>
    <cellStyle name="Normal 2 58 2" xfId="4231" xr:uid="{00000000-0005-0000-0000-000032160000}"/>
    <cellStyle name="Normal 2 58 3" xfId="7580" xr:uid="{00000000-0005-0000-0000-000033160000}"/>
    <cellStyle name="Normal 2 59" xfId="2350" xr:uid="{00000000-0005-0000-0000-000034160000}"/>
    <cellStyle name="Normal 2 59 2" xfId="4232" xr:uid="{00000000-0005-0000-0000-000035160000}"/>
    <cellStyle name="Normal 2 59 3" xfId="7581" xr:uid="{00000000-0005-0000-0000-000036160000}"/>
    <cellStyle name="Normal 2 6" xfId="545" xr:uid="{00000000-0005-0000-0000-000037160000}"/>
    <cellStyle name="Normal 2 6 2" xfId="546" xr:uid="{00000000-0005-0000-0000-000038160000}"/>
    <cellStyle name="Normal 2 6 2 2" xfId="3619" xr:uid="{00000000-0005-0000-0000-000039160000}"/>
    <cellStyle name="Normal 2 6 2 3" xfId="5248" xr:uid="{00000000-0005-0000-0000-00003A160000}"/>
    <cellStyle name="Normal 2 6 2 4" xfId="7582" xr:uid="{00000000-0005-0000-0000-00003B160000}"/>
    <cellStyle name="Normal 2 6 2 5" xfId="2351" xr:uid="{00000000-0005-0000-0000-00003C160000}"/>
    <cellStyle name="Normal 2 6 3" xfId="3871" xr:uid="{00000000-0005-0000-0000-00003D160000}"/>
    <cellStyle name="Normal 2 6 4" xfId="6459" xr:uid="{00000000-0005-0000-0000-00003E160000}"/>
    <cellStyle name="Normal 2 6 5" xfId="1207" xr:uid="{00000000-0005-0000-0000-00003F160000}"/>
    <cellStyle name="Normal 2 60" xfId="2352" xr:uid="{00000000-0005-0000-0000-000040160000}"/>
    <cellStyle name="Normal 2 60 2" xfId="4233" xr:uid="{00000000-0005-0000-0000-000041160000}"/>
    <cellStyle name="Normal 2 60 3" xfId="7583" xr:uid="{00000000-0005-0000-0000-000042160000}"/>
    <cellStyle name="Normal 2 61" xfId="2353" xr:uid="{00000000-0005-0000-0000-000043160000}"/>
    <cellStyle name="Normal 2 61 2" xfId="4234" xr:uid="{00000000-0005-0000-0000-000044160000}"/>
    <cellStyle name="Normal 2 61 3" xfId="7584" xr:uid="{00000000-0005-0000-0000-000045160000}"/>
    <cellStyle name="Normal 2 62" xfId="2354" xr:uid="{00000000-0005-0000-0000-000046160000}"/>
    <cellStyle name="Normal 2 62 2" xfId="4235" xr:uid="{00000000-0005-0000-0000-000047160000}"/>
    <cellStyle name="Normal 2 62 3" xfId="7585" xr:uid="{00000000-0005-0000-0000-000048160000}"/>
    <cellStyle name="Normal 2 63" xfId="2355" xr:uid="{00000000-0005-0000-0000-000049160000}"/>
    <cellStyle name="Normal 2 63 2" xfId="4236" xr:uid="{00000000-0005-0000-0000-00004A160000}"/>
    <cellStyle name="Normal 2 63 3" xfId="7586" xr:uid="{00000000-0005-0000-0000-00004B160000}"/>
    <cellStyle name="Normal 2 64" xfId="2356" xr:uid="{00000000-0005-0000-0000-00004C160000}"/>
    <cellStyle name="Normal 2 64 2" xfId="4237" xr:uid="{00000000-0005-0000-0000-00004D160000}"/>
    <cellStyle name="Normal 2 64 3" xfId="7587" xr:uid="{00000000-0005-0000-0000-00004E160000}"/>
    <cellStyle name="Normal 2 65" xfId="2357" xr:uid="{00000000-0005-0000-0000-00004F160000}"/>
    <cellStyle name="Normal 2 65 2" xfId="4238" xr:uid="{00000000-0005-0000-0000-000050160000}"/>
    <cellStyle name="Normal 2 65 3" xfId="7588" xr:uid="{00000000-0005-0000-0000-000051160000}"/>
    <cellStyle name="Normal 2 66" xfId="2358" xr:uid="{00000000-0005-0000-0000-000052160000}"/>
    <cellStyle name="Normal 2 66 2" xfId="4239" xr:uid="{00000000-0005-0000-0000-000053160000}"/>
    <cellStyle name="Normal 2 66 3" xfId="7589" xr:uid="{00000000-0005-0000-0000-000054160000}"/>
    <cellStyle name="Normal 2 67" xfId="2359" xr:uid="{00000000-0005-0000-0000-000055160000}"/>
    <cellStyle name="Normal 2 67 2" xfId="4240" xr:uid="{00000000-0005-0000-0000-000056160000}"/>
    <cellStyle name="Normal 2 67 3" xfId="7590" xr:uid="{00000000-0005-0000-0000-000057160000}"/>
    <cellStyle name="Normal 2 68" xfId="2360" xr:uid="{00000000-0005-0000-0000-000058160000}"/>
    <cellStyle name="Normal 2 68 2" xfId="4241" xr:uid="{00000000-0005-0000-0000-000059160000}"/>
    <cellStyle name="Normal 2 68 3" xfId="7591" xr:uid="{00000000-0005-0000-0000-00005A160000}"/>
    <cellStyle name="Normal 2 69" xfId="2361" xr:uid="{00000000-0005-0000-0000-00005B160000}"/>
    <cellStyle name="Normal 2 69 2" xfId="4242" xr:uid="{00000000-0005-0000-0000-00005C160000}"/>
    <cellStyle name="Normal 2 69 3" xfId="7592" xr:uid="{00000000-0005-0000-0000-00005D160000}"/>
    <cellStyle name="Normal 2 7" xfId="547" xr:uid="{00000000-0005-0000-0000-00005E160000}"/>
    <cellStyle name="Normal 2 7 2" xfId="548" xr:uid="{00000000-0005-0000-0000-00005F160000}"/>
    <cellStyle name="Normal 2 7 2 2" xfId="1351" xr:uid="{00000000-0005-0000-0000-000060160000}"/>
    <cellStyle name="Normal 2 7 2 2 2" xfId="1353" xr:uid="{00000000-0005-0000-0000-000061160000}"/>
    <cellStyle name="Normal 2 7 2 2 2 2" xfId="5387" xr:uid="{00000000-0005-0000-0000-000062160000}"/>
    <cellStyle name="Normal 2 7 2 2 2 3" xfId="6605" xr:uid="{00000000-0005-0000-0000-000063160000}"/>
    <cellStyle name="Normal 2 7 2 2 3" xfId="1619" xr:uid="{00000000-0005-0000-0000-000064160000}"/>
    <cellStyle name="Normal 2 7 2 2 3 2" xfId="5645" xr:uid="{00000000-0005-0000-0000-000065160000}"/>
    <cellStyle name="Normal 2 7 2 2 3 3" xfId="6870" xr:uid="{00000000-0005-0000-0000-000066160000}"/>
    <cellStyle name="Normal 2 7 2 2 4" xfId="1820" xr:uid="{00000000-0005-0000-0000-000067160000}"/>
    <cellStyle name="Normal 2 7 2 2 4 2" xfId="5841" xr:uid="{00000000-0005-0000-0000-000068160000}"/>
    <cellStyle name="Normal 2 7 2 2 4 3" xfId="7067" xr:uid="{00000000-0005-0000-0000-000069160000}"/>
    <cellStyle name="Normal 2 7 2 2 5" xfId="1974" xr:uid="{00000000-0005-0000-0000-00006A160000}"/>
    <cellStyle name="Normal 2 7 2 2 5 2" xfId="5993" xr:uid="{00000000-0005-0000-0000-00006B160000}"/>
    <cellStyle name="Normal 2 7 2 2 5 3" xfId="7221" xr:uid="{00000000-0005-0000-0000-00006C160000}"/>
    <cellStyle name="Normal 2 7 2 2 6" xfId="5385" xr:uid="{00000000-0005-0000-0000-00006D160000}"/>
    <cellStyle name="Normal 2 7 2 2 7" xfId="6603" xr:uid="{00000000-0005-0000-0000-00006E160000}"/>
    <cellStyle name="Normal 2 7 2 3" xfId="1362" xr:uid="{00000000-0005-0000-0000-00006F160000}"/>
    <cellStyle name="Normal 2 7 2 3 2" xfId="5395" xr:uid="{00000000-0005-0000-0000-000070160000}"/>
    <cellStyle name="Normal 2 7 2 3 3" xfId="6614" xr:uid="{00000000-0005-0000-0000-000071160000}"/>
    <cellStyle name="Normal 2 7 2 4" xfId="5283" xr:uid="{00000000-0005-0000-0000-000072160000}"/>
    <cellStyle name="Normal 2 7 2 5" xfId="6498" xr:uid="{00000000-0005-0000-0000-000073160000}"/>
    <cellStyle name="Normal 2 7 2 6" xfId="1246" xr:uid="{00000000-0005-0000-0000-000074160000}"/>
    <cellStyle name="Normal 2 7 3" xfId="1296" xr:uid="{00000000-0005-0000-0000-000075160000}"/>
    <cellStyle name="Normal 2 7 3 2" xfId="1360" xr:uid="{00000000-0005-0000-0000-000076160000}"/>
    <cellStyle name="Normal 2 7 3 2 2" xfId="1628" xr:uid="{00000000-0005-0000-0000-000077160000}"/>
    <cellStyle name="Normal 2 7 3 2 2 2" xfId="5654" xr:uid="{00000000-0005-0000-0000-000078160000}"/>
    <cellStyle name="Normal 2 7 3 2 2 3" xfId="6879" xr:uid="{00000000-0005-0000-0000-000079160000}"/>
    <cellStyle name="Normal 2 7 3 2 3" xfId="1829" xr:uid="{00000000-0005-0000-0000-00007A160000}"/>
    <cellStyle name="Normal 2 7 3 2 3 2" xfId="5850" xr:uid="{00000000-0005-0000-0000-00007B160000}"/>
    <cellStyle name="Normal 2 7 3 2 3 3" xfId="7076" xr:uid="{00000000-0005-0000-0000-00007C160000}"/>
    <cellStyle name="Normal 2 7 3 2 4" xfId="1900" xr:uid="{00000000-0005-0000-0000-00007D160000}"/>
    <cellStyle name="Normal 2 7 3 2 4 2" xfId="5920" xr:uid="{00000000-0005-0000-0000-00007E160000}"/>
    <cellStyle name="Normal 2 7 3 2 4 3" xfId="7147" xr:uid="{00000000-0005-0000-0000-00007F160000}"/>
    <cellStyle name="Normal 2 7 3 2 5" xfId="5393" xr:uid="{00000000-0005-0000-0000-000080160000}"/>
    <cellStyle name="Normal 2 7 3 2 6" xfId="6612" xr:uid="{00000000-0005-0000-0000-000081160000}"/>
    <cellStyle name="Normal 2 7 3 3" xfId="5332" xr:uid="{00000000-0005-0000-0000-000082160000}"/>
    <cellStyle name="Normal 2 7 3 4" xfId="6548" xr:uid="{00000000-0005-0000-0000-000083160000}"/>
    <cellStyle name="Normal 2 7 4" xfId="1510" xr:uid="{00000000-0005-0000-0000-000084160000}"/>
    <cellStyle name="Normal 2 7 4 2" xfId="5538" xr:uid="{00000000-0005-0000-0000-000085160000}"/>
    <cellStyle name="Normal 2 7 4 3" xfId="6762" xr:uid="{00000000-0005-0000-0000-000086160000}"/>
    <cellStyle name="Normal 2 7 5" xfId="1717" xr:uid="{00000000-0005-0000-0000-000087160000}"/>
    <cellStyle name="Normal 2 7 5 2" xfId="5739" xr:uid="{00000000-0005-0000-0000-000088160000}"/>
    <cellStyle name="Normal 2 7 5 3" xfId="6964" xr:uid="{00000000-0005-0000-0000-000089160000}"/>
    <cellStyle name="Normal 2 7 6" xfId="1937" xr:uid="{00000000-0005-0000-0000-00008A160000}"/>
    <cellStyle name="Normal 2 7 6 2" xfId="5957" xr:uid="{00000000-0005-0000-0000-00008B160000}"/>
    <cellStyle name="Normal 2 7 6 3" xfId="7184" xr:uid="{00000000-0005-0000-0000-00008C160000}"/>
    <cellStyle name="Normal 2 7 7" xfId="3872" xr:uid="{00000000-0005-0000-0000-00008D160000}"/>
    <cellStyle name="Normal 2 7 8" xfId="6492" xr:uid="{00000000-0005-0000-0000-00008E160000}"/>
    <cellStyle name="Normal 2 7 9" xfId="1240" xr:uid="{00000000-0005-0000-0000-00008F160000}"/>
    <cellStyle name="Normal 2 70" xfId="2362" xr:uid="{00000000-0005-0000-0000-000090160000}"/>
    <cellStyle name="Normal 2 70 2" xfId="4243" xr:uid="{00000000-0005-0000-0000-000091160000}"/>
    <cellStyle name="Normal 2 70 3" xfId="7593" xr:uid="{00000000-0005-0000-0000-000092160000}"/>
    <cellStyle name="Normal 2 71" xfId="2363" xr:uid="{00000000-0005-0000-0000-000093160000}"/>
    <cellStyle name="Normal 2 71 2" xfId="4244" xr:uid="{00000000-0005-0000-0000-000094160000}"/>
    <cellStyle name="Normal 2 71 3" xfId="7594" xr:uid="{00000000-0005-0000-0000-000095160000}"/>
    <cellStyle name="Normal 2 72" xfId="2364" xr:uid="{00000000-0005-0000-0000-000096160000}"/>
    <cellStyle name="Normal 2 72 2" xfId="4245" xr:uid="{00000000-0005-0000-0000-000097160000}"/>
    <cellStyle name="Normal 2 72 3" xfId="7595" xr:uid="{00000000-0005-0000-0000-000098160000}"/>
    <cellStyle name="Normal 2 73" xfId="2365" xr:uid="{00000000-0005-0000-0000-000099160000}"/>
    <cellStyle name="Normal 2 73 2" xfId="4246" xr:uid="{00000000-0005-0000-0000-00009A160000}"/>
    <cellStyle name="Normal 2 73 3" xfId="7596" xr:uid="{00000000-0005-0000-0000-00009B160000}"/>
    <cellStyle name="Normal 2 74" xfId="2366" xr:uid="{00000000-0005-0000-0000-00009C160000}"/>
    <cellStyle name="Normal 2 74 2" xfId="4247" xr:uid="{00000000-0005-0000-0000-00009D160000}"/>
    <cellStyle name="Normal 2 74 3" xfId="7597" xr:uid="{00000000-0005-0000-0000-00009E160000}"/>
    <cellStyle name="Normal 2 75" xfId="2367" xr:uid="{00000000-0005-0000-0000-00009F160000}"/>
    <cellStyle name="Normal 2 75 2" xfId="4248" xr:uid="{00000000-0005-0000-0000-0000A0160000}"/>
    <cellStyle name="Normal 2 75 3" xfId="7598" xr:uid="{00000000-0005-0000-0000-0000A1160000}"/>
    <cellStyle name="Normal 2 76" xfId="2368" xr:uid="{00000000-0005-0000-0000-0000A2160000}"/>
    <cellStyle name="Normal 2 76 2" xfId="4249" xr:uid="{00000000-0005-0000-0000-0000A3160000}"/>
    <cellStyle name="Normal 2 76 3" xfId="7599" xr:uid="{00000000-0005-0000-0000-0000A4160000}"/>
    <cellStyle name="Normal 2 77" xfId="2369" xr:uid="{00000000-0005-0000-0000-0000A5160000}"/>
    <cellStyle name="Normal 2 77 2" xfId="4250" xr:uid="{00000000-0005-0000-0000-0000A6160000}"/>
    <cellStyle name="Normal 2 77 3" xfId="7600" xr:uid="{00000000-0005-0000-0000-0000A7160000}"/>
    <cellStyle name="Normal 2 78" xfId="2370" xr:uid="{00000000-0005-0000-0000-0000A8160000}"/>
    <cellStyle name="Normal 2 78 2" xfId="4251" xr:uid="{00000000-0005-0000-0000-0000A9160000}"/>
    <cellStyle name="Normal 2 78 3" xfId="7601" xr:uid="{00000000-0005-0000-0000-0000AA160000}"/>
    <cellStyle name="Normal 2 79" xfId="2371" xr:uid="{00000000-0005-0000-0000-0000AB160000}"/>
    <cellStyle name="Normal 2 79 2" xfId="4252" xr:uid="{00000000-0005-0000-0000-0000AC160000}"/>
    <cellStyle name="Normal 2 79 3" xfId="7602" xr:uid="{00000000-0005-0000-0000-0000AD160000}"/>
    <cellStyle name="Normal 2 8" xfId="549" xr:uid="{00000000-0005-0000-0000-0000AE160000}"/>
    <cellStyle name="Normal 2 8 2" xfId="550" xr:uid="{00000000-0005-0000-0000-0000AF160000}"/>
    <cellStyle name="Normal 2 8 2 2" xfId="3648" xr:uid="{00000000-0005-0000-0000-0000B0160000}"/>
    <cellStyle name="Normal 2 8 2 3" xfId="5320" xr:uid="{00000000-0005-0000-0000-0000B1160000}"/>
    <cellStyle name="Normal 2 8 2 4" xfId="7603" xr:uid="{00000000-0005-0000-0000-0000B2160000}"/>
    <cellStyle name="Normal 2 8 2 5" xfId="2372" xr:uid="{00000000-0005-0000-0000-0000B3160000}"/>
    <cellStyle name="Normal 2 8 3" xfId="3873" xr:uid="{00000000-0005-0000-0000-0000B4160000}"/>
    <cellStyle name="Normal 2 8 4" xfId="6535" xr:uid="{00000000-0005-0000-0000-0000B5160000}"/>
    <cellStyle name="Normal 2 8 5" xfId="1283" xr:uid="{00000000-0005-0000-0000-0000B6160000}"/>
    <cellStyle name="Normal 2 80" xfId="2373" xr:uid="{00000000-0005-0000-0000-0000B7160000}"/>
    <cellStyle name="Normal 2 80 2" xfId="4253" xr:uid="{00000000-0005-0000-0000-0000B8160000}"/>
    <cellStyle name="Normal 2 80 3" xfId="7604" xr:uid="{00000000-0005-0000-0000-0000B9160000}"/>
    <cellStyle name="Normal 2 81" xfId="2374" xr:uid="{00000000-0005-0000-0000-0000BA160000}"/>
    <cellStyle name="Normal 2 81 2" xfId="4254" xr:uid="{00000000-0005-0000-0000-0000BB160000}"/>
    <cellStyle name="Normal 2 81 3" xfId="7605" xr:uid="{00000000-0005-0000-0000-0000BC160000}"/>
    <cellStyle name="Normal 2 82" xfId="2375" xr:uid="{00000000-0005-0000-0000-0000BD160000}"/>
    <cellStyle name="Normal 2 82 2" xfId="4255" xr:uid="{00000000-0005-0000-0000-0000BE160000}"/>
    <cellStyle name="Normal 2 82 3" xfId="7606" xr:uid="{00000000-0005-0000-0000-0000BF160000}"/>
    <cellStyle name="Normal 2 83" xfId="2376" xr:uid="{00000000-0005-0000-0000-0000C0160000}"/>
    <cellStyle name="Normal 2 83 2" xfId="4256" xr:uid="{00000000-0005-0000-0000-0000C1160000}"/>
    <cellStyle name="Normal 2 83 3" xfId="7607" xr:uid="{00000000-0005-0000-0000-0000C2160000}"/>
    <cellStyle name="Normal 2 84" xfId="2377" xr:uid="{00000000-0005-0000-0000-0000C3160000}"/>
    <cellStyle name="Normal 2 84 2" xfId="4257" xr:uid="{00000000-0005-0000-0000-0000C4160000}"/>
    <cellStyle name="Normal 2 84 3" xfId="7608" xr:uid="{00000000-0005-0000-0000-0000C5160000}"/>
    <cellStyle name="Normal 2 85" xfId="2378" xr:uid="{00000000-0005-0000-0000-0000C6160000}"/>
    <cellStyle name="Normal 2 85 2" xfId="4258" xr:uid="{00000000-0005-0000-0000-0000C7160000}"/>
    <cellStyle name="Normal 2 85 3" xfId="7609" xr:uid="{00000000-0005-0000-0000-0000C8160000}"/>
    <cellStyle name="Normal 2 86" xfId="2379" xr:uid="{00000000-0005-0000-0000-0000C9160000}"/>
    <cellStyle name="Normal 2 86 2" xfId="4259" xr:uid="{00000000-0005-0000-0000-0000CA160000}"/>
    <cellStyle name="Normal 2 86 3" xfId="7610" xr:uid="{00000000-0005-0000-0000-0000CB160000}"/>
    <cellStyle name="Normal 2 87" xfId="2380" xr:uid="{00000000-0005-0000-0000-0000CC160000}"/>
    <cellStyle name="Normal 2 87 2" xfId="4260" xr:uid="{00000000-0005-0000-0000-0000CD160000}"/>
    <cellStyle name="Normal 2 87 3" xfId="7611" xr:uid="{00000000-0005-0000-0000-0000CE160000}"/>
    <cellStyle name="Normal 2 88" xfId="2381" xr:uid="{00000000-0005-0000-0000-0000CF160000}"/>
    <cellStyle name="Normal 2 88 2" xfId="4261" xr:uid="{00000000-0005-0000-0000-0000D0160000}"/>
    <cellStyle name="Normal 2 88 3" xfId="7612" xr:uid="{00000000-0005-0000-0000-0000D1160000}"/>
    <cellStyle name="Normal 2 89" xfId="2382" xr:uid="{00000000-0005-0000-0000-0000D2160000}"/>
    <cellStyle name="Normal 2 89 2" xfId="4262" xr:uid="{00000000-0005-0000-0000-0000D3160000}"/>
    <cellStyle name="Normal 2 89 3" xfId="7613" xr:uid="{00000000-0005-0000-0000-0000D4160000}"/>
    <cellStyle name="Normal 2 9" xfId="551" xr:uid="{00000000-0005-0000-0000-0000D5160000}"/>
    <cellStyle name="Normal 2 9 2" xfId="552" xr:uid="{00000000-0005-0000-0000-0000D6160000}"/>
    <cellStyle name="Normal 2 9 2 10" xfId="2383" xr:uid="{00000000-0005-0000-0000-0000D7160000}"/>
    <cellStyle name="Normal 2 9 2 2" xfId="2693" xr:uid="{00000000-0005-0000-0000-0000D8160000}"/>
    <cellStyle name="Normal 2 9 2 2 2" xfId="2959" xr:uid="{00000000-0005-0000-0000-0000D9160000}"/>
    <cellStyle name="Normal 2 9 2 2 2 2" xfId="4619" xr:uid="{00000000-0005-0000-0000-0000DA160000}"/>
    <cellStyle name="Normal 2 9 2 2 2 3" xfId="8015" xr:uid="{00000000-0005-0000-0000-0000DB160000}"/>
    <cellStyle name="Normal 2 9 2 2 3" xfId="3057" xr:uid="{00000000-0005-0000-0000-0000DC160000}"/>
    <cellStyle name="Normal 2 9 2 2 3 2" xfId="4702" xr:uid="{00000000-0005-0000-0000-0000DD160000}"/>
    <cellStyle name="Normal 2 9 2 2 3 3" xfId="8113" xr:uid="{00000000-0005-0000-0000-0000DE160000}"/>
    <cellStyle name="Normal 2 9 2 2 4" xfId="3736" xr:uid="{00000000-0005-0000-0000-0000DF160000}"/>
    <cellStyle name="Normal 2 9 2 2 4 2" xfId="6137" xr:uid="{00000000-0005-0000-0000-0000E0160000}"/>
    <cellStyle name="Normal 2 9 2 2 4 3" xfId="8650" xr:uid="{00000000-0005-0000-0000-0000E1160000}"/>
    <cellStyle name="Normal 2 9 2 2 5" xfId="2862" xr:uid="{00000000-0005-0000-0000-0000E2160000}"/>
    <cellStyle name="Normal 2 9 2 2 6" xfId="4264" xr:uid="{00000000-0005-0000-0000-0000E3160000}"/>
    <cellStyle name="Normal 2 9 2 2 7" xfId="7887" xr:uid="{00000000-0005-0000-0000-0000E4160000}"/>
    <cellStyle name="Normal 2 9 2 3" xfId="2692" xr:uid="{00000000-0005-0000-0000-0000E5160000}"/>
    <cellStyle name="Normal 2 9 2 3 2" xfId="4620" xr:uid="{00000000-0005-0000-0000-0000E6160000}"/>
    <cellStyle name="Normal 2 9 2 3 3" xfId="7886" xr:uid="{00000000-0005-0000-0000-0000E7160000}"/>
    <cellStyle name="Normal 2 9 2 4" xfId="3058" xr:uid="{00000000-0005-0000-0000-0000E8160000}"/>
    <cellStyle name="Normal 2 9 2 4 2" xfId="4703" xr:uid="{00000000-0005-0000-0000-0000E9160000}"/>
    <cellStyle name="Normal 2 9 2 4 3" xfId="8114" xr:uid="{00000000-0005-0000-0000-0000EA160000}"/>
    <cellStyle name="Normal 2 9 2 5" xfId="3652" xr:uid="{00000000-0005-0000-0000-0000EB160000}"/>
    <cellStyle name="Normal 2 9 2 5 2" xfId="5325" xr:uid="{00000000-0005-0000-0000-0000EC160000}"/>
    <cellStyle name="Normal 2 9 2 5 3" xfId="8602" xr:uid="{00000000-0005-0000-0000-0000ED160000}"/>
    <cellStyle name="Normal 2 9 2 6" xfId="3834" xr:uid="{00000000-0005-0000-0000-0000EE160000}"/>
    <cellStyle name="Normal 2 9 2 6 2" xfId="6215" xr:uid="{00000000-0005-0000-0000-0000EF160000}"/>
    <cellStyle name="Normal 2 9 2 6 3" xfId="8745" xr:uid="{00000000-0005-0000-0000-0000F0160000}"/>
    <cellStyle name="Normal 2 9 2 7" xfId="2863" xr:uid="{00000000-0005-0000-0000-0000F1160000}"/>
    <cellStyle name="Normal 2 9 2 8" xfId="4263" xr:uid="{00000000-0005-0000-0000-0000F2160000}"/>
    <cellStyle name="Normal 2 9 2 9" xfId="7614" xr:uid="{00000000-0005-0000-0000-0000F3160000}"/>
    <cellStyle name="Normal 2 9 3" xfId="2694" xr:uid="{00000000-0005-0000-0000-0000F4160000}"/>
    <cellStyle name="Normal 2 9 3 2" xfId="2958" xr:uid="{00000000-0005-0000-0000-0000F5160000}"/>
    <cellStyle name="Normal 2 9 3 2 2" xfId="4618" xr:uid="{00000000-0005-0000-0000-0000F6160000}"/>
    <cellStyle name="Normal 2 9 3 2 3" xfId="8014" xr:uid="{00000000-0005-0000-0000-0000F7160000}"/>
    <cellStyle name="Normal 2 9 3 3" xfId="3056" xr:uid="{00000000-0005-0000-0000-0000F8160000}"/>
    <cellStyle name="Normal 2 9 3 3 2" xfId="4701" xr:uid="{00000000-0005-0000-0000-0000F9160000}"/>
    <cellStyle name="Normal 2 9 3 3 3" xfId="8112" xr:uid="{00000000-0005-0000-0000-0000FA160000}"/>
    <cellStyle name="Normal 2 9 3 4" xfId="3791" xr:uid="{00000000-0005-0000-0000-0000FB160000}"/>
    <cellStyle name="Normal 2 9 3 4 2" xfId="6181" xr:uid="{00000000-0005-0000-0000-0000FC160000}"/>
    <cellStyle name="Normal 2 9 3 4 3" xfId="8702" xr:uid="{00000000-0005-0000-0000-0000FD160000}"/>
    <cellStyle name="Normal 2 9 3 5" xfId="2861" xr:uid="{00000000-0005-0000-0000-0000FE160000}"/>
    <cellStyle name="Normal 2 9 3 6" xfId="4265" xr:uid="{00000000-0005-0000-0000-0000FF160000}"/>
    <cellStyle name="Normal 2 9 3 7" xfId="7888" xr:uid="{00000000-0005-0000-0000-000000170000}"/>
    <cellStyle name="Normal 2 9 4" xfId="2695" xr:uid="{00000000-0005-0000-0000-000001170000}"/>
    <cellStyle name="Normal 2 9 4 2" xfId="2960" xr:uid="{00000000-0005-0000-0000-000002170000}"/>
    <cellStyle name="Normal 2 9 4 2 2" xfId="4621" xr:uid="{00000000-0005-0000-0000-000003170000}"/>
    <cellStyle name="Normal 2 9 4 2 3" xfId="8016" xr:uid="{00000000-0005-0000-0000-000004170000}"/>
    <cellStyle name="Normal 2 9 4 3" xfId="3059" xr:uid="{00000000-0005-0000-0000-000005170000}"/>
    <cellStyle name="Normal 2 9 4 3 2" xfId="4704" xr:uid="{00000000-0005-0000-0000-000006170000}"/>
    <cellStyle name="Normal 2 9 4 3 3" xfId="8115" xr:uid="{00000000-0005-0000-0000-000007170000}"/>
    <cellStyle name="Normal 2 9 4 4" xfId="3726" xr:uid="{00000000-0005-0000-0000-000008170000}"/>
    <cellStyle name="Normal 2 9 4 4 2" xfId="6130" xr:uid="{00000000-0005-0000-0000-000009170000}"/>
    <cellStyle name="Normal 2 9 4 4 3" xfId="8640" xr:uid="{00000000-0005-0000-0000-00000A170000}"/>
    <cellStyle name="Normal 2 9 4 5" xfId="2864" xr:uid="{00000000-0005-0000-0000-00000B170000}"/>
    <cellStyle name="Normal 2 9 4 6" xfId="4266" xr:uid="{00000000-0005-0000-0000-00000C170000}"/>
    <cellStyle name="Normal 2 9 4 7" xfId="7889" xr:uid="{00000000-0005-0000-0000-00000D170000}"/>
    <cellStyle name="Normal 2 9 5" xfId="3758" xr:uid="{00000000-0005-0000-0000-00000E170000}"/>
    <cellStyle name="Normal 2 9 5 2" xfId="6154" xr:uid="{00000000-0005-0000-0000-00000F170000}"/>
    <cellStyle name="Normal 2 9 5 3" xfId="8671" xr:uid="{00000000-0005-0000-0000-000010170000}"/>
    <cellStyle name="Normal 2 9 6" xfId="3874" xr:uid="{00000000-0005-0000-0000-000011170000}"/>
    <cellStyle name="Normal 2 9 7" xfId="6541" xr:uid="{00000000-0005-0000-0000-000012170000}"/>
    <cellStyle name="Normal 2 9 8" xfId="1289" xr:uid="{00000000-0005-0000-0000-000013170000}"/>
    <cellStyle name="Normal 2 90" xfId="2384" xr:uid="{00000000-0005-0000-0000-000014170000}"/>
    <cellStyle name="Normal 2 90 2" xfId="4267" xr:uid="{00000000-0005-0000-0000-000015170000}"/>
    <cellStyle name="Normal 2 90 3" xfId="7615" xr:uid="{00000000-0005-0000-0000-000016170000}"/>
    <cellStyle name="Normal 2 91" xfId="2385" xr:uid="{00000000-0005-0000-0000-000017170000}"/>
    <cellStyle name="Normal 2 91 2" xfId="4268" xr:uid="{00000000-0005-0000-0000-000018170000}"/>
    <cellStyle name="Normal 2 91 3" xfId="7616" xr:uid="{00000000-0005-0000-0000-000019170000}"/>
    <cellStyle name="Normal 2 92" xfId="2386" xr:uid="{00000000-0005-0000-0000-00001A170000}"/>
    <cellStyle name="Normal 2 92 2" xfId="4269" xr:uid="{00000000-0005-0000-0000-00001B170000}"/>
    <cellStyle name="Normal 2 92 3" xfId="7617" xr:uid="{00000000-0005-0000-0000-00001C170000}"/>
    <cellStyle name="Normal 2 93" xfId="2387" xr:uid="{00000000-0005-0000-0000-00001D170000}"/>
    <cellStyle name="Normal 2 93 2" xfId="4270" xr:uid="{00000000-0005-0000-0000-00001E170000}"/>
    <cellStyle name="Normal 2 93 3" xfId="7618" xr:uid="{00000000-0005-0000-0000-00001F170000}"/>
    <cellStyle name="Normal 2 94" xfId="2388" xr:uid="{00000000-0005-0000-0000-000020170000}"/>
    <cellStyle name="Normal 2 94 2" xfId="4271" xr:uid="{00000000-0005-0000-0000-000021170000}"/>
    <cellStyle name="Normal 2 94 3" xfId="7619" xr:uid="{00000000-0005-0000-0000-000022170000}"/>
    <cellStyle name="Normal 2 95" xfId="2389" xr:uid="{00000000-0005-0000-0000-000023170000}"/>
    <cellStyle name="Normal 2 95 2" xfId="4272" xr:uid="{00000000-0005-0000-0000-000024170000}"/>
    <cellStyle name="Normal 2 95 3" xfId="7620" xr:uid="{00000000-0005-0000-0000-000025170000}"/>
    <cellStyle name="Normal 2 96" xfId="2390" xr:uid="{00000000-0005-0000-0000-000026170000}"/>
    <cellStyle name="Normal 2 96 2" xfId="4273" xr:uid="{00000000-0005-0000-0000-000027170000}"/>
    <cellStyle name="Normal 2 96 3" xfId="7621" xr:uid="{00000000-0005-0000-0000-000028170000}"/>
    <cellStyle name="Normal 2 97" xfId="2391" xr:uid="{00000000-0005-0000-0000-000029170000}"/>
    <cellStyle name="Normal 2 97 2" xfId="4274" xr:uid="{00000000-0005-0000-0000-00002A170000}"/>
    <cellStyle name="Normal 2 97 3" xfId="7622" xr:uid="{00000000-0005-0000-0000-00002B170000}"/>
    <cellStyle name="Normal 2 98" xfId="2392" xr:uid="{00000000-0005-0000-0000-00002C170000}"/>
    <cellStyle name="Normal 2 98 2" xfId="2664" xr:uid="{00000000-0005-0000-0000-00002D170000}"/>
    <cellStyle name="Normal 2 98 3" xfId="4275" xr:uid="{00000000-0005-0000-0000-00002E170000}"/>
    <cellStyle name="Normal 2 98 4" xfId="7623" xr:uid="{00000000-0005-0000-0000-00002F170000}"/>
    <cellStyle name="Normal 2 99" xfId="2393" xr:uid="{00000000-0005-0000-0000-000030170000}"/>
    <cellStyle name="Normal 2 99 2" xfId="4276" xr:uid="{00000000-0005-0000-0000-000031170000}"/>
    <cellStyle name="Normal 2 99 3" xfId="7624" xr:uid="{00000000-0005-0000-0000-000032170000}"/>
    <cellStyle name="Normal 2_global_PO" xfId="3373" xr:uid="{00000000-0005-0000-0000-000033170000}"/>
    <cellStyle name="Normal 20" xfId="553" xr:uid="{00000000-0005-0000-0000-000034170000}"/>
    <cellStyle name="Normal 20 10" xfId="6533" xr:uid="{00000000-0005-0000-0000-000035170000}"/>
    <cellStyle name="Normal 20 11" xfId="1281" xr:uid="{00000000-0005-0000-0000-000036170000}"/>
    <cellStyle name="Normal 20 2" xfId="554" xr:uid="{00000000-0005-0000-0000-000037170000}"/>
    <cellStyle name="Normal 20 2 2" xfId="1625" xr:uid="{00000000-0005-0000-0000-000038170000}"/>
    <cellStyle name="Normal 20 2 2 2" xfId="5651" xr:uid="{00000000-0005-0000-0000-000039170000}"/>
    <cellStyle name="Normal 20 2 2 3" xfId="6876" xr:uid="{00000000-0005-0000-0000-00003A170000}"/>
    <cellStyle name="Normal 20 2 3" xfId="1826" xr:uid="{00000000-0005-0000-0000-00003B170000}"/>
    <cellStyle name="Normal 20 2 3 2" xfId="5847" xr:uid="{00000000-0005-0000-0000-00003C170000}"/>
    <cellStyle name="Normal 20 2 3 3" xfId="7073" xr:uid="{00000000-0005-0000-0000-00003D170000}"/>
    <cellStyle name="Normal 20 2 4" xfId="1919" xr:uid="{00000000-0005-0000-0000-00003E170000}"/>
    <cellStyle name="Normal 20 2 4 2" xfId="5939" xr:uid="{00000000-0005-0000-0000-00003F170000}"/>
    <cellStyle name="Normal 20 2 4 3" xfId="7166" xr:uid="{00000000-0005-0000-0000-000040170000}"/>
    <cellStyle name="Normal 20 2 5" xfId="4277" xr:uid="{00000000-0005-0000-0000-000041170000}"/>
    <cellStyle name="Normal 20 2 6" xfId="6609" xr:uid="{00000000-0005-0000-0000-000042170000}"/>
    <cellStyle name="Normal 20 2 7" xfId="1357" xr:uid="{00000000-0005-0000-0000-000043170000}"/>
    <cellStyle name="Normal 20 3" xfId="1366" xr:uid="{00000000-0005-0000-0000-000044170000}"/>
    <cellStyle name="Normal 20 3 2" xfId="1634" xr:uid="{00000000-0005-0000-0000-000045170000}"/>
    <cellStyle name="Normal 20 3 2 2" xfId="5660" xr:uid="{00000000-0005-0000-0000-000046170000}"/>
    <cellStyle name="Normal 20 3 2 3" xfId="6885" xr:uid="{00000000-0005-0000-0000-000047170000}"/>
    <cellStyle name="Normal 20 3 3" xfId="1833" xr:uid="{00000000-0005-0000-0000-000048170000}"/>
    <cellStyle name="Normal 20 3 3 2" xfId="5854" xr:uid="{00000000-0005-0000-0000-000049170000}"/>
    <cellStyle name="Normal 20 3 3 3" xfId="7080" xr:uid="{00000000-0005-0000-0000-00004A170000}"/>
    <cellStyle name="Normal 20 3 4" xfId="1426" xr:uid="{00000000-0005-0000-0000-00004B170000}"/>
    <cellStyle name="Normal 20 3 4 2" xfId="5456" xr:uid="{00000000-0005-0000-0000-00004C170000}"/>
    <cellStyle name="Normal 20 3 4 3" xfId="6678" xr:uid="{00000000-0005-0000-0000-00004D170000}"/>
    <cellStyle name="Normal 20 3 5" xfId="5399" xr:uid="{00000000-0005-0000-0000-00004E170000}"/>
    <cellStyle name="Normal 20 3 6" xfId="6618" xr:uid="{00000000-0005-0000-0000-00004F170000}"/>
    <cellStyle name="Normal 20 4" xfId="1553" xr:uid="{00000000-0005-0000-0000-000050170000}"/>
    <cellStyle name="Normal 20 4 2" xfId="5580" xr:uid="{00000000-0005-0000-0000-000051170000}"/>
    <cellStyle name="Normal 20 4 3" xfId="6805" xr:uid="{00000000-0005-0000-0000-000052170000}"/>
    <cellStyle name="Normal 20 5" xfId="1758" xr:uid="{00000000-0005-0000-0000-000053170000}"/>
    <cellStyle name="Normal 20 5 2" xfId="5780" xr:uid="{00000000-0005-0000-0000-000054170000}"/>
    <cellStyle name="Normal 20 5 3" xfId="7005" xr:uid="{00000000-0005-0000-0000-000055170000}"/>
    <cellStyle name="Normal 20 6" xfId="1906" xr:uid="{00000000-0005-0000-0000-000056170000}"/>
    <cellStyle name="Normal 20 6 2" xfId="5926" xr:uid="{00000000-0005-0000-0000-000057170000}"/>
    <cellStyle name="Normal 20 6 3" xfId="7153" xr:uid="{00000000-0005-0000-0000-000058170000}"/>
    <cellStyle name="Normal 20 7" xfId="3646" xr:uid="{00000000-0005-0000-0000-000059170000}"/>
    <cellStyle name="Normal 20 7 2" xfId="5318" xr:uid="{00000000-0005-0000-0000-00005A170000}"/>
    <cellStyle name="Normal 20 7 3" xfId="8601" xr:uid="{00000000-0005-0000-0000-00005B170000}"/>
    <cellStyle name="Normal 20 8" xfId="3374" xr:uid="{00000000-0005-0000-0000-00005C170000}"/>
    <cellStyle name="Normal 20 9" xfId="5005" xr:uid="{00000000-0005-0000-0000-00005D170000}"/>
    <cellStyle name="Normal 21" xfId="555" xr:uid="{00000000-0005-0000-0000-00005E170000}"/>
    <cellStyle name="Normal 21 2" xfId="1600" xr:uid="{00000000-0005-0000-0000-00005F170000}"/>
    <cellStyle name="Normal 21 2 2" xfId="5626" xr:uid="{00000000-0005-0000-0000-000060170000}"/>
    <cellStyle name="Normal 21 2 3" xfId="6851" xr:uid="{00000000-0005-0000-0000-000061170000}"/>
    <cellStyle name="Normal 21 3" xfId="1802" xr:uid="{00000000-0005-0000-0000-000062170000}"/>
    <cellStyle name="Normal 21 3 2" xfId="5823" xr:uid="{00000000-0005-0000-0000-000063170000}"/>
    <cellStyle name="Normal 21 3 3" xfId="7049" xr:uid="{00000000-0005-0000-0000-000064170000}"/>
    <cellStyle name="Normal 21 4" xfId="1999" xr:uid="{00000000-0005-0000-0000-000065170000}"/>
    <cellStyle name="Normal 21 4 2" xfId="6018" xr:uid="{00000000-0005-0000-0000-000066170000}"/>
    <cellStyle name="Normal 21 4 3" xfId="7246" xr:uid="{00000000-0005-0000-0000-000067170000}"/>
    <cellStyle name="Normal 21 5" xfId="5006" xr:uid="{00000000-0005-0000-0000-000068170000}"/>
    <cellStyle name="Normal 21 6" xfId="6584" xr:uid="{00000000-0005-0000-0000-000069170000}"/>
    <cellStyle name="Normal 21 7" xfId="1332" xr:uid="{00000000-0005-0000-0000-00006A170000}"/>
    <cellStyle name="Normal 22" xfId="556" xr:uid="{00000000-0005-0000-0000-00006B170000}"/>
    <cellStyle name="Normal 22 2" xfId="1601" xr:uid="{00000000-0005-0000-0000-00006C170000}"/>
    <cellStyle name="Normal 22 2 2" xfId="5627" xr:uid="{00000000-0005-0000-0000-00006D170000}"/>
    <cellStyle name="Normal 22 2 3" xfId="6852" xr:uid="{00000000-0005-0000-0000-00006E170000}"/>
    <cellStyle name="Normal 22 3" xfId="1803" xr:uid="{00000000-0005-0000-0000-00006F170000}"/>
    <cellStyle name="Normal 22 3 2" xfId="5824" xr:uid="{00000000-0005-0000-0000-000070170000}"/>
    <cellStyle name="Normal 22 3 3" xfId="7050" xr:uid="{00000000-0005-0000-0000-000071170000}"/>
    <cellStyle name="Normal 22 4" xfId="1917" xr:uid="{00000000-0005-0000-0000-000072170000}"/>
    <cellStyle name="Normal 22 4 2" xfId="5937" xr:uid="{00000000-0005-0000-0000-000073170000}"/>
    <cellStyle name="Normal 22 4 3" xfId="7164" xr:uid="{00000000-0005-0000-0000-000074170000}"/>
    <cellStyle name="Normal 22 5" xfId="5007" xr:uid="{00000000-0005-0000-0000-000075170000}"/>
    <cellStyle name="Normal 22 6" xfId="6585" xr:uid="{00000000-0005-0000-0000-000076170000}"/>
    <cellStyle name="Normal 22 7" xfId="1333" xr:uid="{00000000-0005-0000-0000-000077170000}"/>
    <cellStyle name="Normal 23" xfId="557" xr:uid="{00000000-0005-0000-0000-000078170000}"/>
    <cellStyle name="Normal 23 2" xfId="1644" xr:uid="{00000000-0005-0000-0000-000079170000}"/>
    <cellStyle name="Normal 23 2 2" xfId="5668" xr:uid="{00000000-0005-0000-0000-00007A170000}"/>
    <cellStyle name="Normal 23 2 3" xfId="6893" xr:uid="{00000000-0005-0000-0000-00007B170000}"/>
    <cellStyle name="Normal 23 3" xfId="1840" xr:uid="{00000000-0005-0000-0000-00007C170000}"/>
    <cellStyle name="Normal 23 3 2" xfId="5861" xr:uid="{00000000-0005-0000-0000-00007D170000}"/>
    <cellStyle name="Normal 23 3 3" xfId="7087" xr:uid="{00000000-0005-0000-0000-00007E170000}"/>
    <cellStyle name="Normal 23 4" xfId="2025" xr:uid="{00000000-0005-0000-0000-00007F170000}"/>
    <cellStyle name="Normal 23 4 2" xfId="6044" xr:uid="{00000000-0005-0000-0000-000080170000}"/>
    <cellStyle name="Normal 23 4 3" xfId="7272" xr:uid="{00000000-0005-0000-0000-000081170000}"/>
    <cellStyle name="Normal 23 5" xfId="3667" xr:uid="{00000000-0005-0000-0000-000082170000}"/>
    <cellStyle name="Normal 23 5 2" xfId="5405" xr:uid="{00000000-0005-0000-0000-000083170000}"/>
    <cellStyle name="Normal 23 5 3" xfId="8607" xr:uid="{00000000-0005-0000-0000-000084170000}"/>
    <cellStyle name="Normal 23 6" xfId="3375" xr:uid="{00000000-0005-0000-0000-000085170000}"/>
    <cellStyle name="Normal 23 7" xfId="5008" xr:uid="{00000000-0005-0000-0000-000086170000}"/>
    <cellStyle name="Normal 23 8" xfId="6626" xr:uid="{00000000-0005-0000-0000-000087170000}"/>
    <cellStyle name="Normal 23 9" xfId="1374" xr:uid="{00000000-0005-0000-0000-000088170000}"/>
    <cellStyle name="Normal 24" xfId="558" xr:uid="{00000000-0005-0000-0000-000089170000}"/>
    <cellStyle name="Normal 24 2" xfId="1658" xr:uid="{00000000-0005-0000-0000-00008A170000}"/>
    <cellStyle name="Normal 24 2 2" xfId="5682" xr:uid="{00000000-0005-0000-0000-00008B170000}"/>
    <cellStyle name="Normal 24 2 3" xfId="6907" xr:uid="{00000000-0005-0000-0000-00008C170000}"/>
    <cellStyle name="Normal 24 3" xfId="1854" xr:uid="{00000000-0005-0000-0000-00008D170000}"/>
    <cellStyle name="Normal 24 3 2" xfId="5875" xr:uid="{00000000-0005-0000-0000-00008E170000}"/>
    <cellStyle name="Normal 24 3 3" xfId="7101" xr:uid="{00000000-0005-0000-0000-00008F170000}"/>
    <cellStyle name="Normal 24 4" xfId="2039" xr:uid="{00000000-0005-0000-0000-000090170000}"/>
    <cellStyle name="Normal 24 4 2" xfId="6058" xr:uid="{00000000-0005-0000-0000-000091170000}"/>
    <cellStyle name="Normal 24 4 3" xfId="7286" xr:uid="{00000000-0005-0000-0000-000092170000}"/>
    <cellStyle name="Normal 24 5" xfId="3669" xr:uid="{00000000-0005-0000-0000-000093170000}"/>
    <cellStyle name="Normal 24 5 2" xfId="5419" xr:uid="{00000000-0005-0000-0000-000094170000}"/>
    <cellStyle name="Normal 24 5 3" xfId="8608" xr:uid="{00000000-0005-0000-0000-000095170000}"/>
    <cellStyle name="Normal 24 6" xfId="3376" xr:uid="{00000000-0005-0000-0000-000096170000}"/>
    <cellStyle name="Normal 24 7" xfId="5009" xr:uid="{00000000-0005-0000-0000-000097170000}"/>
    <cellStyle name="Normal 24 8" xfId="6640" xr:uid="{00000000-0005-0000-0000-000098170000}"/>
    <cellStyle name="Normal 24 9" xfId="1388" xr:uid="{00000000-0005-0000-0000-000099170000}"/>
    <cellStyle name="Normal 25" xfId="559" xr:uid="{00000000-0005-0000-0000-00009A170000}"/>
    <cellStyle name="Normal 25 2" xfId="1444" xr:uid="{00000000-0005-0000-0000-00009B170000}"/>
    <cellStyle name="Normal 25 2 2" xfId="1895" xr:uid="{00000000-0005-0000-0000-00009C170000}"/>
    <cellStyle name="Normal 25 2 2 2" xfId="5915" xr:uid="{00000000-0005-0000-0000-00009D170000}"/>
    <cellStyle name="Normal 25 2 2 3" xfId="7142" xr:uid="{00000000-0005-0000-0000-00009E170000}"/>
    <cellStyle name="Normal 25 2 3" xfId="2066" xr:uid="{00000000-0005-0000-0000-00009F170000}"/>
    <cellStyle name="Normal 25 2 3 2" xfId="6085" xr:uid="{00000000-0005-0000-0000-0000A0170000}"/>
    <cellStyle name="Normal 25 2 3 3" xfId="7313" xr:uid="{00000000-0005-0000-0000-0000A1170000}"/>
    <cellStyle name="Normal 25 2 4" xfId="5473" xr:uid="{00000000-0005-0000-0000-0000A2170000}"/>
    <cellStyle name="Normal 25 2 5" xfId="6696" xr:uid="{00000000-0005-0000-0000-0000A3170000}"/>
    <cellStyle name="Normal 25 3" xfId="1605" xr:uid="{00000000-0005-0000-0000-0000A4170000}"/>
    <cellStyle name="Normal 25 3 2" xfId="5631" xr:uid="{00000000-0005-0000-0000-0000A5170000}"/>
    <cellStyle name="Normal 25 3 3" xfId="6856" xr:uid="{00000000-0005-0000-0000-0000A6170000}"/>
    <cellStyle name="Normal 25 4" xfId="2081" xr:uid="{00000000-0005-0000-0000-0000A7170000}"/>
    <cellStyle name="Normal 25 4 2" xfId="6100" xr:uid="{00000000-0005-0000-0000-0000A8170000}"/>
    <cellStyle name="Normal 25 4 3" xfId="7328" xr:uid="{00000000-0005-0000-0000-0000A9170000}"/>
    <cellStyle name="Normal 25 5" xfId="3710" xr:uid="{00000000-0005-0000-0000-0000AA170000}"/>
    <cellStyle name="Normal 25 5 2" xfId="6113" xr:uid="{00000000-0005-0000-0000-0000AB170000}"/>
    <cellStyle name="Normal 25 5 3" xfId="8624" xr:uid="{00000000-0005-0000-0000-0000AC170000}"/>
    <cellStyle name="Normal 25 6" xfId="5010" xr:uid="{00000000-0005-0000-0000-0000AD170000}"/>
    <cellStyle name="Normal 25 7" xfId="7341" xr:uid="{00000000-0005-0000-0000-0000AE170000}"/>
    <cellStyle name="Normal 25 8" xfId="2096" xr:uid="{00000000-0005-0000-0000-0000AF170000}"/>
    <cellStyle name="Normal 26" xfId="560" xr:uid="{00000000-0005-0000-0000-0000B0170000}"/>
    <cellStyle name="Normal 26 2" xfId="1877" xr:uid="{00000000-0005-0000-0000-0000B1170000}"/>
    <cellStyle name="Normal 26 2 2" xfId="5897" xr:uid="{00000000-0005-0000-0000-0000B2170000}"/>
    <cellStyle name="Normal 26 2 3" xfId="7124" xr:uid="{00000000-0005-0000-0000-0000B3170000}"/>
    <cellStyle name="Normal 26 3" xfId="3711" xr:uid="{00000000-0005-0000-0000-0000B4170000}"/>
    <cellStyle name="Normal 26 3 2" xfId="6114" xr:uid="{00000000-0005-0000-0000-0000B5170000}"/>
    <cellStyle name="Normal 26 3 3" xfId="8625" xr:uid="{00000000-0005-0000-0000-0000B6170000}"/>
    <cellStyle name="Normal 26 4" xfId="5011" xr:uid="{00000000-0005-0000-0000-0000B7170000}"/>
    <cellStyle name="Normal 26 5" xfId="7342" xr:uid="{00000000-0005-0000-0000-0000B8170000}"/>
    <cellStyle name="Normal 26 6" xfId="2097" xr:uid="{00000000-0005-0000-0000-0000B9170000}"/>
    <cellStyle name="Normal 27" xfId="561" xr:uid="{00000000-0005-0000-0000-0000BA170000}"/>
    <cellStyle name="Normal 27 2" xfId="3712" xr:uid="{00000000-0005-0000-0000-0000BB170000}"/>
    <cellStyle name="Normal 27 2 2" xfId="6115" xr:uid="{00000000-0005-0000-0000-0000BC170000}"/>
    <cellStyle name="Normal 27 2 3" xfId="8626" xr:uid="{00000000-0005-0000-0000-0000BD170000}"/>
    <cellStyle name="Normal 27 3" xfId="3377" xr:uid="{00000000-0005-0000-0000-0000BE170000}"/>
    <cellStyle name="Normal 27 4" xfId="5012" xr:uid="{00000000-0005-0000-0000-0000BF170000}"/>
    <cellStyle name="Normal 27 5" xfId="7343" xr:uid="{00000000-0005-0000-0000-0000C0170000}"/>
    <cellStyle name="Normal 27 6" xfId="2098" xr:uid="{00000000-0005-0000-0000-0000C1170000}"/>
    <cellStyle name="Normal 28" xfId="562" xr:uid="{00000000-0005-0000-0000-0000C2170000}"/>
    <cellStyle name="Normal 28 2" xfId="5013" xr:uid="{00000000-0005-0000-0000-0000C3170000}"/>
    <cellStyle name="Normal 28 3" xfId="7344" xr:uid="{00000000-0005-0000-0000-0000C4170000}"/>
    <cellStyle name="Normal 28 4" xfId="2099" xr:uid="{00000000-0005-0000-0000-0000C5170000}"/>
    <cellStyle name="Normal 29" xfId="563" xr:uid="{00000000-0005-0000-0000-0000C6170000}"/>
    <cellStyle name="Normal 29 2" xfId="5014" xr:uid="{00000000-0005-0000-0000-0000C7170000}"/>
    <cellStyle name="Normal 29 3" xfId="7345" xr:uid="{00000000-0005-0000-0000-0000C8170000}"/>
    <cellStyle name="Normal 29 4" xfId="2100" xr:uid="{00000000-0005-0000-0000-0000C9170000}"/>
    <cellStyle name="Normal 3" xfId="564" xr:uid="{00000000-0005-0000-0000-0000CA170000}"/>
    <cellStyle name="Normal 3 10" xfId="565" xr:uid="{00000000-0005-0000-0000-0000CB170000}"/>
    <cellStyle name="Normal 3 10 2" xfId="2394" xr:uid="{00000000-0005-0000-0000-0000CC170000}"/>
    <cellStyle name="Normal 3 10 3" xfId="4278" xr:uid="{00000000-0005-0000-0000-0000CD170000}"/>
    <cellStyle name="Normal 3 10 4" xfId="7625" xr:uid="{00000000-0005-0000-0000-0000CE170000}"/>
    <cellStyle name="Normal 3 10 5" xfId="2395" xr:uid="{00000000-0005-0000-0000-0000CF170000}"/>
    <cellStyle name="Normal 3 11" xfId="566" xr:uid="{00000000-0005-0000-0000-0000D0170000}"/>
    <cellStyle name="Normal 3 11 2" xfId="2397" xr:uid="{00000000-0005-0000-0000-0000D1170000}"/>
    <cellStyle name="Normal 3 11 2 2" xfId="4280" xr:uid="{00000000-0005-0000-0000-0000D2170000}"/>
    <cellStyle name="Normal 3 11 2 3" xfId="7627" xr:uid="{00000000-0005-0000-0000-0000D3170000}"/>
    <cellStyle name="Normal 3 11 3" xfId="2398" xr:uid="{00000000-0005-0000-0000-0000D4170000}"/>
    <cellStyle name="Normal 3 11 3 2" xfId="4281" xr:uid="{00000000-0005-0000-0000-0000D5170000}"/>
    <cellStyle name="Normal 3 11 3 3" xfId="7628" xr:uid="{00000000-0005-0000-0000-0000D6170000}"/>
    <cellStyle name="Normal 3 11 4" xfId="2399" xr:uid="{00000000-0005-0000-0000-0000D7170000}"/>
    <cellStyle name="Normal 3 11 4 2" xfId="4282" xr:uid="{00000000-0005-0000-0000-0000D8170000}"/>
    <cellStyle name="Normal 3 11 4 3" xfId="7629" xr:uid="{00000000-0005-0000-0000-0000D9170000}"/>
    <cellStyle name="Normal 3 11 5" xfId="2663" xr:uid="{00000000-0005-0000-0000-0000DA170000}"/>
    <cellStyle name="Normal 3 11 6" xfId="4279" xr:uid="{00000000-0005-0000-0000-0000DB170000}"/>
    <cellStyle name="Normal 3 11 7" xfId="7626" xr:uid="{00000000-0005-0000-0000-0000DC170000}"/>
    <cellStyle name="Normal 3 11 8" xfId="2396" xr:uid="{00000000-0005-0000-0000-0000DD170000}"/>
    <cellStyle name="Normal 3 12" xfId="567" xr:uid="{00000000-0005-0000-0000-0000DE170000}"/>
    <cellStyle name="Normal 3 12 2" xfId="5016" xr:uid="{00000000-0005-0000-0000-0000DF170000}"/>
    <cellStyle name="Normal 3 12 3" xfId="8407" xr:uid="{00000000-0005-0000-0000-0000E0170000}"/>
    <cellStyle name="Normal 3 12 4" xfId="3379" xr:uid="{00000000-0005-0000-0000-0000E1170000}"/>
    <cellStyle name="Normal 3 13" xfId="568" xr:uid="{00000000-0005-0000-0000-0000E2170000}"/>
    <cellStyle name="Normal 3 13 2" xfId="5015" xr:uid="{00000000-0005-0000-0000-0000E3170000}"/>
    <cellStyle name="Normal 3 13 3" xfId="8406" xr:uid="{00000000-0005-0000-0000-0000E4170000}"/>
    <cellStyle name="Normal 3 13 4" xfId="3378" xr:uid="{00000000-0005-0000-0000-0000E5170000}"/>
    <cellStyle name="Normal 3 14" xfId="569" xr:uid="{00000000-0005-0000-0000-0000E6170000}"/>
    <cellStyle name="Normal 3 14 2" xfId="3858" xr:uid="{00000000-0005-0000-0000-0000E7170000}"/>
    <cellStyle name="Normal 3 15" xfId="570" xr:uid="{00000000-0005-0000-0000-0000E8170000}"/>
    <cellStyle name="Normal 3 15 2" xfId="6276" xr:uid="{00000000-0005-0000-0000-0000E9170000}"/>
    <cellStyle name="Normal 3 16" xfId="994" xr:uid="{00000000-0005-0000-0000-0000EA170000}"/>
    <cellStyle name="Normal 3 17" xfId="571" xr:uid="{00000000-0005-0000-0000-0000EB170000}"/>
    <cellStyle name="Normal 3 2" xfId="572" xr:uid="{00000000-0005-0000-0000-0000EC170000}"/>
    <cellStyle name="Normal 3 2 10" xfId="988"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6" xr:uid="{00000000-0005-0000-0000-0000F1170000}"/>
    <cellStyle name="Normal 3 2 2 2 2 3" xfId="7890" xr:uid="{00000000-0005-0000-0000-0000F2170000}"/>
    <cellStyle name="Normal 3 2 2 2 2 4" xfId="2696" xr:uid="{00000000-0005-0000-0000-0000F3170000}"/>
    <cellStyle name="Normal 3 2 2 2 3" xfId="3054" xr:uid="{00000000-0005-0000-0000-0000F4170000}"/>
    <cellStyle name="Normal 3 2 2 2 3 2" xfId="4699" xr:uid="{00000000-0005-0000-0000-0000F5170000}"/>
    <cellStyle name="Normal 3 2 2 2 3 3" xfId="8110" xr:uid="{00000000-0005-0000-0000-0000F6170000}"/>
    <cellStyle name="Normal 3 2 2 2 4" xfId="3747" xr:uid="{00000000-0005-0000-0000-0000F7170000}"/>
    <cellStyle name="Normal 3 2 2 2 4 2" xfId="6145" xr:uid="{00000000-0005-0000-0000-0000F8170000}"/>
    <cellStyle name="Normal 3 2 2 2 4 3" xfId="8661" xr:uid="{00000000-0005-0000-0000-0000F9170000}"/>
    <cellStyle name="Normal 3 2 2 2 5" xfId="2859" xr:uid="{00000000-0005-0000-0000-0000FA170000}"/>
    <cellStyle name="Normal 3 2 2 2 6" xfId="4283" xr:uid="{00000000-0005-0000-0000-0000FB170000}"/>
    <cellStyle name="Normal 3 2 2 2 7" xfId="7630" xr:uid="{00000000-0005-0000-0000-0000FC170000}"/>
    <cellStyle name="Normal 3 2 2 2 8" xfId="2400" xr:uid="{00000000-0005-0000-0000-0000FD170000}"/>
    <cellStyle name="Normal 3 2 2 3" xfId="576" xr:uid="{00000000-0005-0000-0000-0000FE170000}"/>
    <cellStyle name="Normal 3 2 2 3 2" xfId="577" xr:uid="{00000000-0005-0000-0000-0000FF170000}"/>
    <cellStyle name="Normal 3 2 2 3 2 2" xfId="4617" xr:uid="{00000000-0005-0000-0000-000000180000}"/>
    <cellStyle name="Normal 3 2 2 3 2 3" xfId="8013" xr:uid="{00000000-0005-0000-0000-000001180000}"/>
    <cellStyle name="Normal 3 2 2 3 2 4" xfId="2957" xr:uid="{00000000-0005-0000-0000-000002180000}"/>
    <cellStyle name="Normal 3 2 2 3 3" xfId="3055" xr:uid="{00000000-0005-0000-0000-000003180000}"/>
    <cellStyle name="Normal 3 2 2 3 3 2" xfId="4700" xr:uid="{00000000-0005-0000-0000-000004180000}"/>
    <cellStyle name="Normal 3 2 2 3 3 3" xfId="8111" xr:uid="{00000000-0005-0000-0000-000005180000}"/>
    <cellStyle name="Normal 3 2 2 3 4" xfId="3790" xr:uid="{00000000-0005-0000-0000-000006180000}"/>
    <cellStyle name="Normal 3 2 2 3 4 2" xfId="6180" xr:uid="{00000000-0005-0000-0000-000007180000}"/>
    <cellStyle name="Normal 3 2 2 3 4 3" xfId="8701" xr:uid="{00000000-0005-0000-0000-000008180000}"/>
    <cellStyle name="Normal 3 2 2 3 5" xfId="2860" xr:uid="{00000000-0005-0000-0000-000009180000}"/>
    <cellStyle name="Normal 3 2 2 3 6" xfId="4284" xr:uid="{00000000-0005-0000-0000-00000A180000}"/>
    <cellStyle name="Normal 3 2 2 3 7" xfId="7891" xr:uid="{00000000-0005-0000-0000-00000B180000}"/>
    <cellStyle name="Normal 3 2 2 3 8" xfId="2697" xr:uid="{00000000-0005-0000-0000-00000C180000}"/>
    <cellStyle name="Normal 3 2 2 4" xfId="578" xr:uid="{00000000-0005-0000-0000-00000D180000}"/>
    <cellStyle name="Normal 3 2 2 4 2" xfId="3568" xr:uid="{00000000-0005-0000-0000-00000E180000}"/>
    <cellStyle name="Normal 3 2 2 4 3" xfId="5180" xr:uid="{00000000-0005-0000-0000-00000F180000}"/>
    <cellStyle name="Normal 3 2 2 4 4" xfId="7845" xr:uid="{00000000-0005-0000-0000-000010180000}"/>
    <cellStyle name="Normal 3 2 2 4 5" xfId="2628" xr:uid="{00000000-0005-0000-0000-000011180000}"/>
    <cellStyle name="Normal 3 2 2 5" xfId="579" xr:uid="{00000000-0005-0000-0000-000012180000}"/>
    <cellStyle name="Normal 3 2 2 5 2" xfId="2839" xr:uid="{00000000-0005-0000-0000-000013180000}"/>
    <cellStyle name="Normal 3 2 2 6" xfId="3883" xr:uid="{00000000-0005-0000-0000-000014180000}"/>
    <cellStyle name="Normal 3 2 2 7" xfId="4544" xr:uid="{00000000-0005-0000-0000-000015180000}"/>
    <cellStyle name="Normal 3 2 2 8" xfId="6427" xr:uid="{00000000-0005-0000-0000-000016180000}"/>
    <cellStyle name="Normal 3 2 2 9" xfId="1175"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2" xr:uid="{00000000-0005-0000-0000-00001B180000}"/>
    <cellStyle name="Normal 3 2 3 2 4" xfId="2956" xr:uid="{00000000-0005-0000-0000-00001C180000}"/>
    <cellStyle name="Normal 3 2 3 3" xfId="583" xr:uid="{00000000-0005-0000-0000-00001D180000}"/>
    <cellStyle name="Normal 3 2 3 3 2" xfId="584" xr:uid="{00000000-0005-0000-0000-00001E180000}"/>
    <cellStyle name="Normal 3 2 3 3 3" xfId="8109" xr:uid="{00000000-0005-0000-0000-00001F180000}"/>
    <cellStyle name="Normal 3 2 3 3 4" xfId="3053"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5" xr:uid="{00000000-0005-0000-0000-000025180000}"/>
    <cellStyle name="Normal 3 2 3 4 4" xfId="3752"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8" xr:uid="{00000000-0005-0000-0000-00002A180000}"/>
    <cellStyle name="Normal 3 2 3 6" xfId="592" xr:uid="{00000000-0005-0000-0000-00002B180000}"/>
    <cellStyle name="Normal 3 2 3 7" xfId="593" xr:uid="{00000000-0005-0000-0000-00002C180000}"/>
    <cellStyle name="Normal 3 2 3 7 2" xfId="7892" xr:uid="{00000000-0005-0000-0000-00002D180000}"/>
    <cellStyle name="Normal 3 2 3 8" xfId="2698"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6" xr:uid="{00000000-0005-0000-0000-000032180000}"/>
    <cellStyle name="Normal 3 2 4 3" xfId="597" xr:uid="{00000000-0005-0000-0000-000033180000}"/>
    <cellStyle name="Normal 3 2 4 3 2" xfId="598" xr:uid="{00000000-0005-0000-0000-000034180000}"/>
    <cellStyle name="Normal 3 2 4 3 3" xfId="8720" xr:uid="{00000000-0005-0000-0000-000035180000}"/>
    <cellStyle name="Normal 3 2 4 4" xfId="599" xr:uid="{00000000-0005-0000-0000-000036180000}"/>
    <cellStyle name="Normal 3 2 4 5" xfId="3809"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5" xr:uid="{00000000-0005-0000-0000-00003B180000}"/>
    <cellStyle name="Normal 3 2 6" xfId="603" xr:uid="{00000000-0005-0000-0000-00003C180000}"/>
    <cellStyle name="Normal 3 2 6 2" xfId="604" xr:uid="{00000000-0005-0000-0000-00003D180000}"/>
    <cellStyle name="Normal 3 2 6 3" xfId="6275" xr:uid="{00000000-0005-0000-0000-00003E180000}"/>
    <cellStyle name="Normal 3 2 7" xfId="605" xr:uid="{00000000-0005-0000-0000-00003F180000}"/>
    <cellStyle name="Normal 3 2 7 2" xfId="993"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6" xr:uid="{00000000-0005-0000-0000-000045180000}"/>
    <cellStyle name="Normal 3 3 2" xfId="1153" xr:uid="{00000000-0005-0000-0000-000046180000}"/>
    <cellStyle name="Normal 3 3 2 2" xfId="2115" xr:uid="{00000000-0005-0000-0000-000047180000}"/>
    <cellStyle name="Normal 3 3 2 2 2" xfId="2955" xr:uid="{00000000-0005-0000-0000-000048180000}"/>
    <cellStyle name="Normal 3 3 2 2 2 2" xfId="4615" xr:uid="{00000000-0005-0000-0000-000049180000}"/>
    <cellStyle name="Normal 3 3 2 2 2 3" xfId="8011" xr:uid="{00000000-0005-0000-0000-00004A180000}"/>
    <cellStyle name="Normal 3 3 2 2 3" xfId="3052" xr:uid="{00000000-0005-0000-0000-00004B180000}"/>
    <cellStyle name="Normal 3 3 2 2 3 2" xfId="4698" xr:uid="{00000000-0005-0000-0000-00004C180000}"/>
    <cellStyle name="Normal 3 3 2 2 3 3" xfId="8108" xr:uid="{00000000-0005-0000-0000-00004D180000}"/>
    <cellStyle name="Normal 3 3 2 2 4" xfId="3820" xr:uid="{00000000-0005-0000-0000-00004E180000}"/>
    <cellStyle name="Normal 3 3 2 2 4 2" xfId="6205" xr:uid="{00000000-0005-0000-0000-00004F180000}"/>
    <cellStyle name="Normal 3 3 2 2 4 3" xfId="8731" xr:uid="{00000000-0005-0000-0000-000050180000}"/>
    <cellStyle name="Normal 3 3 2 2 5" xfId="2857" xr:uid="{00000000-0005-0000-0000-000051180000}"/>
    <cellStyle name="Normal 3 3 2 2 6" xfId="4287" xr:uid="{00000000-0005-0000-0000-000052180000}"/>
    <cellStyle name="Normal 3 3 2 2 7" xfId="7359" xr:uid="{00000000-0005-0000-0000-000053180000}"/>
    <cellStyle name="Normal 3 3 2 3" xfId="2699" xr:uid="{00000000-0005-0000-0000-000054180000}"/>
    <cellStyle name="Normal 3 3 2 3 2" xfId="2927" xr:uid="{00000000-0005-0000-0000-000055180000}"/>
    <cellStyle name="Normal 3 3 2 3 2 2" xfId="4595" xr:uid="{00000000-0005-0000-0000-000056180000}"/>
    <cellStyle name="Normal 3 3 2 3 2 3" xfId="7984" xr:uid="{00000000-0005-0000-0000-000057180000}"/>
    <cellStyle name="Normal 3 3 2 3 3" xfId="3020" xr:uid="{00000000-0005-0000-0000-000058180000}"/>
    <cellStyle name="Normal 3 3 2 3 3 2" xfId="4679" xr:uid="{00000000-0005-0000-0000-000059180000}"/>
    <cellStyle name="Normal 3 3 2 3 3 3" xfId="8076" xr:uid="{00000000-0005-0000-0000-00005A180000}"/>
    <cellStyle name="Normal 3 3 2 3 4" xfId="3793" xr:uid="{00000000-0005-0000-0000-00005B180000}"/>
    <cellStyle name="Normal 3 3 2 3 4 2" xfId="6183" xr:uid="{00000000-0005-0000-0000-00005C180000}"/>
    <cellStyle name="Normal 3 3 2 3 4 3" xfId="8704" xr:uid="{00000000-0005-0000-0000-00005D180000}"/>
    <cellStyle name="Normal 3 3 2 3 5" xfId="2821" xr:uid="{00000000-0005-0000-0000-00005E180000}"/>
    <cellStyle name="Normal 3 3 2 3 6" xfId="4288" xr:uid="{00000000-0005-0000-0000-00005F180000}"/>
    <cellStyle name="Normal 3 3 2 3 7" xfId="7893" xr:uid="{00000000-0005-0000-0000-000060180000}"/>
    <cellStyle name="Normal 3 3 2 4" xfId="2916" xr:uid="{00000000-0005-0000-0000-000061180000}"/>
    <cellStyle name="Normal 3 3 2 4 2" xfId="4584" xr:uid="{00000000-0005-0000-0000-000062180000}"/>
    <cellStyle name="Normal 3 3 2 4 3" xfId="7973" xr:uid="{00000000-0005-0000-0000-000063180000}"/>
    <cellStyle name="Normal 3 3 2 5" xfId="3008" xr:uid="{00000000-0005-0000-0000-000064180000}"/>
    <cellStyle name="Normal 3 3 2 5 2" xfId="4668" xr:uid="{00000000-0005-0000-0000-000065180000}"/>
    <cellStyle name="Normal 3 3 2 5 3" xfId="8064" xr:uid="{00000000-0005-0000-0000-000066180000}"/>
    <cellStyle name="Normal 3 3 2 6" xfId="3810" xr:uid="{00000000-0005-0000-0000-000067180000}"/>
    <cellStyle name="Normal 3 3 2 6 2" xfId="6197" xr:uid="{00000000-0005-0000-0000-000068180000}"/>
    <cellStyle name="Normal 3 3 2 6 3" xfId="8721" xr:uid="{00000000-0005-0000-0000-000069180000}"/>
    <cellStyle name="Normal 3 3 2 7" xfId="2807" xr:uid="{00000000-0005-0000-0000-00006A180000}"/>
    <cellStyle name="Normal 3 3 2 8" xfId="4286" xr:uid="{00000000-0005-0000-0000-00006B180000}"/>
    <cellStyle name="Normal 3 3 2 9" xfId="6408" xr:uid="{00000000-0005-0000-0000-00006C180000}"/>
    <cellStyle name="Normal 3 3 3" xfId="1169" xr:uid="{00000000-0005-0000-0000-00006D180000}"/>
    <cellStyle name="Normal 3 3 3 2" xfId="2700" xr:uid="{00000000-0005-0000-0000-00006E180000}"/>
    <cellStyle name="Normal 3 3 3 2 2" xfId="4607" xr:uid="{00000000-0005-0000-0000-00006F180000}"/>
    <cellStyle name="Normal 3 3 3 2 3" xfId="7894" xr:uid="{00000000-0005-0000-0000-000070180000}"/>
    <cellStyle name="Normal 3 3 3 3" xfId="3043" xr:uid="{00000000-0005-0000-0000-000071180000}"/>
    <cellStyle name="Normal 3 3 3 3 2" xfId="4690" xr:uid="{00000000-0005-0000-0000-000072180000}"/>
    <cellStyle name="Normal 3 3 3 3 3" xfId="8099" xr:uid="{00000000-0005-0000-0000-000073180000}"/>
    <cellStyle name="Normal 3 3 3 4" xfId="3826" xr:uid="{00000000-0005-0000-0000-000074180000}"/>
    <cellStyle name="Normal 3 3 3 4 2" xfId="6209" xr:uid="{00000000-0005-0000-0000-000075180000}"/>
    <cellStyle name="Normal 3 3 3 4 3" xfId="8737" xr:uid="{00000000-0005-0000-0000-000076180000}"/>
    <cellStyle name="Normal 3 3 3 5" xfId="2848" xr:uid="{00000000-0005-0000-0000-000077180000}"/>
    <cellStyle name="Normal 3 3 3 6" xfId="4289" xr:uid="{00000000-0005-0000-0000-000078180000}"/>
    <cellStyle name="Normal 3 3 3 7" xfId="6422" xr:uid="{00000000-0005-0000-0000-000079180000}"/>
    <cellStyle name="Normal 3 3 4" xfId="2907" xr:uid="{00000000-0005-0000-0000-00007A180000}"/>
    <cellStyle name="Normal 3 3 4 2" xfId="3803" xr:uid="{00000000-0005-0000-0000-00007B180000}"/>
    <cellStyle name="Normal 3 3 4 2 2" xfId="6193" xr:uid="{00000000-0005-0000-0000-00007C180000}"/>
    <cellStyle name="Normal 3 3 4 2 3" xfId="8714" xr:uid="{00000000-0005-0000-0000-00007D180000}"/>
    <cellStyle name="Normal 3 3 4 3" xfId="4574" xr:uid="{00000000-0005-0000-0000-00007E180000}"/>
    <cellStyle name="Normal 3 3 4 4" xfId="7966" xr:uid="{00000000-0005-0000-0000-00007F180000}"/>
    <cellStyle name="Normal 3 3 5" xfId="2997" xr:uid="{00000000-0005-0000-0000-000080180000}"/>
    <cellStyle name="Normal 3 3 5 2" xfId="3792" xr:uid="{00000000-0005-0000-0000-000081180000}"/>
    <cellStyle name="Normal 3 3 5 2 2" xfId="6182" xr:uid="{00000000-0005-0000-0000-000082180000}"/>
    <cellStyle name="Normal 3 3 5 2 3" xfId="8703" xr:uid="{00000000-0005-0000-0000-000083180000}"/>
    <cellStyle name="Normal 3 3 5 3" xfId="4659" xr:uid="{00000000-0005-0000-0000-000084180000}"/>
    <cellStyle name="Normal 3 3 5 4" xfId="8053" xr:uid="{00000000-0005-0000-0000-000085180000}"/>
    <cellStyle name="Normal 3 3 6" xfId="3380" xr:uid="{00000000-0005-0000-0000-000086180000}"/>
    <cellStyle name="Normal 3 3 6 2" xfId="5017" xr:uid="{00000000-0005-0000-0000-000087180000}"/>
    <cellStyle name="Normal 3 3 6 3" xfId="8408" xr:uid="{00000000-0005-0000-0000-000088180000}"/>
    <cellStyle name="Normal 3 3 7" xfId="2793" xr:uid="{00000000-0005-0000-0000-000089180000}"/>
    <cellStyle name="Normal 3 3 8" xfId="4285" xr:uid="{00000000-0005-0000-0000-00008A180000}"/>
    <cellStyle name="Normal 3 3 9" xfId="6387" xr:uid="{00000000-0005-0000-0000-00008B180000}"/>
    <cellStyle name="Normal 3 4" xfId="610" xr:uid="{00000000-0005-0000-0000-00008C180000}"/>
    <cellStyle name="Normal 3 4 2" xfId="2402" xr:uid="{00000000-0005-0000-0000-00008D180000}"/>
    <cellStyle name="Normal 3 4 2 2" xfId="2701" xr:uid="{00000000-0005-0000-0000-00008E180000}"/>
    <cellStyle name="Normal 3 4 2 2 2" xfId="2953" xr:uid="{00000000-0005-0000-0000-00008F180000}"/>
    <cellStyle name="Normal 3 4 2 2 2 2" xfId="4613" xr:uid="{00000000-0005-0000-0000-000090180000}"/>
    <cellStyle name="Normal 3 4 2 2 2 3" xfId="8009" xr:uid="{00000000-0005-0000-0000-000091180000}"/>
    <cellStyle name="Normal 3 4 2 2 3" xfId="3050" xr:uid="{00000000-0005-0000-0000-000092180000}"/>
    <cellStyle name="Normal 3 4 2 2 3 2" xfId="4696" xr:uid="{00000000-0005-0000-0000-000093180000}"/>
    <cellStyle name="Normal 3 4 2 2 3 3" xfId="8106" xr:uid="{00000000-0005-0000-0000-000094180000}"/>
    <cellStyle name="Normal 3 4 2 2 4" xfId="3841" xr:uid="{00000000-0005-0000-0000-000095180000}"/>
    <cellStyle name="Normal 3 4 2 2 4 2" xfId="6221" xr:uid="{00000000-0005-0000-0000-000096180000}"/>
    <cellStyle name="Normal 3 4 2 2 4 3" xfId="8752" xr:uid="{00000000-0005-0000-0000-000097180000}"/>
    <cellStyle name="Normal 3 4 2 2 5" xfId="2855" xr:uid="{00000000-0005-0000-0000-000098180000}"/>
    <cellStyle name="Normal 3 4 2 2 6" xfId="4292" xr:uid="{00000000-0005-0000-0000-000099180000}"/>
    <cellStyle name="Normal 3 4 2 2 7" xfId="7895" xr:uid="{00000000-0005-0000-0000-00009A180000}"/>
    <cellStyle name="Normal 3 4 2 3" xfId="2702" xr:uid="{00000000-0005-0000-0000-00009B180000}"/>
    <cellStyle name="Normal 3 4 2 3 2" xfId="2954" xr:uid="{00000000-0005-0000-0000-00009C180000}"/>
    <cellStyle name="Normal 3 4 2 3 2 2" xfId="4614" xr:uid="{00000000-0005-0000-0000-00009D180000}"/>
    <cellStyle name="Normal 3 4 2 3 2 3" xfId="8010" xr:uid="{00000000-0005-0000-0000-00009E180000}"/>
    <cellStyle name="Normal 3 4 2 3 3" xfId="3051" xr:uid="{00000000-0005-0000-0000-00009F180000}"/>
    <cellStyle name="Normal 3 4 2 3 3 2" xfId="4697" xr:uid="{00000000-0005-0000-0000-0000A0180000}"/>
    <cellStyle name="Normal 3 4 2 3 3 3" xfId="8107" xr:uid="{00000000-0005-0000-0000-0000A1180000}"/>
    <cellStyle name="Normal 3 4 2 3 4" xfId="3848" xr:uid="{00000000-0005-0000-0000-0000A2180000}"/>
    <cellStyle name="Normal 3 4 2 3 4 2" xfId="6225" xr:uid="{00000000-0005-0000-0000-0000A3180000}"/>
    <cellStyle name="Normal 3 4 2 3 4 3" xfId="8759" xr:uid="{00000000-0005-0000-0000-0000A4180000}"/>
    <cellStyle name="Normal 3 4 2 3 5" xfId="2856" xr:uid="{00000000-0005-0000-0000-0000A5180000}"/>
    <cellStyle name="Normal 3 4 2 3 6" xfId="4293" xr:uid="{00000000-0005-0000-0000-0000A6180000}"/>
    <cellStyle name="Normal 3 4 2 3 7" xfId="7896" xr:uid="{00000000-0005-0000-0000-0000A7180000}"/>
    <cellStyle name="Normal 3 4 2 4" xfId="2917" xr:uid="{00000000-0005-0000-0000-0000A8180000}"/>
    <cellStyle name="Normal 3 4 2 4 2" xfId="4585" xr:uid="{00000000-0005-0000-0000-0000A9180000}"/>
    <cellStyle name="Normal 3 4 2 4 3" xfId="7974" xr:uid="{00000000-0005-0000-0000-0000AA180000}"/>
    <cellStyle name="Normal 3 4 2 5" xfId="3009" xr:uid="{00000000-0005-0000-0000-0000AB180000}"/>
    <cellStyle name="Normal 3 4 2 5 2" xfId="4669" xr:uid="{00000000-0005-0000-0000-0000AC180000}"/>
    <cellStyle name="Normal 3 4 2 5 3" xfId="8065" xr:uid="{00000000-0005-0000-0000-0000AD180000}"/>
    <cellStyle name="Normal 3 4 2 6" xfId="3746" xr:uid="{00000000-0005-0000-0000-0000AE180000}"/>
    <cellStyle name="Normal 3 4 2 6 2" xfId="6144" xr:uid="{00000000-0005-0000-0000-0000AF180000}"/>
    <cellStyle name="Normal 3 4 2 6 3" xfId="8660" xr:uid="{00000000-0005-0000-0000-0000B0180000}"/>
    <cellStyle name="Normal 3 4 2 7" xfId="2808" xr:uid="{00000000-0005-0000-0000-0000B1180000}"/>
    <cellStyle name="Normal 3 4 2 8" xfId="4291" xr:uid="{00000000-0005-0000-0000-0000B2180000}"/>
    <cellStyle name="Normal 3 4 2 9" xfId="7632" xr:uid="{00000000-0005-0000-0000-0000B3180000}"/>
    <cellStyle name="Normal 3 4 3" xfId="2703" xr:uid="{00000000-0005-0000-0000-0000B4180000}"/>
    <cellStyle name="Normal 3 4 3 2" xfId="2948" xr:uid="{00000000-0005-0000-0000-0000B5180000}"/>
    <cellStyle name="Normal 3 4 3 2 2" xfId="4608" xr:uid="{00000000-0005-0000-0000-0000B6180000}"/>
    <cellStyle name="Normal 3 4 3 2 3" xfId="8004" xr:uid="{00000000-0005-0000-0000-0000B7180000}"/>
    <cellStyle name="Normal 3 4 3 3" xfId="3044" xr:uid="{00000000-0005-0000-0000-0000B8180000}"/>
    <cellStyle name="Normal 3 4 3 3 2" xfId="4691" xr:uid="{00000000-0005-0000-0000-0000B9180000}"/>
    <cellStyle name="Normal 3 4 3 3 3" xfId="8100" xr:uid="{00000000-0005-0000-0000-0000BA180000}"/>
    <cellStyle name="Normal 3 4 3 4" xfId="3836" xr:uid="{00000000-0005-0000-0000-0000BB180000}"/>
    <cellStyle name="Normal 3 4 3 4 2" xfId="6217" xr:uid="{00000000-0005-0000-0000-0000BC180000}"/>
    <cellStyle name="Normal 3 4 3 4 3" xfId="8747" xr:uid="{00000000-0005-0000-0000-0000BD180000}"/>
    <cellStyle name="Normal 3 4 3 5" xfId="2849" xr:uid="{00000000-0005-0000-0000-0000BE180000}"/>
    <cellStyle name="Normal 3 4 3 6" xfId="4294" xr:uid="{00000000-0005-0000-0000-0000BF180000}"/>
    <cellStyle name="Normal 3 4 3 7" xfId="7897" xr:uid="{00000000-0005-0000-0000-0000C0180000}"/>
    <cellStyle name="Normal 3 4 4" xfId="3381" xr:uid="{00000000-0005-0000-0000-0000C1180000}"/>
    <cellStyle name="Normal 3 4 4 2" xfId="5018" xr:uid="{00000000-0005-0000-0000-0000C2180000}"/>
    <cellStyle name="Normal 3 4 4 3" xfId="8409" xr:uid="{00000000-0005-0000-0000-0000C3180000}"/>
    <cellStyle name="Normal 3 4 5" xfId="4290" xr:uid="{00000000-0005-0000-0000-0000C4180000}"/>
    <cellStyle name="Normal 3 4 6" xfId="6388" xr:uid="{00000000-0005-0000-0000-0000C5180000}"/>
    <cellStyle name="Normal 3 4 7" xfId="1117" xr:uid="{00000000-0005-0000-0000-0000C6180000}"/>
    <cellStyle name="Normal 3 5" xfId="611" xr:uid="{00000000-0005-0000-0000-0000C7180000}"/>
    <cellStyle name="Normal 3 5 2" xfId="2403" xr:uid="{00000000-0005-0000-0000-0000C8180000}"/>
    <cellStyle name="Normal 3 5 2 2" xfId="2918" xr:uid="{00000000-0005-0000-0000-0000C9180000}"/>
    <cellStyle name="Normal 3 5 2 2 2" xfId="4586" xr:uid="{00000000-0005-0000-0000-0000CA180000}"/>
    <cellStyle name="Normal 3 5 2 2 3" xfId="7975" xr:uid="{00000000-0005-0000-0000-0000CB180000}"/>
    <cellStyle name="Normal 3 5 2 3" xfId="3010" xr:uid="{00000000-0005-0000-0000-0000CC180000}"/>
    <cellStyle name="Normal 3 5 2 3 2" xfId="4670" xr:uid="{00000000-0005-0000-0000-0000CD180000}"/>
    <cellStyle name="Normal 3 5 2 3 3" xfId="8066" xr:uid="{00000000-0005-0000-0000-0000CE180000}"/>
    <cellStyle name="Normal 3 5 2 4" xfId="3814" xr:uid="{00000000-0005-0000-0000-0000CF180000}"/>
    <cellStyle name="Normal 3 5 2 4 2" xfId="6201" xr:uid="{00000000-0005-0000-0000-0000D0180000}"/>
    <cellStyle name="Normal 3 5 2 4 3" xfId="8725" xr:uid="{00000000-0005-0000-0000-0000D1180000}"/>
    <cellStyle name="Normal 3 5 2 5" xfId="2809" xr:uid="{00000000-0005-0000-0000-0000D2180000}"/>
    <cellStyle name="Normal 3 5 2 6" xfId="4296" xr:uid="{00000000-0005-0000-0000-0000D3180000}"/>
    <cellStyle name="Normal 3 5 2 7" xfId="7633" xr:uid="{00000000-0005-0000-0000-0000D4180000}"/>
    <cellStyle name="Normal 3 5 3" xfId="2704" xr:uid="{00000000-0005-0000-0000-0000D5180000}"/>
    <cellStyle name="Normal 3 5 3 2" xfId="2949" xr:uid="{00000000-0005-0000-0000-0000D6180000}"/>
    <cellStyle name="Normal 3 5 3 2 2" xfId="4609" xr:uid="{00000000-0005-0000-0000-0000D7180000}"/>
    <cellStyle name="Normal 3 5 3 2 3" xfId="8005" xr:uid="{00000000-0005-0000-0000-0000D8180000}"/>
    <cellStyle name="Normal 3 5 3 3" xfId="3045" xr:uid="{00000000-0005-0000-0000-0000D9180000}"/>
    <cellStyle name="Normal 3 5 3 3 2" xfId="4692" xr:uid="{00000000-0005-0000-0000-0000DA180000}"/>
    <cellStyle name="Normal 3 5 3 3 3" xfId="8101" xr:uid="{00000000-0005-0000-0000-0000DB180000}"/>
    <cellStyle name="Normal 3 5 3 4" xfId="3735" xr:uid="{00000000-0005-0000-0000-0000DC180000}"/>
    <cellStyle name="Normal 3 5 3 4 2" xfId="6136" xr:uid="{00000000-0005-0000-0000-0000DD180000}"/>
    <cellStyle name="Normal 3 5 3 4 3" xfId="8649" xr:uid="{00000000-0005-0000-0000-0000DE180000}"/>
    <cellStyle name="Normal 3 5 3 5" xfId="2850" xr:uid="{00000000-0005-0000-0000-0000DF180000}"/>
    <cellStyle name="Normal 3 5 3 6" xfId="4297" xr:uid="{00000000-0005-0000-0000-0000E0180000}"/>
    <cellStyle name="Normal 3 5 3 7" xfId="7898" xr:uid="{00000000-0005-0000-0000-0000E1180000}"/>
    <cellStyle name="Normal 3 5 4" xfId="2705" xr:uid="{00000000-0005-0000-0000-0000E2180000}"/>
    <cellStyle name="Normal 3 5 4 2" xfId="4298" xr:uid="{00000000-0005-0000-0000-0000E3180000}"/>
    <cellStyle name="Normal 3 5 4 3" xfId="7899" xr:uid="{00000000-0005-0000-0000-0000E4180000}"/>
    <cellStyle name="Normal 3 5 5" xfId="4295" xr:uid="{00000000-0005-0000-0000-0000E5180000}"/>
    <cellStyle name="Normal 3 5 6" xfId="6386" xr:uid="{00000000-0005-0000-0000-0000E6180000}"/>
    <cellStyle name="Normal 3 5 7" xfId="1115" xr:uid="{00000000-0005-0000-0000-0000E7180000}"/>
    <cellStyle name="Normal 3 6" xfId="612" xr:uid="{00000000-0005-0000-0000-0000E8180000}"/>
    <cellStyle name="Normal 3 6 2" xfId="2404" xr:uid="{00000000-0005-0000-0000-0000E9180000}"/>
    <cellStyle name="Normal 3 6 2 2" xfId="2919" xr:uid="{00000000-0005-0000-0000-0000EA180000}"/>
    <cellStyle name="Normal 3 6 2 2 2" xfId="4587" xr:uid="{00000000-0005-0000-0000-0000EB180000}"/>
    <cellStyle name="Normal 3 6 2 2 3" xfId="7976" xr:uid="{00000000-0005-0000-0000-0000EC180000}"/>
    <cellStyle name="Normal 3 6 2 3" xfId="3011" xr:uid="{00000000-0005-0000-0000-0000ED180000}"/>
    <cellStyle name="Normal 3 6 2 3 2" xfId="4671" xr:uid="{00000000-0005-0000-0000-0000EE180000}"/>
    <cellStyle name="Normal 3 6 2 3 3" xfId="8067" xr:uid="{00000000-0005-0000-0000-0000EF180000}"/>
    <cellStyle name="Normal 3 6 2 4" xfId="3794" xr:uid="{00000000-0005-0000-0000-0000F0180000}"/>
    <cellStyle name="Normal 3 6 2 4 2" xfId="6184" xr:uid="{00000000-0005-0000-0000-0000F1180000}"/>
    <cellStyle name="Normal 3 6 2 4 3" xfId="8705" xr:uid="{00000000-0005-0000-0000-0000F2180000}"/>
    <cellStyle name="Normal 3 6 2 5" xfId="2810" xr:uid="{00000000-0005-0000-0000-0000F3180000}"/>
    <cellStyle name="Normal 3 6 2 6" xfId="4300" xr:uid="{00000000-0005-0000-0000-0000F4180000}"/>
    <cellStyle name="Normal 3 6 2 7" xfId="7634" xr:uid="{00000000-0005-0000-0000-0000F5180000}"/>
    <cellStyle name="Normal 3 6 3" xfId="2707" xr:uid="{00000000-0005-0000-0000-0000F6180000}"/>
    <cellStyle name="Normal 3 6 3 2" xfId="2950" xr:uid="{00000000-0005-0000-0000-0000F7180000}"/>
    <cellStyle name="Normal 3 6 3 2 2" xfId="4610" xr:uid="{00000000-0005-0000-0000-0000F8180000}"/>
    <cellStyle name="Normal 3 6 3 2 3" xfId="8006" xr:uid="{00000000-0005-0000-0000-0000F9180000}"/>
    <cellStyle name="Normal 3 6 3 3" xfId="3046" xr:uid="{00000000-0005-0000-0000-0000FA180000}"/>
    <cellStyle name="Normal 3 6 3 3 2" xfId="4693" xr:uid="{00000000-0005-0000-0000-0000FB180000}"/>
    <cellStyle name="Normal 3 6 3 3 3" xfId="8102" xr:uid="{00000000-0005-0000-0000-0000FC180000}"/>
    <cellStyle name="Normal 3 6 3 4" xfId="3786" xr:uid="{00000000-0005-0000-0000-0000FD180000}"/>
    <cellStyle name="Normal 3 6 3 4 2" xfId="6177" xr:uid="{00000000-0005-0000-0000-0000FE180000}"/>
    <cellStyle name="Normal 3 6 3 4 3" xfId="8697" xr:uid="{00000000-0005-0000-0000-0000FF180000}"/>
    <cellStyle name="Normal 3 6 3 5" xfId="2851" xr:uid="{00000000-0005-0000-0000-000000190000}"/>
    <cellStyle name="Normal 3 6 3 6" xfId="4301" xr:uid="{00000000-0005-0000-0000-000001190000}"/>
    <cellStyle name="Normal 3 6 3 7" xfId="7901" xr:uid="{00000000-0005-0000-0000-000002190000}"/>
    <cellStyle name="Normal 3 6 4" xfId="2708" xr:uid="{00000000-0005-0000-0000-000003190000}"/>
    <cellStyle name="Normal 3 6 4 2" xfId="2952" xr:uid="{00000000-0005-0000-0000-000004190000}"/>
    <cellStyle name="Normal 3 6 4 2 2" xfId="8008" xr:uid="{00000000-0005-0000-0000-000005190000}"/>
    <cellStyle name="Normal 3 6 4 3" xfId="3049" xr:uid="{00000000-0005-0000-0000-000006190000}"/>
    <cellStyle name="Normal 3 6 4 3 2" xfId="8105" xr:uid="{00000000-0005-0000-0000-000007190000}"/>
    <cellStyle name="Normal 3 6 4 4" xfId="3744" xr:uid="{00000000-0005-0000-0000-000008190000}"/>
    <cellStyle name="Normal 3 6 4 4 2" xfId="8658" xr:uid="{00000000-0005-0000-0000-000009190000}"/>
    <cellStyle name="Normal 3 6 4 5" xfId="2854" xr:uid="{00000000-0005-0000-0000-00000A190000}"/>
    <cellStyle name="Normal 3 6 4 6" xfId="7902" xr:uid="{00000000-0005-0000-0000-00000B190000}"/>
    <cellStyle name="Normal 3 6 5" xfId="2706" xr:uid="{00000000-0005-0000-0000-00000C190000}"/>
    <cellStyle name="Normal 3 6 5 2" xfId="4579" xr:uid="{00000000-0005-0000-0000-00000D190000}"/>
    <cellStyle name="Normal 3 6 5 3" xfId="7900" xr:uid="{00000000-0005-0000-0000-00000E190000}"/>
    <cellStyle name="Normal 3 6 6" xfId="4299" xr:uid="{00000000-0005-0000-0000-00000F190000}"/>
    <cellStyle name="Normal 3 6 7" xfId="7356" xr:uid="{00000000-0005-0000-0000-000010190000}"/>
    <cellStyle name="Normal 3 6 8" xfId="2111" xr:uid="{00000000-0005-0000-0000-000011190000}"/>
    <cellStyle name="Normal 3 7" xfId="613" xr:uid="{00000000-0005-0000-0000-000012190000}"/>
    <cellStyle name="Normal 3 7 10" xfId="7635" xr:uid="{00000000-0005-0000-0000-000013190000}"/>
    <cellStyle name="Normal 3 7 11" xfId="2405" xr:uid="{00000000-0005-0000-0000-000014190000}"/>
    <cellStyle name="Normal 3 7 2" xfId="2675" xr:uid="{00000000-0005-0000-0000-000015190000}"/>
    <cellStyle name="Normal 3 7 2 2" xfId="2951" xr:uid="{00000000-0005-0000-0000-000016190000}"/>
    <cellStyle name="Normal 3 7 2 2 2" xfId="4611" xr:uid="{00000000-0005-0000-0000-000017190000}"/>
    <cellStyle name="Normal 3 7 2 2 3" xfId="8007" xr:uid="{00000000-0005-0000-0000-000018190000}"/>
    <cellStyle name="Normal 3 7 2 3" xfId="3047" xr:uid="{00000000-0005-0000-0000-000019190000}"/>
    <cellStyle name="Normal 3 7 2 3 2" xfId="4694" xr:uid="{00000000-0005-0000-0000-00001A190000}"/>
    <cellStyle name="Normal 3 7 2 3 3" xfId="8103" xr:uid="{00000000-0005-0000-0000-00001B190000}"/>
    <cellStyle name="Normal 3 7 2 4" xfId="3725" xr:uid="{00000000-0005-0000-0000-00001C190000}"/>
    <cellStyle name="Normal 3 7 2 4 2" xfId="6129" xr:uid="{00000000-0005-0000-0000-00001D190000}"/>
    <cellStyle name="Normal 3 7 2 4 3" xfId="8639" xr:uid="{00000000-0005-0000-0000-00001E190000}"/>
    <cellStyle name="Normal 3 7 2 5" xfId="2852" xr:uid="{00000000-0005-0000-0000-00001F190000}"/>
    <cellStyle name="Normal 3 7 2 6" xfId="4303" xr:uid="{00000000-0005-0000-0000-000020190000}"/>
    <cellStyle name="Normal 3 7 2 7" xfId="7872" xr:uid="{00000000-0005-0000-0000-000021190000}"/>
    <cellStyle name="Normal 3 7 3" xfId="2709" xr:uid="{00000000-0005-0000-0000-000022190000}"/>
    <cellStyle name="Normal 3 7 3 2" xfId="4304" xr:uid="{00000000-0005-0000-0000-000023190000}"/>
    <cellStyle name="Normal 3 7 3 3" xfId="7903" xr:uid="{00000000-0005-0000-0000-000024190000}"/>
    <cellStyle name="Normal 3 7 4" xfId="2920" xr:uid="{00000000-0005-0000-0000-000025190000}"/>
    <cellStyle name="Normal 3 7 4 2" xfId="4588" xr:uid="{00000000-0005-0000-0000-000026190000}"/>
    <cellStyle name="Normal 3 7 4 3" xfId="7977" xr:uid="{00000000-0005-0000-0000-000027190000}"/>
    <cellStyle name="Normal 3 7 5" xfId="3012" xr:uid="{00000000-0005-0000-0000-000028190000}"/>
    <cellStyle name="Normal 3 7 5 2" xfId="4672" xr:uid="{00000000-0005-0000-0000-000029190000}"/>
    <cellStyle name="Normal 3 7 5 3" xfId="8068" xr:uid="{00000000-0005-0000-0000-00002A190000}"/>
    <cellStyle name="Normal 3 7 6" xfId="3382" xr:uid="{00000000-0005-0000-0000-00002B190000}"/>
    <cellStyle name="Normal 3 7 6 2" xfId="5019" xr:uid="{00000000-0005-0000-0000-00002C190000}"/>
    <cellStyle name="Normal 3 7 6 3" xfId="8410" xr:uid="{00000000-0005-0000-0000-00002D190000}"/>
    <cellStyle name="Normal 3 7 7" xfId="3788" xr:uid="{00000000-0005-0000-0000-00002E190000}"/>
    <cellStyle name="Normal 3 7 7 2" xfId="6178" xr:uid="{00000000-0005-0000-0000-00002F190000}"/>
    <cellStyle name="Normal 3 7 7 3" xfId="8699" xr:uid="{00000000-0005-0000-0000-000030190000}"/>
    <cellStyle name="Normal 3 7 8" xfId="2811" xr:uid="{00000000-0005-0000-0000-000031190000}"/>
    <cellStyle name="Normal 3 7 9" xfId="4302" xr:uid="{00000000-0005-0000-0000-000032190000}"/>
    <cellStyle name="Normal 3 8" xfId="614" xr:uid="{00000000-0005-0000-0000-000033190000}"/>
    <cellStyle name="Normal 3 8 10" xfId="2406" xr:uid="{00000000-0005-0000-0000-000034190000}"/>
    <cellStyle name="Normal 3 8 2" xfId="2283" xr:uid="{00000000-0005-0000-0000-000035190000}"/>
    <cellStyle name="Normal 3 8 2 2" xfId="2710" xr:uid="{00000000-0005-0000-0000-000036190000}"/>
    <cellStyle name="Normal 3 8 2 2 2" xfId="4612" xr:uid="{00000000-0005-0000-0000-000037190000}"/>
    <cellStyle name="Normal 3 8 2 2 3" xfId="7904" xr:uid="{00000000-0005-0000-0000-000038190000}"/>
    <cellStyle name="Normal 3 8 2 3" xfId="3048" xr:uid="{00000000-0005-0000-0000-000039190000}"/>
    <cellStyle name="Normal 3 8 2 3 2" xfId="4695" xr:uid="{00000000-0005-0000-0000-00003A190000}"/>
    <cellStyle name="Normal 3 8 2 3 3" xfId="8104" xr:uid="{00000000-0005-0000-0000-00003B190000}"/>
    <cellStyle name="Normal 3 8 2 4" xfId="3811" xr:uid="{00000000-0005-0000-0000-00003C190000}"/>
    <cellStyle name="Normal 3 8 2 4 2" xfId="6198" xr:uid="{00000000-0005-0000-0000-00003D190000}"/>
    <cellStyle name="Normal 3 8 2 4 3" xfId="8722" xr:uid="{00000000-0005-0000-0000-00003E190000}"/>
    <cellStyle name="Normal 3 8 2 5" xfId="2853" xr:uid="{00000000-0005-0000-0000-00003F190000}"/>
    <cellStyle name="Normal 3 8 2 6" xfId="4306" xr:uid="{00000000-0005-0000-0000-000040190000}"/>
    <cellStyle name="Normal 3 8 2 7" xfId="7516" xr:uid="{00000000-0005-0000-0000-000041190000}"/>
    <cellStyle name="Normal 3 8 3" xfId="2921" xr:uid="{00000000-0005-0000-0000-000042190000}"/>
    <cellStyle name="Normal 3 8 3 2" xfId="4589" xr:uid="{00000000-0005-0000-0000-000043190000}"/>
    <cellStyle name="Normal 3 8 3 3" xfId="7978" xr:uid="{00000000-0005-0000-0000-000044190000}"/>
    <cellStyle name="Normal 3 8 4" xfId="3013" xr:uid="{00000000-0005-0000-0000-000045190000}"/>
    <cellStyle name="Normal 3 8 4 2" xfId="4673" xr:uid="{00000000-0005-0000-0000-000046190000}"/>
    <cellStyle name="Normal 3 8 4 3" xfId="8069" xr:uid="{00000000-0005-0000-0000-000047190000}"/>
    <cellStyle name="Normal 3 8 5" xfId="3383" xr:uid="{00000000-0005-0000-0000-000048190000}"/>
    <cellStyle name="Normal 3 8 5 2" xfId="5020" xr:uid="{00000000-0005-0000-0000-000049190000}"/>
    <cellStyle name="Normal 3 8 5 3" xfId="8411" xr:uid="{00000000-0005-0000-0000-00004A190000}"/>
    <cellStyle name="Normal 3 8 6" xfId="3740" xr:uid="{00000000-0005-0000-0000-00004B190000}"/>
    <cellStyle name="Normal 3 8 6 2" xfId="6141" xr:uid="{00000000-0005-0000-0000-00004C190000}"/>
    <cellStyle name="Normal 3 8 6 3" xfId="8654" xr:uid="{00000000-0005-0000-0000-00004D190000}"/>
    <cellStyle name="Normal 3 8 7" xfId="2812" xr:uid="{00000000-0005-0000-0000-00004E190000}"/>
    <cellStyle name="Normal 3 8 8" xfId="4305" xr:uid="{00000000-0005-0000-0000-00004F190000}"/>
    <cellStyle name="Normal 3 8 9" xfId="7636" xr:uid="{00000000-0005-0000-0000-000050190000}"/>
    <cellStyle name="Normal 3 9" xfId="615" xr:uid="{00000000-0005-0000-0000-000051190000}"/>
    <cellStyle name="Normal 3 9 2" xfId="2658" xr:uid="{00000000-0005-0000-0000-000052190000}"/>
    <cellStyle name="Normal 3 9 2 2" xfId="3384" xr:uid="{00000000-0005-0000-0000-000053190000}"/>
    <cellStyle name="Normal 3 9 2 3" xfId="5021" xr:uid="{00000000-0005-0000-0000-000054190000}"/>
    <cellStyle name="Normal 3 9 2 4" xfId="7868" xr:uid="{00000000-0005-0000-0000-000055190000}"/>
    <cellStyle name="Normal 3 9 3" xfId="4307" xr:uid="{00000000-0005-0000-0000-000056190000}"/>
    <cellStyle name="Normal 3 9 4" xfId="7637" xr:uid="{00000000-0005-0000-0000-000057190000}"/>
    <cellStyle name="Normal 3 9 5" xfId="2407" xr:uid="{00000000-0005-0000-0000-000058190000}"/>
    <cellStyle name="Normal 3_global_PO" xfId="3385" xr:uid="{00000000-0005-0000-0000-000059190000}"/>
    <cellStyle name="Normal 30" xfId="616" xr:uid="{00000000-0005-0000-0000-00005A190000}"/>
    <cellStyle name="Normal 30 2" xfId="3713" xr:uid="{00000000-0005-0000-0000-00005B190000}"/>
    <cellStyle name="Normal 30 2 2" xfId="6116" xr:uid="{00000000-0005-0000-0000-00005C190000}"/>
    <cellStyle name="Normal 30 2 3" xfId="8627" xr:uid="{00000000-0005-0000-0000-00005D190000}"/>
    <cellStyle name="Normal 30 3" xfId="3386" xr:uid="{00000000-0005-0000-0000-00005E190000}"/>
    <cellStyle name="Normal 30 4" xfId="5022" xr:uid="{00000000-0005-0000-0000-00005F190000}"/>
    <cellStyle name="Normal 30 5" xfId="7346" xr:uid="{00000000-0005-0000-0000-000060190000}"/>
    <cellStyle name="Normal 30 6" xfId="2101" xr:uid="{00000000-0005-0000-0000-000061190000}"/>
    <cellStyle name="Normal 31" xfId="617" xr:uid="{00000000-0005-0000-0000-000062190000}"/>
    <cellStyle name="Normal 31 2" xfId="3714" xr:uid="{00000000-0005-0000-0000-000063190000}"/>
    <cellStyle name="Normal 31 2 2" xfId="6117" xr:uid="{00000000-0005-0000-0000-000064190000}"/>
    <cellStyle name="Normal 31 2 3" xfId="8628" xr:uid="{00000000-0005-0000-0000-000065190000}"/>
    <cellStyle name="Normal 31 3" xfId="3387" xr:uid="{00000000-0005-0000-0000-000066190000}"/>
    <cellStyle name="Normal 31 4" xfId="5023" xr:uid="{00000000-0005-0000-0000-000067190000}"/>
    <cellStyle name="Normal 31 5" xfId="7347" xr:uid="{00000000-0005-0000-0000-000068190000}"/>
    <cellStyle name="Normal 31 6" xfId="2102" xr:uid="{00000000-0005-0000-0000-000069190000}"/>
    <cellStyle name="Normal 32" xfId="618" xr:uid="{00000000-0005-0000-0000-00006A190000}"/>
    <cellStyle name="Normal 32 2" xfId="2408" xr:uid="{00000000-0005-0000-0000-00006B190000}"/>
    <cellStyle name="Normal 32 2 2" xfId="3715" xr:uid="{00000000-0005-0000-0000-00006C190000}"/>
    <cellStyle name="Normal 32 2 2 2" xfId="6118" xr:uid="{00000000-0005-0000-0000-00006D190000}"/>
    <cellStyle name="Normal 32 2 2 3" xfId="8629" xr:uid="{00000000-0005-0000-0000-00006E190000}"/>
    <cellStyle name="Normal 32 2 3" xfId="4308" xr:uid="{00000000-0005-0000-0000-00006F190000}"/>
    <cellStyle name="Normal 32 2 4" xfId="7638" xr:uid="{00000000-0005-0000-0000-000070190000}"/>
    <cellStyle name="Normal 32 3" xfId="3388" xr:uid="{00000000-0005-0000-0000-000071190000}"/>
    <cellStyle name="Normal 32 4" xfId="5024" xr:uid="{00000000-0005-0000-0000-000072190000}"/>
    <cellStyle name="Normal 32 5" xfId="7348" xr:uid="{00000000-0005-0000-0000-000073190000}"/>
    <cellStyle name="Normal 32 6" xfId="2103" xr:uid="{00000000-0005-0000-0000-000074190000}"/>
    <cellStyle name="Normal 33" xfId="619" xr:uid="{00000000-0005-0000-0000-000075190000}"/>
    <cellStyle name="Normal 33 2" xfId="3716" xr:uid="{00000000-0005-0000-0000-000076190000}"/>
    <cellStyle name="Normal 33 2 2" xfId="6119" xr:uid="{00000000-0005-0000-0000-000077190000}"/>
    <cellStyle name="Normal 33 2 3" xfId="8630" xr:uid="{00000000-0005-0000-0000-000078190000}"/>
    <cellStyle name="Normal 33 3" xfId="3389" xr:uid="{00000000-0005-0000-0000-000079190000}"/>
    <cellStyle name="Normal 33 4" xfId="5025" xr:uid="{00000000-0005-0000-0000-00007A190000}"/>
    <cellStyle name="Normal 33 5" xfId="7349" xr:uid="{00000000-0005-0000-0000-00007B190000}"/>
    <cellStyle name="Normal 33 6" xfId="2104" xr:uid="{00000000-0005-0000-0000-00007C190000}"/>
    <cellStyle name="Normal 34" xfId="620" xr:uid="{00000000-0005-0000-0000-00007D190000}"/>
    <cellStyle name="Normal 34 2" xfId="2409" xr:uid="{00000000-0005-0000-0000-00007E190000}"/>
    <cellStyle name="Normal 34 2 2" xfId="3717" xr:uid="{00000000-0005-0000-0000-00007F190000}"/>
    <cellStyle name="Normal 34 2 2 2" xfId="6120" xr:uid="{00000000-0005-0000-0000-000080190000}"/>
    <cellStyle name="Normal 34 2 2 3" xfId="8631" xr:uid="{00000000-0005-0000-0000-000081190000}"/>
    <cellStyle name="Normal 34 2 3" xfId="4309" xr:uid="{00000000-0005-0000-0000-000082190000}"/>
    <cellStyle name="Normal 34 2 4" xfId="7639" xr:uid="{00000000-0005-0000-0000-000083190000}"/>
    <cellStyle name="Normal 34 3" xfId="3390" xr:uid="{00000000-0005-0000-0000-000084190000}"/>
    <cellStyle name="Normal 34 4" xfId="5026" xr:uid="{00000000-0005-0000-0000-000085190000}"/>
    <cellStyle name="Normal 34 5" xfId="7350" xr:uid="{00000000-0005-0000-0000-000086190000}"/>
    <cellStyle name="Normal 34 6" xfId="2105" xr:uid="{00000000-0005-0000-0000-000087190000}"/>
    <cellStyle name="Normal 35" xfId="621" xr:uid="{00000000-0005-0000-0000-000088190000}"/>
    <cellStyle name="Normal 35 2" xfId="2410" xr:uid="{00000000-0005-0000-0000-000089190000}"/>
    <cellStyle name="Normal 35 2 2" xfId="3718" xr:uid="{00000000-0005-0000-0000-00008A190000}"/>
    <cellStyle name="Normal 35 2 2 2" xfId="6121" xr:uid="{00000000-0005-0000-0000-00008B190000}"/>
    <cellStyle name="Normal 35 2 2 3" xfId="8632" xr:uid="{00000000-0005-0000-0000-00008C190000}"/>
    <cellStyle name="Normal 35 2 3" xfId="4310" xr:uid="{00000000-0005-0000-0000-00008D190000}"/>
    <cellStyle name="Normal 35 2 4" xfId="7640" xr:uid="{00000000-0005-0000-0000-00008E190000}"/>
    <cellStyle name="Normal 35 3" xfId="3391" xr:uid="{00000000-0005-0000-0000-00008F190000}"/>
    <cellStyle name="Normal 35 4" xfId="5027" xr:uid="{00000000-0005-0000-0000-000090190000}"/>
    <cellStyle name="Normal 35 5" xfId="7351" xr:uid="{00000000-0005-0000-0000-000091190000}"/>
    <cellStyle name="Normal 35 6" xfId="2106" xr:uid="{00000000-0005-0000-0000-000092190000}"/>
    <cellStyle name="Normal 36" xfId="622" xr:uid="{00000000-0005-0000-0000-000093190000}"/>
    <cellStyle name="Normal 36 2" xfId="5028" xr:uid="{00000000-0005-0000-0000-000094190000}"/>
    <cellStyle name="Normal 36 3" xfId="7352" xr:uid="{00000000-0005-0000-0000-000095190000}"/>
    <cellStyle name="Normal 36 4" xfId="2107" xr:uid="{00000000-0005-0000-0000-000096190000}"/>
    <cellStyle name="Normal 37" xfId="623" xr:uid="{00000000-0005-0000-0000-000097190000}"/>
    <cellStyle name="Normal 37 2" xfId="1640" xr:uid="{00000000-0005-0000-0000-000098190000}"/>
    <cellStyle name="Normal 37 2 2" xfId="2411" xr:uid="{00000000-0005-0000-0000-000099190000}"/>
    <cellStyle name="Normal 37 2 2 2" xfId="3694" xr:uid="{00000000-0005-0000-0000-00009A190000}"/>
    <cellStyle name="Normal 37 2 2 3" xfId="5664" xr:uid="{00000000-0005-0000-0000-00009B190000}"/>
    <cellStyle name="Normal 37 2 2 4" xfId="7641" xr:uid="{00000000-0005-0000-0000-00009C190000}"/>
    <cellStyle name="Normal 37 2 3" xfId="4311" xr:uid="{00000000-0005-0000-0000-00009D190000}"/>
    <cellStyle name="Normal 37 2 4" xfId="6889" xr:uid="{00000000-0005-0000-0000-00009E190000}"/>
    <cellStyle name="Normal 37 3" xfId="1836" xr:uid="{00000000-0005-0000-0000-00009F190000}"/>
    <cellStyle name="Normal 37 3 2" xfId="5857" xr:uid="{00000000-0005-0000-0000-0000A0190000}"/>
    <cellStyle name="Normal 37 3 3" xfId="7083" xr:uid="{00000000-0005-0000-0000-0000A1190000}"/>
    <cellStyle name="Normal 37 4" xfId="2021" xr:uid="{00000000-0005-0000-0000-0000A2190000}"/>
    <cellStyle name="Normal 37 4 2" xfId="6040" xr:uid="{00000000-0005-0000-0000-0000A3190000}"/>
    <cellStyle name="Normal 37 4 3" xfId="7268" xr:uid="{00000000-0005-0000-0000-0000A4190000}"/>
    <cellStyle name="Normal 37 5" xfId="5029" xr:uid="{00000000-0005-0000-0000-0000A5190000}"/>
    <cellStyle name="Normal 37 6" xfId="6622" xr:uid="{00000000-0005-0000-0000-0000A6190000}"/>
    <cellStyle name="Normal 37 7" xfId="1370" xr:uid="{00000000-0005-0000-0000-0000A7190000}"/>
    <cellStyle name="Normal 38" xfId="624" xr:uid="{00000000-0005-0000-0000-0000A8190000}"/>
    <cellStyle name="Normal 38 2" xfId="3719" xr:uid="{00000000-0005-0000-0000-0000A9190000}"/>
    <cellStyle name="Normal 38 2 2" xfId="6122" xr:uid="{00000000-0005-0000-0000-0000AA190000}"/>
    <cellStyle name="Normal 38 2 3" xfId="8633" xr:uid="{00000000-0005-0000-0000-0000AB190000}"/>
    <cellStyle name="Normal 38 3" xfId="3392" xr:uid="{00000000-0005-0000-0000-0000AC190000}"/>
    <cellStyle name="Normal 38 4" xfId="5030" xr:uid="{00000000-0005-0000-0000-0000AD190000}"/>
    <cellStyle name="Normal 38 5" xfId="7353" xr:uid="{00000000-0005-0000-0000-0000AE190000}"/>
    <cellStyle name="Normal 38 6" xfId="2108" xr:uid="{00000000-0005-0000-0000-0000AF190000}"/>
    <cellStyle name="Normal 39" xfId="625" xr:uid="{00000000-0005-0000-0000-0000B0190000}"/>
    <cellStyle name="Normal 39 2" xfId="2109" xr:uid="{00000000-0005-0000-0000-0000B1190000}"/>
    <cellStyle name="Normal 39 2 2" xfId="6123" xr:uid="{00000000-0005-0000-0000-0000B2190000}"/>
    <cellStyle name="Normal 39 2 3" xfId="7354" xr:uid="{00000000-0005-0000-0000-0000B3190000}"/>
    <cellStyle name="Normal 39 3" xfId="4312" xr:uid="{00000000-0005-0000-0000-0000B4190000}"/>
    <cellStyle name="Normal 39 4" xfId="6414" xr:uid="{00000000-0005-0000-0000-0000B5190000}"/>
    <cellStyle name="Normal 39 5" xfId="1160" xr:uid="{00000000-0005-0000-0000-0000B6190000}"/>
    <cellStyle name="Normal 4" xfId="626" xr:uid="{00000000-0005-0000-0000-0000B7190000}"/>
    <cellStyle name="Normal 4 10" xfId="627" xr:uid="{00000000-0005-0000-0000-0000B8190000}"/>
    <cellStyle name="Normal 4 10 2" xfId="3393" xr:uid="{00000000-0005-0000-0000-0000B9190000}"/>
    <cellStyle name="Normal 4 10 2 2" xfId="5031" xr:uid="{00000000-0005-0000-0000-0000BA190000}"/>
    <cellStyle name="Normal 4 10 2 3" xfId="8412" xr:uid="{00000000-0005-0000-0000-0000BB190000}"/>
    <cellStyle name="Normal 4 10 3" xfId="4532" xr:uid="{00000000-0005-0000-0000-0000BC190000}"/>
    <cellStyle name="Normal 4 10 4" xfId="7938" xr:uid="{00000000-0005-0000-0000-0000BD190000}"/>
    <cellStyle name="Normal 4 10 5" xfId="2761" xr:uid="{00000000-0005-0000-0000-0000BE190000}"/>
    <cellStyle name="Normal 4 11" xfId="3394" xr:uid="{00000000-0005-0000-0000-0000BF190000}"/>
    <cellStyle name="Normal 4 11 2" xfId="5032" xr:uid="{00000000-0005-0000-0000-0000C0190000}"/>
    <cellStyle name="Normal 4 11 3" xfId="8413" xr:uid="{00000000-0005-0000-0000-0000C1190000}"/>
    <cellStyle name="Normal 4 12" xfId="3561" xr:uid="{00000000-0005-0000-0000-0000C2190000}"/>
    <cellStyle name="Normal 4 12 2" xfId="5177" xr:uid="{00000000-0005-0000-0000-0000C3190000}"/>
    <cellStyle name="Normal 4 12 3" xfId="8550" xr:uid="{00000000-0005-0000-0000-0000C4190000}"/>
    <cellStyle name="Normal 4 13" xfId="2757" xr:uid="{00000000-0005-0000-0000-0000C5190000}"/>
    <cellStyle name="Normal 4 14" xfId="3875" xr:uid="{00000000-0005-0000-0000-0000C6190000}"/>
    <cellStyle name="Normal 4 15" xfId="6322" xr:uid="{00000000-0005-0000-0000-0000C7190000}"/>
    <cellStyle name="Normal 4 16" xfId="1040" xr:uid="{00000000-0005-0000-0000-0000C8190000}"/>
    <cellStyle name="Normal 4 2" xfId="628" xr:uid="{00000000-0005-0000-0000-0000C9190000}"/>
    <cellStyle name="Normal 4 2 10" xfId="6390" xr:uid="{00000000-0005-0000-0000-0000CA190000}"/>
    <cellStyle name="Normal 4 2 11" xfId="1119" xr:uid="{00000000-0005-0000-0000-0000CB190000}"/>
    <cellStyle name="Normal 4 2 2" xfId="1200" xr:uid="{00000000-0005-0000-0000-0000CC190000}"/>
    <cellStyle name="Normal 4 2 2 2" xfId="2712" xr:uid="{00000000-0005-0000-0000-0000CD190000}"/>
    <cellStyle name="Normal 4 2 2 2 2" xfId="2931" xr:uid="{00000000-0005-0000-0000-0000CE190000}"/>
    <cellStyle name="Normal 4 2 2 2 2 2" xfId="4599" xr:uid="{00000000-0005-0000-0000-0000CF190000}"/>
    <cellStyle name="Normal 4 2 2 2 2 3" xfId="7987" xr:uid="{00000000-0005-0000-0000-0000D0190000}"/>
    <cellStyle name="Normal 4 2 2 2 3" xfId="3024" xr:uid="{00000000-0005-0000-0000-0000D1190000}"/>
    <cellStyle name="Normal 4 2 2 2 3 2" xfId="4683" xr:uid="{00000000-0005-0000-0000-0000D2190000}"/>
    <cellStyle name="Normal 4 2 2 2 3 3" xfId="8080" xr:uid="{00000000-0005-0000-0000-0000D3190000}"/>
    <cellStyle name="Normal 4 2 2 2 4" xfId="3743" xr:uid="{00000000-0005-0000-0000-0000D4190000}"/>
    <cellStyle name="Normal 4 2 2 2 4 2" xfId="6142" xr:uid="{00000000-0005-0000-0000-0000D5190000}"/>
    <cellStyle name="Normal 4 2 2 2 4 3" xfId="8657" xr:uid="{00000000-0005-0000-0000-0000D6190000}"/>
    <cellStyle name="Normal 4 2 2 2 5" xfId="2826" xr:uid="{00000000-0005-0000-0000-0000D7190000}"/>
    <cellStyle name="Normal 4 2 2 2 6" xfId="4314" xr:uid="{00000000-0005-0000-0000-0000D8190000}"/>
    <cellStyle name="Normal 4 2 2 2 7" xfId="7906" xr:uid="{00000000-0005-0000-0000-0000D9190000}"/>
    <cellStyle name="Normal 4 2 2 3" xfId="2711" xr:uid="{00000000-0005-0000-0000-0000DA190000}"/>
    <cellStyle name="Normal 4 2 2 3 2" xfId="3616" xr:uid="{00000000-0005-0000-0000-0000DB190000}"/>
    <cellStyle name="Normal 4 2 2 3 3" xfId="5242" xr:uid="{00000000-0005-0000-0000-0000DC190000}"/>
    <cellStyle name="Normal 4 2 2 3 4" xfId="7905" xr:uid="{00000000-0005-0000-0000-0000DD190000}"/>
    <cellStyle name="Normal 4 2 2 4" xfId="4313" xr:uid="{00000000-0005-0000-0000-0000DE190000}"/>
    <cellStyle name="Normal 4 2 2 5" xfId="6452" xr:uid="{00000000-0005-0000-0000-0000DF190000}"/>
    <cellStyle name="Normal 4 2 3" xfId="1161" xr:uid="{00000000-0005-0000-0000-0000E0190000}"/>
    <cellStyle name="Normal 4 2 3 2" xfId="2713" xr:uid="{00000000-0005-0000-0000-0000E1190000}"/>
    <cellStyle name="Normal 4 2 3 3" xfId="4315" xr:uid="{00000000-0005-0000-0000-0000E2190000}"/>
    <cellStyle name="Normal 4 2 3 4" xfId="6415" xr:uid="{00000000-0005-0000-0000-0000E3190000}"/>
    <cellStyle name="Normal 4 2 3 5" xfId="9130" xr:uid="{00000000-0005-0000-0000-0000E4190000}"/>
    <cellStyle name="Normal 4 2 4" xfId="2412" xr:uid="{00000000-0005-0000-0000-0000E5190000}"/>
    <cellStyle name="Normal 4 2 4 2" xfId="3771" xr:uid="{00000000-0005-0000-0000-0000E6190000}"/>
    <cellStyle name="Normal 4 2 4 2 2" xfId="6166" xr:uid="{00000000-0005-0000-0000-0000E7190000}"/>
    <cellStyle name="Normal 4 2 4 2 3" xfId="8683" xr:uid="{00000000-0005-0000-0000-0000E8190000}"/>
    <cellStyle name="Normal 4 2 4 3" xfId="2882" xr:uid="{00000000-0005-0000-0000-0000E9190000}"/>
    <cellStyle name="Normal 4 2 4 4" xfId="4548" xr:uid="{00000000-0005-0000-0000-0000EA190000}"/>
    <cellStyle name="Normal 4 2 4 5" xfId="7642" xr:uid="{00000000-0005-0000-0000-0000EB190000}"/>
    <cellStyle name="Normal 4 2 5" xfId="2972" xr:uid="{00000000-0005-0000-0000-0000EC190000}"/>
    <cellStyle name="Normal 4 2 5 2" xfId="3801" xr:uid="{00000000-0005-0000-0000-0000ED190000}"/>
    <cellStyle name="Normal 4 2 5 2 2" xfId="6191" xr:uid="{00000000-0005-0000-0000-0000EE190000}"/>
    <cellStyle name="Normal 4 2 5 2 3" xfId="8712" xr:uid="{00000000-0005-0000-0000-0000EF190000}"/>
    <cellStyle name="Normal 4 2 5 3" xfId="4633" xr:uid="{00000000-0005-0000-0000-0000F0190000}"/>
    <cellStyle name="Normal 4 2 5 4" xfId="8028" xr:uid="{00000000-0005-0000-0000-0000F1190000}"/>
    <cellStyle name="Normal 4 2 6" xfId="3395" xr:uid="{00000000-0005-0000-0000-0000F2190000}"/>
    <cellStyle name="Normal 4 2 6 2" xfId="5033" xr:uid="{00000000-0005-0000-0000-0000F3190000}"/>
    <cellStyle name="Normal 4 2 6 3" xfId="8414" xr:uid="{00000000-0005-0000-0000-0000F4190000}"/>
    <cellStyle name="Normal 4 2 7" xfId="3849" xr:uid="{00000000-0005-0000-0000-0000F5190000}"/>
    <cellStyle name="Normal 4 2 7 2" xfId="6226" xr:uid="{00000000-0005-0000-0000-0000F6190000}"/>
    <cellStyle name="Normal 4 2 7 3" xfId="8760" xr:uid="{00000000-0005-0000-0000-0000F7190000}"/>
    <cellStyle name="Normal 4 2 8" xfId="2767" xr:uid="{00000000-0005-0000-0000-0000F8190000}"/>
    <cellStyle name="Normal 4 2 9" xfId="3876" xr:uid="{00000000-0005-0000-0000-0000F9190000}"/>
    <cellStyle name="Normal 4 3" xfId="629" xr:uid="{00000000-0005-0000-0000-0000FA190000}"/>
    <cellStyle name="Normal 4 3 2" xfId="1244" xr:uid="{00000000-0005-0000-0000-0000FB190000}"/>
    <cellStyle name="Normal 4 3 2 2" xfId="3630" xr:uid="{00000000-0005-0000-0000-0000FC190000}"/>
    <cellStyle name="Normal 4 3 2 2 2" xfId="5281" xr:uid="{00000000-0005-0000-0000-0000FD190000}"/>
    <cellStyle name="Normal 4 3 2 2 3" xfId="8596" xr:uid="{00000000-0005-0000-0000-0000FE190000}"/>
    <cellStyle name="Normal 4 3 2 3" xfId="3823" xr:uid="{00000000-0005-0000-0000-0000FF190000}"/>
    <cellStyle name="Normal 4 3 2 3 2" xfId="6207" xr:uid="{00000000-0005-0000-0000-0000001A0000}"/>
    <cellStyle name="Normal 4 3 2 3 3" xfId="8734" xr:uid="{00000000-0005-0000-0000-0000011A0000}"/>
    <cellStyle name="Normal 4 3 2 4" xfId="2908" xr:uid="{00000000-0005-0000-0000-0000021A0000}"/>
    <cellStyle name="Normal 4 3 2 5" xfId="4575" xr:uid="{00000000-0005-0000-0000-0000031A0000}"/>
    <cellStyle name="Normal 4 3 2 6" xfId="6496" xr:uid="{00000000-0005-0000-0000-0000041A0000}"/>
    <cellStyle name="Normal 4 3 3" xfId="2998" xr:uid="{00000000-0005-0000-0000-0000051A0000}"/>
    <cellStyle name="Normal 4 3 3 2" xfId="3785" xr:uid="{00000000-0005-0000-0000-0000061A0000}"/>
    <cellStyle name="Normal 4 3 3 2 2" xfId="6176" xr:uid="{00000000-0005-0000-0000-0000071A0000}"/>
    <cellStyle name="Normal 4 3 3 2 3" xfId="8696" xr:uid="{00000000-0005-0000-0000-0000081A0000}"/>
    <cellStyle name="Normal 4 3 3 3" xfId="4660" xr:uid="{00000000-0005-0000-0000-0000091A0000}"/>
    <cellStyle name="Normal 4 3 3 4" xfId="8054" xr:uid="{00000000-0005-0000-0000-00000A1A0000}"/>
    <cellStyle name="Normal 4 3 4" xfId="3396" xr:uid="{00000000-0005-0000-0000-00000B1A0000}"/>
    <cellStyle name="Normal 4 3 4 2" xfId="5034" xr:uid="{00000000-0005-0000-0000-00000C1A0000}"/>
    <cellStyle name="Normal 4 3 4 3" xfId="8415" xr:uid="{00000000-0005-0000-0000-00000D1A0000}"/>
    <cellStyle name="Normal 4 3 5" xfId="3780" xr:uid="{00000000-0005-0000-0000-00000E1A0000}"/>
    <cellStyle name="Normal 4 3 5 2" xfId="6173" xr:uid="{00000000-0005-0000-0000-00000F1A0000}"/>
    <cellStyle name="Normal 4 3 5 3" xfId="8691" xr:uid="{00000000-0005-0000-0000-0000101A0000}"/>
    <cellStyle name="Normal 4 3 6" xfId="2794" xr:uid="{00000000-0005-0000-0000-0000111A0000}"/>
    <cellStyle name="Normal 4 3 7" xfId="4316" xr:uid="{00000000-0005-0000-0000-0000121A0000}"/>
    <cellStyle name="Normal 4 3 8" xfId="6391" xr:uid="{00000000-0005-0000-0000-0000131A0000}"/>
    <cellStyle name="Normal 4 3 9" xfId="1120" xr:uid="{00000000-0005-0000-0000-0000141A0000}"/>
    <cellStyle name="Normal 4 4" xfId="630" xr:uid="{00000000-0005-0000-0000-0000151A0000}"/>
    <cellStyle name="Normal 4 4 2" xfId="1295" xr:uid="{00000000-0005-0000-0000-0000161A0000}"/>
    <cellStyle name="Normal 4 4 2 2" xfId="5331" xr:uid="{00000000-0005-0000-0000-0000171A0000}"/>
    <cellStyle name="Normal 4 4 2 3" xfId="6547" xr:uid="{00000000-0005-0000-0000-0000181A0000}"/>
    <cellStyle name="Normal 4 4 3" xfId="4317" xr:uid="{00000000-0005-0000-0000-0000191A0000}"/>
    <cellStyle name="Normal 4 4 4" xfId="6389" xr:uid="{00000000-0005-0000-0000-00001A1A0000}"/>
    <cellStyle name="Normal 4 4 5" xfId="1118" xr:uid="{00000000-0005-0000-0000-00001B1A0000}"/>
    <cellStyle name="Normal 4 5" xfId="631" xr:uid="{00000000-0005-0000-0000-00001C1A0000}"/>
    <cellStyle name="Normal 4 5 2" xfId="2714" xr:uid="{00000000-0005-0000-0000-00001D1A0000}"/>
    <cellStyle name="Normal 4 5 2 2" xfId="3675" xr:uid="{00000000-0005-0000-0000-00001E1A0000}"/>
    <cellStyle name="Normal 4 5 2 3" xfId="5472" xr:uid="{00000000-0005-0000-0000-00001F1A0000}"/>
    <cellStyle name="Normal 4 5 2 4" xfId="7907" xr:uid="{00000000-0005-0000-0000-0000201A0000}"/>
    <cellStyle name="Normal 4 5 3" xfId="3397" xr:uid="{00000000-0005-0000-0000-0000211A0000}"/>
    <cellStyle name="Normal 4 5 3 2" xfId="5035" xr:uid="{00000000-0005-0000-0000-0000221A0000}"/>
    <cellStyle name="Normal 4 5 3 3" xfId="8416" xr:uid="{00000000-0005-0000-0000-0000231A0000}"/>
    <cellStyle name="Normal 4 5 4" xfId="4318" xr:uid="{00000000-0005-0000-0000-0000241A0000}"/>
    <cellStyle name="Normal 4 5 5" xfId="6695" xr:uid="{00000000-0005-0000-0000-0000251A0000}"/>
    <cellStyle name="Normal 4 5 6" xfId="1443" xr:uid="{00000000-0005-0000-0000-0000261A0000}"/>
    <cellStyle name="Normal 4 6" xfId="632" xr:uid="{00000000-0005-0000-0000-0000271A0000}"/>
    <cellStyle name="Normal 4 6 2" xfId="2715" xr:uid="{00000000-0005-0000-0000-0000281A0000}"/>
    <cellStyle name="Normal 4 6 2 2" xfId="3692" xr:uid="{00000000-0005-0000-0000-0000291A0000}"/>
    <cellStyle name="Normal 4 6 2 2 2" xfId="5659" xr:uid="{00000000-0005-0000-0000-00002A1A0000}"/>
    <cellStyle name="Normal 4 6 2 2 3" xfId="8617" xr:uid="{00000000-0005-0000-0000-00002B1A0000}"/>
    <cellStyle name="Normal 4 6 2 3" xfId="4631" xr:uid="{00000000-0005-0000-0000-00002C1A0000}"/>
    <cellStyle name="Normal 4 6 2 4" xfId="7908" xr:uid="{00000000-0005-0000-0000-00002D1A0000}"/>
    <cellStyle name="Normal 4 6 3" xfId="3072" xr:uid="{00000000-0005-0000-0000-00002E1A0000}"/>
    <cellStyle name="Normal 4 6 3 2" xfId="4714" xr:uid="{00000000-0005-0000-0000-00002F1A0000}"/>
    <cellStyle name="Normal 4 6 3 3" xfId="8128" xr:uid="{00000000-0005-0000-0000-0000301A0000}"/>
    <cellStyle name="Normal 4 6 4" xfId="3398" xr:uid="{00000000-0005-0000-0000-0000311A0000}"/>
    <cellStyle name="Normal 4 6 4 2" xfId="5036" xr:uid="{00000000-0005-0000-0000-0000321A0000}"/>
    <cellStyle name="Normal 4 6 4 3" xfId="8417" xr:uid="{00000000-0005-0000-0000-0000331A0000}"/>
    <cellStyle name="Normal 4 6 5" xfId="3779" xr:uid="{00000000-0005-0000-0000-0000341A0000}"/>
    <cellStyle name="Normal 4 6 5 2" xfId="6172" xr:uid="{00000000-0005-0000-0000-0000351A0000}"/>
    <cellStyle name="Normal 4 6 5 3" xfId="8690" xr:uid="{00000000-0005-0000-0000-0000361A0000}"/>
    <cellStyle name="Normal 4 6 6" xfId="2879" xr:uid="{00000000-0005-0000-0000-0000371A0000}"/>
    <cellStyle name="Normal 4 6 7" xfId="4319" xr:uid="{00000000-0005-0000-0000-0000381A0000}"/>
    <cellStyle name="Normal 4 6 8" xfId="6884" xr:uid="{00000000-0005-0000-0000-0000391A0000}"/>
    <cellStyle name="Normal 4 6 9" xfId="1633" xr:uid="{00000000-0005-0000-0000-00003A1A0000}"/>
    <cellStyle name="Normal 4 7" xfId="633" xr:uid="{00000000-0005-0000-0000-00003B1A0000}"/>
    <cellStyle name="Normal 4 7 2" xfId="2716" xr:uid="{00000000-0005-0000-0000-00003C1A0000}"/>
    <cellStyle name="Normal 4 7 2 2" xfId="3701" xr:uid="{00000000-0005-0000-0000-00003D1A0000}"/>
    <cellStyle name="Normal 4 7 2 3" xfId="5781" xr:uid="{00000000-0005-0000-0000-00003E1A0000}"/>
    <cellStyle name="Normal 4 7 2 4" xfId="7909" xr:uid="{00000000-0005-0000-0000-00003F1A0000}"/>
    <cellStyle name="Normal 4 7 3" xfId="3399" xr:uid="{00000000-0005-0000-0000-0000401A0000}"/>
    <cellStyle name="Normal 4 7 3 2" xfId="5037" xr:uid="{00000000-0005-0000-0000-0000411A0000}"/>
    <cellStyle name="Normal 4 7 3 3" xfId="8418" xr:uid="{00000000-0005-0000-0000-0000421A0000}"/>
    <cellStyle name="Normal 4 7 4" xfId="2766" xr:uid="{00000000-0005-0000-0000-0000431A0000}"/>
    <cellStyle name="Normal 4 7 5" xfId="4320" xr:uid="{00000000-0005-0000-0000-0000441A0000}"/>
    <cellStyle name="Normal 4 7 6" xfId="7006" xr:uid="{00000000-0005-0000-0000-0000451A0000}"/>
    <cellStyle name="Normal 4 7 7" xfId="1759" xr:uid="{00000000-0005-0000-0000-0000461A0000}"/>
    <cellStyle name="Normal 4 8" xfId="634" xr:uid="{00000000-0005-0000-0000-0000471A0000}"/>
    <cellStyle name="Normal 4 8 2" xfId="3569" xr:uid="{00000000-0005-0000-0000-0000481A0000}"/>
    <cellStyle name="Normal 4 8 2 2" xfId="5181" xr:uid="{00000000-0005-0000-0000-0000491A0000}"/>
    <cellStyle name="Normal 4 8 2 3" xfId="8553" xr:uid="{00000000-0005-0000-0000-00004A1A0000}"/>
    <cellStyle name="Normal 4 8 3" xfId="3400" xr:uid="{00000000-0005-0000-0000-00004B1A0000}"/>
    <cellStyle name="Normal 4 8 3 2" xfId="5038" xr:uid="{00000000-0005-0000-0000-00004C1A0000}"/>
    <cellStyle name="Normal 4 8 3 3" xfId="8419" xr:uid="{00000000-0005-0000-0000-00004D1A0000}"/>
    <cellStyle name="Normal 4 8 4" xfId="2881" xr:uid="{00000000-0005-0000-0000-00004E1A0000}"/>
    <cellStyle name="Normal 4 8 5" xfId="4547" xr:uid="{00000000-0005-0000-0000-00004F1A0000}"/>
    <cellStyle name="Normal 4 8 6" xfId="6428" xr:uid="{00000000-0005-0000-0000-0000501A0000}"/>
    <cellStyle name="Normal 4 8 7" xfId="1176" xr:uid="{00000000-0005-0000-0000-0000511A0000}"/>
    <cellStyle name="Normal 4 9" xfId="635" xr:uid="{00000000-0005-0000-0000-0000521A0000}"/>
    <cellStyle name="Normal 4 9 2" xfId="3401" xr:uid="{00000000-0005-0000-0000-0000531A0000}"/>
    <cellStyle name="Normal 4 9 2 2" xfId="5039" xr:uid="{00000000-0005-0000-0000-0000541A0000}"/>
    <cellStyle name="Normal 4 9 2 3" xfId="8420" xr:uid="{00000000-0005-0000-0000-0000551A0000}"/>
    <cellStyle name="Normal 4 9 3" xfId="4632" xr:uid="{00000000-0005-0000-0000-0000561A0000}"/>
    <cellStyle name="Normal 4 9 4" xfId="8027" xr:uid="{00000000-0005-0000-0000-0000571A0000}"/>
    <cellStyle name="Normal 4 9 5" xfId="2971" xr:uid="{00000000-0005-0000-0000-0000581A0000}"/>
    <cellStyle name="Normal 4_global_PO" xfId="3402" xr:uid="{00000000-0005-0000-0000-0000591A0000}"/>
    <cellStyle name="Normal 40" xfId="636" xr:uid="{00000000-0005-0000-0000-00005A1A0000}"/>
    <cellStyle name="Normal 40 2" xfId="2413" xr:uid="{00000000-0005-0000-0000-00005B1A0000}"/>
    <cellStyle name="Normal 40 2 2" xfId="4321" xr:uid="{00000000-0005-0000-0000-00005C1A0000}"/>
    <cellStyle name="Normal 40 2 3" xfId="7643" xr:uid="{00000000-0005-0000-0000-00005D1A0000}"/>
    <cellStyle name="Normal 40 3" xfId="6124" xr:uid="{00000000-0005-0000-0000-00005E1A0000}"/>
    <cellStyle name="Normal 40 4" xfId="7355" xr:uid="{00000000-0005-0000-0000-00005F1A0000}"/>
    <cellStyle name="Normal 40 5" xfId="2110" xr:uid="{00000000-0005-0000-0000-0000601A0000}"/>
    <cellStyle name="Normal 41" xfId="637" xr:uid="{00000000-0005-0000-0000-0000611A0000}"/>
    <cellStyle name="Normal 41 2" xfId="1641" xr:uid="{00000000-0005-0000-0000-0000621A0000}"/>
    <cellStyle name="Normal 41 2 2" xfId="5665" xr:uid="{00000000-0005-0000-0000-0000631A0000}"/>
    <cellStyle name="Normal 41 2 3" xfId="6890" xr:uid="{00000000-0005-0000-0000-0000641A0000}"/>
    <cellStyle name="Normal 41 3" xfId="1837" xr:uid="{00000000-0005-0000-0000-0000651A0000}"/>
    <cellStyle name="Normal 41 3 2" xfId="5858" xr:uid="{00000000-0005-0000-0000-0000661A0000}"/>
    <cellStyle name="Normal 41 3 3" xfId="7084" xr:uid="{00000000-0005-0000-0000-0000671A0000}"/>
    <cellStyle name="Normal 41 4" xfId="2022" xr:uid="{00000000-0005-0000-0000-0000681A0000}"/>
    <cellStyle name="Normal 41 4 2" xfId="6041" xr:uid="{00000000-0005-0000-0000-0000691A0000}"/>
    <cellStyle name="Normal 41 4 3" xfId="7269" xr:uid="{00000000-0005-0000-0000-00006A1A0000}"/>
    <cellStyle name="Normal 41 5" xfId="5402" xr:uid="{00000000-0005-0000-0000-00006B1A0000}"/>
    <cellStyle name="Normal 41 6" xfId="6623" xr:uid="{00000000-0005-0000-0000-00006C1A0000}"/>
    <cellStyle name="Normal 41 7" xfId="1371" xr:uid="{00000000-0005-0000-0000-00006D1A0000}"/>
    <cellStyle name="Normal 42" xfId="638" xr:uid="{00000000-0005-0000-0000-00006E1A0000}"/>
    <cellStyle name="Normal 42 2" xfId="1642" xr:uid="{00000000-0005-0000-0000-00006F1A0000}"/>
    <cellStyle name="Normal 42 2 2" xfId="5666" xr:uid="{00000000-0005-0000-0000-0000701A0000}"/>
    <cellStyle name="Normal 42 2 3" xfId="6891" xr:uid="{00000000-0005-0000-0000-0000711A0000}"/>
    <cellStyle name="Normal 42 3" xfId="1838" xr:uid="{00000000-0005-0000-0000-0000721A0000}"/>
    <cellStyle name="Normal 42 3 2" xfId="5859" xr:uid="{00000000-0005-0000-0000-0000731A0000}"/>
    <cellStyle name="Normal 42 3 3" xfId="7085" xr:uid="{00000000-0005-0000-0000-0000741A0000}"/>
    <cellStyle name="Normal 42 4" xfId="2023" xr:uid="{00000000-0005-0000-0000-0000751A0000}"/>
    <cellStyle name="Normal 42 4 2" xfId="6042" xr:uid="{00000000-0005-0000-0000-0000761A0000}"/>
    <cellStyle name="Normal 42 4 3" xfId="7270" xr:uid="{00000000-0005-0000-0000-0000771A0000}"/>
    <cellStyle name="Normal 42 5" xfId="5403" xr:uid="{00000000-0005-0000-0000-0000781A0000}"/>
    <cellStyle name="Normal 42 6" xfId="6624" xr:uid="{00000000-0005-0000-0000-0000791A0000}"/>
    <cellStyle name="Normal 42 7" xfId="1372" xr:uid="{00000000-0005-0000-0000-00007A1A0000}"/>
    <cellStyle name="Normal 43" xfId="639" xr:uid="{00000000-0005-0000-0000-00007B1A0000}"/>
    <cellStyle name="Normal 43 2" xfId="1643" xr:uid="{00000000-0005-0000-0000-00007C1A0000}"/>
    <cellStyle name="Normal 43 2 2" xfId="5667" xr:uid="{00000000-0005-0000-0000-00007D1A0000}"/>
    <cellStyle name="Normal 43 2 3" xfId="6892" xr:uid="{00000000-0005-0000-0000-00007E1A0000}"/>
    <cellStyle name="Normal 43 3" xfId="1839" xr:uid="{00000000-0005-0000-0000-00007F1A0000}"/>
    <cellStyle name="Normal 43 3 2" xfId="5860" xr:uid="{00000000-0005-0000-0000-0000801A0000}"/>
    <cellStyle name="Normal 43 3 3" xfId="7086" xr:uid="{00000000-0005-0000-0000-0000811A0000}"/>
    <cellStyle name="Normal 43 4" xfId="2024" xr:uid="{00000000-0005-0000-0000-0000821A0000}"/>
    <cellStyle name="Normal 43 4 2" xfId="6043" xr:uid="{00000000-0005-0000-0000-0000831A0000}"/>
    <cellStyle name="Normal 43 4 3" xfId="7271" xr:uid="{00000000-0005-0000-0000-0000841A0000}"/>
    <cellStyle name="Normal 43 5" xfId="5404" xr:uid="{00000000-0005-0000-0000-0000851A0000}"/>
    <cellStyle name="Normal 43 6" xfId="6625" xr:uid="{00000000-0005-0000-0000-0000861A0000}"/>
    <cellStyle name="Normal 43 7" xfId="1373" xr:uid="{00000000-0005-0000-0000-0000871A0000}"/>
    <cellStyle name="Normal 44" xfId="640" xr:uid="{00000000-0005-0000-0000-0000881A0000}"/>
    <cellStyle name="Normal 44 2" xfId="6126" xr:uid="{00000000-0005-0000-0000-0000891A0000}"/>
    <cellStyle name="Normal 44 3" xfId="8635" xr:uid="{00000000-0005-0000-0000-00008A1A0000}"/>
    <cellStyle name="Normal 44 4" xfId="3721" xr:uid="{00000000-0005-0000-0000-00008B1A0000}"/>
    <cellStyle name="Normal 45" xfId="641" xr:uid="{00000000-0005-0000-0000-00008C1A0000}"/>
    <cellStyle name="Normal 45 2" xfId="6127" xr:uid="{00000000-0005-0000-0000-00008D1A0000}"/>
    <cellStyle name="Normal 45 3" xfId="8636" xr:uid="{00000000-0005-0000-0000-00008E1A0000}"/>
    <cellStyle name="Normal 45 4" xfId="3722" xr:uid="{00000000-0005-0000-0000-00008F1A0000}"/>
    <cellStyle name="Normal 46" xfId="642" xr:uid="{00000000-0005-0000-0000-0000901A0000}"/>
    <cellStyle name="Normal 46 2" xfId="6125" xr:uid="{00000000-0005-0000-0000-0000911A0000}"/>
    <cellStyle name="Normal 46 3" xfId="8634" xr:uid="{00000000-0005-0000-0000-0000921A0000}"/>
    <cellStyle name="Normal 46 4" xfId="3720" xr:uid="{00000000-0005-0000-0000-0000931A0000}"/>
    <cellStyle name="Normal 47" xfId="643" xr:uid="{00000000-0005-0000-0000-0000941A0000}"/>
    <cellStyle name="Normal 47 2" xfId="4725" xr:uid="{00000000-0005-0000-0000-0000951A0000}"/>
    <cellStyle name="Normal 47 3" xfId="8129" xr:uid="{00000000-0005-0000-0000-0000961A0000}"/>
    <cellStyle name="Normal 47 4" xfId="3073" xr:uid="{00000000-0005-0000-0000-0000971A0000}"/>
    <cellStyle name="Normal 48" xfId="644" xr:uid="{00000000-0005-0000-0000-0000981A0000}"/>
    <cellStyle name="Normal 48 2" xfId="3854" xr:uid="{00000000-0005-0000-0000-0000991A0000}"/>
    <cellStyle name="Normal 49" xfId="645" xr:uid="{00000000-0005-0000-0000-00009A1A0000}"/>
    <cellStyle name="Normal 49 2" xfId="3884"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5" xr:uid="{00000000-0005-0000-0000-0000AA1A0000}"/>
    <cellStyle name="Normal 5 10 4" xfId="2415" xr:uid="{00000000-0005-0000-0000-0000AB1A0000}"/>
    <cellStyle name="Normal 5 11" xfId="2416" xr:uid="{00000000-0005-0000-0000-0000AC1A0000}"/>
    <cellStyle name="Normal 5 11 2" xfId="4322" xr:uid="{00000000-0005-0000-0000-0000AD1A0000}"/>
    <cellStyle name="Normal 5 11 3" xfId="7646" xr:uid="{00000000-0005-0000-0000-0000AE1A0000}"/>
    <cellStyle name="Normal 5 12" xfId="2417" xr:uid="{00000000-0005-0000-0000-0000AF1A0000}"/>
    <cellStyle name="Normal 5 12 2" xfId="4323" xr:uid="{00000000-0005-0000-0000-0000B01A0000}"/>
    <cellStyle name="Normal 5 12 3" xfId="7647" xr:uid="{00000000-0005-0000-0000-0000B11A0000}"/>
    <cellStyle name="Normal 5 13" xfId="2418" xr:uid="{00000000-0005-0000-0000-0000B21A0000}"/>
    <cellStyle name="Normal 5 13 2" xfId="4324" xr:uid="{00000000-0005-0000-0000-0000B31A0000}"/>
    <cellStyle name="Normal 5 13 3" xfId="7648" xr:uid="{00000000-0005-0000-0000-0000B41A0000}"/>
    <cellStyle name="Normal 5 14" xfId="2419" xr:uid="{00000000-0005-0000-0000-0000B51A0000}"/>
    <cellStyle name="Normal 5 14 2" xfId="4325" xr:uid="{00000000-0005-0000-0000-0000B61A0000}"/>
    <cellStyle name="Normal 5 14 3" xfId="7649" xr:uid="{00000000-0005-0000-0000-0000B71A0000}"/>
    <cellStyle name="Normal 5 15" xfId="2420" xr:uid="{00000000-0005-0000-0000-0000B81A0000}"/>
    <cellStyle name="Normal 5 15 2" xfId="4326" xr:uid="{00000000-0005-0000-0000-0000B91A0000}"/>
    <cellStyle name="Normal 5 15 3" xfId="7650" xr:uid="{00000000-0005-0000-0000-0000BA1A0000}"/>
    <cellStyle name="Normal 5 16" xfId="2421" xr:uid="{00000000-0005-0000-0000-0000BB1A0000}"/>
    <cellStyle name="Normal 5 16 2" xfId="4327" xr:uid="{00000000-0005-0000-0000-0000BC1A0000}"/>
    <cellStyle name="Normal 5 16 3" xfId="7651" xr:uid="{00000000-0005-0000-0000-0000BD1A0000}"/>
    <cellStyle name="Normal 5 17" xfId="2422" xr:uid="{00000000-0005-0000-0000-0000BE1A0000}"/>
    <cellStyle name="Normal 5 17 2" xfId="4328" xr:uid="{00000000-0005-0000-0000-0000BF1A0000}"/>
    <cellStyle name="Normal 5 17 3" xfId="7652" xr:uid="{00000000-0005-0000-0000-0000C01A0000}"/>
    <cellStyle name="Normal 5 18" xfId="2423" xr:uid="{00000000-0005-0000-0000-0000C11A0000}"/>
    <cellStyle name="Normal 5 18 2" xfId="4329" xr:uid="{00000000-0005-0000-0000-0000C21A0000}"/>
    <cellStyle name="Normal 5 18 3" xfId="7653" xr:uid="{00000000-0005-0000-0000-0000C31A0000}"/>
    <cellStyle name="Normal 5 19" xfId="2424" xr:uid="{00000000-0005-0000-0000-0000C41A0000}"/>
    <cellStyle name="Normal 5 19 2" xfId="4330" xr:uid="{00000000-0005-0000-0000-0000C51A0000}"/>
    <cellStyle name="Normal 5 19 3" xfId="7654" xr:uid="{00000000-0005-0000-0000-0000C61A0000}"/>
    <cellStyle name="Normal 5 2" xfId="660" xr:uid="{00000000-0005-0000-0000-0000C71A0000}"/>
    <cellStyle name="Normal 5 2 10" xfId="6392" xr:uid="{00000000-0005-0000-0000-0000C81A0000}"/>
    <cellStyle name="Normal 5 2 11" xfId="1121" xr:uid="{00000000-0005-0000-0000-0000C91A0000}"/>
    <cellStyle name="Normal 5 2 2" xfId="661" xr:uid="{00000000-0005-0000-0000-0000CA1A0000}"/>
    <cellStyle name="Normal 5 2 2 2" xfId="1545" xr:uid="{00000000-0005-0000-0000-0000CB1A0000}"/>
    <cellStyle name="Normal 5 2 2 2 2" xfId="3684" xr:uid="{00000000-0005-0000-0000-0000CC1A0000}"/>
    <cellStyle name="Normal 5 2 2 2 2 2" xfId="5572" xr:uid="{00000000-0005-0000-0000-0000CD1A0000}"/>
    <cellStyle name="Normal 5 2 2 2 2 3" xfId="8612" xr:uid="{00000000-0005-0000-0000-0000CE1A0000}"/>
    <cellStyle name="Normal 5 2 2 2 3" xfId="4592" xr:uid="{00000000-0005-0000-0000-0000CF1A0000}"/>
    <cellStyle name="Normal 5 2 2 2 4" xfId="6797" xr:uid="{00000000-0005-0000-0000-0000D01A0000}"/>
    <cellStyle name="Normal 5 2 2 3" xfId="1750" xr:uid="{00000000-0005-0000-0000-0000D11A0000}"/>
    <cellStyle name="Normal 5 2 2 3 2" xfId="3699" xr:uid="{00000000-0005-0000-0000-0000D21A0000}"/>
    <cellStyle name="Normal 5 2 2 3 2 2" xfId="5772" xr:uid="{00000000-0005-0000-0000-0000D31A0000}"/>
    <cellStyle name="Normal 5 2 2 3 2 3" xfId="8619" xr:uid="{00000000-0005-0000-0000-0000D41A0000}"/>
    <cellStyle name="Normal 5 2 2 3 3" xfId="4676" xr:uid="{00000000-0005-0000-0000-0000D51A0000}"/>
    <cellStyle name="Normal 5 2 2 3 4" xfId="6997" xr:uid="{00000000-0005-0000-0000-0000D61A0000}"/>
    <cellStyle name="Normal 5 2 2 4" xfId="1908" xr:uid="{00000000-0005-0000-0000-0000D71A0000}"/>
    <cellStyle name="Normal 5 2 2 4 2" xfId="5928" xr:uid="{00000000-0005-0000-0000-0000D81A0000}"/>
    <cellStyle name="Normal 5 2 2 4 3" xfId="7155" xr:uid="{00000000-0005-0000-0000-0000D91A0000}"/>
    <cellStyle name="Normal 5 2 2 5" xfId="3638" xr:uid="{00000000-0005-0000-0000-0000DA1A0000}"/>
    <cellStyle name="Normal 5 2 2 5 2" xfId="5310" xr:uid="{00000000-0005-0000-0000-0000DB1A0000}"/>
    <cellStyle name="Normal 5 2 2 5 3" xfId="8598" xr:uid="{00000000-0005-0000-0000-0000DC1A0000}"/>
    <cellStyle name="Normal 5 2 2 6" xfId="2817" xr:uid="{00000000-0005-0000-0000-0000DD1A0000}"/>
    <cellStyle name="Normal 5 2 2 7" xfId="4332" xr:uid="{00000000-0005-0000-0000-0000DE1A0000}"/>
    <cellStyle name="Normal 5 2 2 8" xfId="6525" xr:uid="{00000000-0005-0000-0000-0000DF1A0000}"/>
    <cellStyle name="Normal 5 2 2 9" xfId="1273" xr:uid="{00000000-0005-0000-0000-0000E01A0000}"/>
    <cellStyle name="Normal 5 2 3" xfId="1320" xr:uid="{00000000-0005-0000-0000-0000E11A0000}"/>
    <cellStyle name="Normal 5 2 3 2" xfId="1588" xr:uid="{00000000-0005-0000-0000-0000E21A0000}"/>
    <cellStyle name="Normal 5 2 3 2 2" xfId="3689" xr:uid="{00000000-0005-0000-0000-0000E31A0000}"/>
    <cellStyle name="Normal 5 2 3 2 2 2" xfId="5614" xr:uid="{00000000-0005-0000-0000-0000E41A0000}"/>
    <cellStyle name="Normal 5 2 3 2 2 3" xfId="8615" xr:uid="{00000000-0005-0000-0000-0000E51A0000}"/>
    <cellStyle name="Normal 5 2 3 2 3" xfId="4596" xr:uid="{00000000-0005-0000-0000-0000E61A0000}"/>
    <cellStyle name="Normal 5 2 3 2 4" xfId="6839" xr:uid="{00000000-0005-0000-0000-0000E71A0000}"/>
    <cellStyle name="Normal 5 2 3 3" xfId="1792" xr:uid="{00000000-0005-0000-0000-0000E81A0000}"/>
    <cellStyle name="Normal 5 2 3 3 2" xfId="3702" xr:uid="{00000000-0005-0000-0000-0000E91A0000}"/>
    <cellStyle name="Normal 5 2 3 3 2 2" xfId="5813" xr:uid="{00000000-0005-0000-0000-0000EA1A0000}"/>
    <cellStyle name="Normal 5 2 3 3 2 3" xfId="8621" xr:uid="{00000000-0005-0000-0000-0000EB1A0000}"/>
    <cellStyle name="Normal 5 2 3 3 3" xfId="4680" xr:uid="{00000000-0005-0000-0000-0000EC1A0000}"/>
    <cellStyle name="Normal 5 2 3 3 4" xfId="7039" xr:uid="{00000000-0005-0000-0000-0000ED1A0000}"/>
    <cellStyle name="Normal 5 2 3 4" xfId="1907" xr:uid="{00000000-0005-0000-0000-0000EE1A0000}"/>
    <cellStyle name="Normal 5 2 3 4 2" xfId="5927" xr:uid="{00000000-0005-0000-0000-0000EF1A0000}"/>
    <cellStyle name="Normal 5 2 3 4 3" xfId="7154" xr:uid="{00000000-0005-0000-0000-0000F01A0000}"/>
    <cellStyle name="Normal 5 2 3 5" xfId="3661" xr:uid="{00000000-0005-0000-0000-0000F11A0000}"/>
    <cellStyle name="Normal 5 2 3 5 2" xfId="5356" xr:uid="{00000000-0005-0000-0000-0000F21A0000}"/>
    <cellStyle name="Normal 5 2 3 5 3" xfId="8604" xr:uid="{00000000-0005-0000-0000-0000F31A0000}"/>
    <cellStyle name="Normal 5 2 3 6" xfId="2823" xr:uid="{00000000-0005-0000-0000-0000F41A0000}"/>
    <cellStyle name="Normal 5 2 3 7" xfId="4333" xr:uid="{00000000-0005-0000-0000-0000F51A0000}"/>
    <cellStyle name="Normal 5 2 3 8" xfId="6572" xr:uid="{00000000-0005-0000-0000-0000F61A0000}"/>
    <cellStyle name="Normal 5 2 4" xfId="1472" xr:uid="{00000000-0005-0000-0000-0000F71A0000}"/>
    <cellStyle name="Normal 5 2 4 2" xfId="5500" xr:uid="{00000000-0005-0000-0000-0000F81A0000}"/>
    <cellStyle name="Normal 5 2 4 3" xfId="6724" xr:uid="{00000000-0005-0000-0000-0000F91A0000}"/>
    <cellStyle name="Normal 5 2 5" xfId="1467" xr:uid="{00000000-0005-0000-0000-0000FA1A0000}"/>
    <cellStyle name="Normal 5 2 5 2" xfId="5495" xr:uid="{00000000-0005-0000-0000-0000FB1A0000}"/>
    <cellStyle name="Normal 5 2 5 3" xfId="6719" xr:uid="{00000000-0005-0000-0000-0000FC1A0000}"/>
    <cellStyle name="Normal 5 2 6" xfId="1725" xr:uid="{00000000-0005-0000-0000-0000FD1A0000}"/>
    <cellStyle name="Normal 5 2 6 2" xfId="5747" xr:uid="{00000000-0005-0000-0000-0000FE1A0000}"/>
    <cellStyle name="Normal 5 2 6 3" xfId="6972" xr:uid="{00000000-0005-0000-0000-0000FF1A0000}"/>
    <cellStyle name="Normal 5 2 7" xfId="1202" xr:uid="{00000000-0005-0000-0000-0000001B0000}"/>
    <cellStyle name="Normal 5 2 7 2" xfId="5040" xr:uid="{00000000-0005-0000-0000-0000011B0000}"/>
    <cellStyle name="Normal 5 2 7 3" xfId="6454" xr:uid="{00000000-0005-0000-0000-0000021B0000}"/>
    <cellStyle name="Normal 5 2 8" xfId="2425" xr:uid="{00000000-0005-0000-0000-0000031B0000}"/>
    <cellStyle name="Normal 5 2 9" xfId="4331" xr:uid="{00000000-0005-0000-0000-0000041B0000}"/>
    <cellStyle name="Normal 5 20" xfId="2426" xr:uid="{00000000-0005-0000-0000-0000051B0000}"/>
    <cellStyle name="Normal 5 20 2" xfId="4334" xr:uid="{00000000-0005-0000-0000-0000061B0000}"/>
    <cellStyle name="Normal 5 20 3" xfId="7655" xr:uid="{00000000-0005-0000-0000-0000071B0000}"/>
    <cellStyle name="Normal 5 21" xfId="2427" xr:uid="{00000000-0005-0000-0000-0000081B0000}"/>
    <cellStyle name="Normal 5 21 2" xfId="4335" xr:uid="{00000000-0005-0000-0000-0000091B0000}"/>
    <cellStyle name="Normal 5 21 3" xfId="7656" xr:uid="{00000000-0005-0000-0000-00000A1B0000}"/>
    <cellStyle name="Normal 5 22" xfId="2428" xr:uid="{00000000-0005-0000-0000-00000B1B0000}"/>
    <cellStyle name="Normal 5 22 2" xfId="4336" xr:uid="{00000000-0005-0000-0000-00000C1B0000}"/>
    <cellStyle name="Normal 5 22 3" xfId="7657" xr:uid="{00000000-0005-0000-0000-00000D1B0000}"/>
    <cellStyle name="Normal 5 23" xfId="2429" xr:uid="{00000000-0005-0000-0000-00000E1B0000}"/>
    <cellStyle name="Normal 5 23 2" xfId="4337" xr:uid="{00000000-0005-0000-0000-00000F1B0000}"/>
    <cellStyle name="Normal 5 23 3" xfId="7658" xr:uid="{00000000-0005-0000-0000-0000101B0000}"/>
    <cellStyle name="Normal 5 24" xfId="2430" xr:uid="{00000000-0005-0000-0000-0000111B0000}"/>
    <cellStyle name="Normal 5 24 2" xfId="4338" xr:uid="{00000000-0005-0000-0000-0000121B0000}"/>
    <cellStyle name="Normal 5 24 3" xfId="7659" xr:uid="{00000000-0005-0000-0000-0000131B0000}"/>
    <cellStyle name="Normal 5 25" xfId="2431" xr:uid="{00000000-0005-0000-0000-0000141B0000}"/>
    <cellStyle name="Normal 5 25 2" xfId="4339" xr:uid="{00000000-0005-0000-0000-0000151B0000}"/>
    <cellStyle name="Normal 5 25 3" xfId="7660" xr:uid="{00000000-0005-0000-0000-0000161B0000}"/>
    <cellStyle name="Normal 5 26" xfId="2432" xr:uid="{00000000-0005-0000-0000-0000171B0000}"/>
    <cellStyle name="Normal 5 26 2" xfId="4340" xr:uid="{00000000-0005-0000-0000-0000181B0000}"/>
    <cellStyle name="Normal 5 26 3" xfId="7661" xr:uid="{00000000-0005-0000-0000-0000191B0000}"/>
    <cellStyle name="Normal 5 27" xfId="2433" xr:uid="{00000000-0005-0000-0000-00001A1B0000}"/>
    <cellStyle name="Normal 5 27 2" xfId="4341" xr:uid="{00000000-0005-0000-0000-00001B1B0000}"/>
    <cellStyle name="Normal 5 27 3" xfId="7662" xr:uid="{00000000-0005-0000-0000-00001C1B0000}"/>
    <cellStyle name="Normal 5 28" xfId="2434" xr:uid="{00000000-0005-0000-0000-00001D1B0000}"/>
    <cellStyle name="Normal 5 28 2" xfId="4342" xr:uid="{00000000-0005-0000-0000-00001E1B0000}"/>
    <cellStyle name="Normal 5 28 3" xfId="7663" xr:uid="{00000000-0005-0000-0000-00001F1B0000}"/>
    <cellStyle name="Normal 5 29" xfId="2435" xr:uid="{00000000-0005-0000-0000-0000201B0000}"/>
    <cellStyle name="Normal 5 29 2" xfId="4343" xr:uid="{00000000-0005-0000-0000-0000211B0000}"/>
    <cellStyle name="Normal 5 29 3" xfId="7664" xr:uid="{00000000-0005-0000-0000-0000221B0000}"/>
    <cellStyle name="Normal 5 3" xfId="662" xr:uid="{00000000-0005-0000-0000-0000231B0000}"/>
    <cellStyle name="Normal 5 3 2" xfId="1522" xr:uid="{00000000-0005-0000-0000-0000241B0000}"/>
    <cellStyle name="Normal 5 3 2 2" xfId="2717" xr:uid="{00000000-0005-0000-0000-0000251B0000}"/>
    <cellStyle name="Normal 5 3 2 2 2" xfId="3682" xr:uid="{00000000-0005-0000-0000-0000261B0000}"/>
    <cellStyle name="Normal 5 3 2 2 3" xfId="5549" xr:uid="{00000000-0005-0000-0000-0000271B0000}"/>
    <cellStyle name="Normal 5 3 2 2 4" xfId="7910" xr:uid="{00000000-0005-0000-0000-0000281B0000}"/>
    <cellStyle name="Normal 5 3 2 3" xfId="4345" xr:uid="{00000000-0005-0000-0000-0000291B0000}"/>
    <cellStyle name="Normal 5 3 2 4" xfId="6774" xr:uid="{00000000-0005-0000-0000-00002A1B0000}"/>
    <cellStyle name="Normal 5 3 3" xfId="1727" xr:uid="{00000000-0005-0000-0000-00002B1B0000}"/>
    <cellStyle name="Normal 5 3 3 2" xfId="5749" xr:uid="{00000000-0005-0000-0000-00002C1B0000}"/>
    <cellStyle name="Normal 5 3 3 3" xfId="6974" xr:uid="{00000000-0005-0000-0000-00002D1B0000}"/>
    <cellStyle name="Normal 5 3 4" xfId="1597" xr:uid="{00000000-0005-0000-0000-00002E1B0000}"/>
    <cellStyle name="Normal 5 3 4 2" xfId="5623" xr:uid="{00000000-0005-0000-0000-00002F1B0000}"/>
    <cellStyle name="Normal 5 3 4 3" xfId="6848" xr:uid="{00000000-0005-0000-0000-0000301B0000}"/>
    <cellStyle name="Normal 5 3 5" xfId="1252" xr:uid="{00000000-0005-0000-0000-0000311B0000}"/>
    <cellStyle name="Normal 5 3 5 2" xfId="5041" xr:uid="{00000000-0005-0000-0000-0000321B0000}"/>
    <cellStyle name="Normal 5 3 5 3" xfId="6504" xr:uid="{00000000-0005-0000-0000-0000331B0000}"/>
    <cellStyle name="Normal 5 3 6" xfId="2436" xr:uid="{00000000-0005-0000-0000-0000341B0000}"/>
    <cellStyle name="Normal 5 3 7" xfId="4344" xr:uid="{00000000-0005-0000-0000-0000351B0000}"/>
    <cellStyle name="Normal 5 3 8" xfId="6409" xr:uid="{00000000-0005-0000-0000-0000361B0000}"/>
    <cellStyle name="Normal 5 3 9" xfId="1154" xr:uid="{00000000-0005-0000-0000-0000371B0000}"/>
    <cellStyle name="Normal 5 30" xfId="2437" xr:uid="{00000000-0005-0000-0000-0000381B0000}"/>
    <cellStyle name="Normal 5 30 2" xfId="4346" xr:uid="{00000000-0005-0000-0000-0000391B0000}"/>
    <cellStyle name="Normal 5 30 3" xfId="7665" xr:uid="{00000000-0005-0000-0000-00003A1B0000}"/>
    <cellStyle name="Normal 5 31" xfId="2438" xr:uid="{00000000-0005-0000-0000-00003B1B0000}"/>
    <cellStyle name="Normal 5 31 2" xfId="4347" xr:uid="{00000000-0005-0000-0000-00003C1B0000}"/>
    <cellStyle name="Normal 5 31 3" xfId="7666" xr:uid="{00000000-0005-0000-0000-00003D1B0000}"/>
    <cellStyle name="Normal 5 32" xfId="2439" xr:uid="{00000000-0005-0000-0000-00003E1B0000}"/>
    <cellStyle name="Normal 5 32 2" xfId="4348" xr:uid="{00000000-0005-0000-0000-00003F1B0000}"/>
    <cellStyle name="Normal 5 32 3" xfId="7667" xr:uid="{00000000-0005-0000-0000-0000401B0000}"/>
    <cellStyle name="Normal 5 33" xfId="2440" xr:uid="{00000000-0005-0000-0000-0000411B0000}"/>
    <cellStyle name="Normal 5 33 2" xfId="4349" xr:uid="{00000000-0005-0000-0000-0000421B0000}"/>
    <cellStyle name="Normal 5 33 3" xfId="7668" xr:uid="{00000000-0005-0000-0000-0000431B0000}"/>
    <cellStyle name="Normal 5 34" xfId="2441" xr:uid="{00000000-0005-0000-0000-0000441B0000}"/>
    <cellStyle name="Normal 5 34 2" xfId="4350" xr:uid="{00000000-0005-0000-0000-0000451B0000}"/>
    <cellStyle name="Normal 5 34 3" xfId="7669" xr:uid="{00000000-0005-0000-0000-0000461B0000}"/>
    <cellStyle name="Normal 5 35" xfId="2442" xr:uid="{00000000-0005-0000-0000-0000471B0000}"/>
    <cellStyle name="Normal 5 35 2" xfId="4351" xr:uid="{00000000-0005-0000-0000-0000481B0000}"/>
    <cellStyle name="Normal 5 35 3" xfId="7670" xr:uid="{00000000-0005-0000-0000-0000491B0000}"/>
    <cellStyle name="Normal 5 36" xfId="2443" xr:uid="{00000000-0005-0000-0000-00004A1B0000}"/>
    <cellStyle name="Normal 5 36 2" xfId="4352" xr:uid="{00000000-0005-0000-0000-00004B1B0000}"/>
    <cellStyle name="Normal 5 36 3" xfId="7671" xr:uid="{00000000-0005-0000-0000-00004C1B0000}"/>
    <cellStyle name="Normal 5 37" xfId="2444" xr:uid="{00000000-0005-0000-0000-00004D1B0000}"/>
    <cellStyle name="Normal 5 37 2" xfId="4353" xr:uid="{00000000-0005-0000-0000-00004E1B0000}"/>
    <cellStyle name="Normal 5 37 3" xfId="7672" xr:uid="{00000000-0005-0000-0000-00004F1B0000}"/>
    <cellStyle name="Normal 5 38" xfId="2445" xr:uid="{00000000-0005-0000-0000-0000501B0000}"/>
    <cellStyle name="Normal 5 38 2" xfId="4354" xr:uid="{00000000-0005-0000-0000-0000511B0000}"/>
    <cellStyle name="Normal 5 38 3" xfId="7673" xr:uid="{00000000-0005-0000-0000-0000521B0000}"/>
    <cellStyle name="Normal 5 39" xfId="2446" xr:uid="{00000000-0005-0000-0000-0000531B0000}"/>
    <cellStyle name="Normal 5 39 2" xfId="4355" xr:uid="{00000000-0005-0000-0000-0000541B0000}"/>
    <cellStyle name="Normal 5 39 3" xfId="7674" xr:uid="{00000000-0005-0000-0000-0000551B0000}"/>
    <cellStyle name="Normal 5 4" xfId="663" xr:uid="{00000000-0005-0000-0000-0000561B0000}"/>
    <cellStyle name="Normal 5 4 2" xfId="1567" xr:uid="{00000000-0005-0000-0000-0000571B0000}"/>
    <cellStyle name="Normal 5 4 2 2" xfId="5593" xr:uid="{00000000-0005-0000-0000-0000581B0000}"/>
    <cellStyle name="Normal 5 4 2 3" xfId="6818" xr:uid="{00000000-0005-0000-0000-0000591B0000}"/>
    <cellStyle name="Normal 5 4 3" xfId="1771" xr:uid="{00000000-0005-0000-0000-00005A1B0000}"/>
    <cellStyle name="Normal 5 4 3 2" xfId="5792" xr:uid="{00000000-0005-0000-0000-00005B1B0000}"/>
    <cellStyle name="Normal 5 4 3 3" xfId="7018" xr:uid="{00000000-0005-0000-0000-00005C1B0000}"/>
    <cellStyle name="Normal 5 4 4" xfId="1943" xr:uid="{00000000-0005-0000-0000-00005D1B0000}"/>
    <cellStyle name="Normal 5 4 4 2" xfId="5963" xr:uid="{00000000-0005-0000-0000-00005E1B0000}"/>
    <cellStyle name="Normal 5 4 4 3" xfId="7190" xr:uid="{00000000-0005-0000-0000-00005F1B0000}"/>
    <cellStyle name="Normal 5 4 5" xfId="2447" xr:uid="{00000000-0005-0000-0000-0000601B0000}"/>
    <cellStyle name="Normal 5 4 5 2" xfId="3403" xr:uid="{00000000-0005-0000-0000-0000611B0000}"/>
    <cellStyle name="Normal 5 4 5 3" xfId="5042" xr:uid="{00000000-0005-0000-0000-0000621B0000}"/>
    <cellStyle name="Normal 5 4 5 4" xfId="7675" xr:uid="{00000000-0005-0000-0000-0000631B0000}"/>
    <cellStyle name="Normal 5 4 6" xfId="4356" xr:uid="{00000000-0005-0000-0000-0000641B0000}"/>
    <cellStyle name="Normal 5 4 7" xfId="6406" xr:uid="{00000000-0005-0000-0000-0000651B0000}"/>
    <cellStyle name="Normal 5 4 8" xfId="1151" xr:uid="{00000000-0005-0000-0000-0000661B0000}"/>
    <cellStyle name="Normal 5 40" xfId="2448" xr:uid="{00000000-0005-0000-0000-0000671B0000}"/>
    <cellStyle name="Normal 5 40 2" xfId="4357" xr:uid="{00000000-0005-0000-0000-0000681B0000}"/>
    <cellStyle name="Normal 5 40 3" xfId="7676" xr:uid="{00000000-0005-0000-0000-0000691B0000}"/>
    <cellStyle name="Normal 5 41" xfId="2449" xr:uid="{00000000-0005-0000-0000-00006A1B0000}"/>
    <cellStyle name="Normal 5 41 2" xfId="4358" xr:uid="{00000000-0005-0000-0000-00006B1B0000}"/>
    <cellStyle name="Normal 5 41 3" xfId="7677" xr:uid="{00000000-0005-0000-0000-00006C1B0000}"/>
    <cellStyle name="Normal 5 42" xfId="2450" xr:uid="{00000000-0005-0000-0000-00006D1B0000}"/>
    <cellStyle name="Normal 5 42 2" xfId="4359" xr:uid="{00000000-0005-0000-0000-00006E1B0000}"/>
    <cellStyle name="Normal 5 42 3" xfId="7678" xr:uid="{00000000-0005-0000-0000-00006F1B0000}"/>
    <cellStyle name="Normal 5 43" xfId="2451" xr:uid="{00000000-0005-0000-0000-0000701B0000}"/>
    <cellStyle name="Normal 5 43 2" xfId="4360" xr:uid="{00000000-0005-0000-0000-0000711B0000}"/>
    <cellStyle name="Normal 5 43 3" xfId="7679" xr:uid="{00000000-0005-0000-0000-0000721B0000}"/>
    <cellStyle name="Normal 5 44" xfId="2452" xr:uid="{00000000-0005-0000-0000-0000731B0000}"/>
    <cellStyle name="Normal 5 44 2" xfId="4361" xr:uid="{00000000-0005-0000-0000-0000741B0000}"/>
    <cellStyle name="Normal 5 44 3" xfId="7680" xr:uid="{00000000-0005-0000-0000-0000751B0000}"/>
    <cellStyle name="Normal 5 45" xfId="2453" xr:uid="{00000000-0005-0000-0000-0000761B0000}"/>
    <cellStyle name="Normal 5 45 2" xfId="4362" xr:uid="{00000000-0005-0000-0000-0000771B0000}"/>
    <cellStyle name="Normal 5 45 3" xfId="7681" xr:uid="{00000000-0005-0000-0000-0000781B0000}"/>
    <cellStyle name="Normal 5 46" xfId="2454" xr:uid="{00000000-0005-0000-0000-0000791B0000}"/>
    <cellStyle name="Normal 5 46 2" xfId="4363" xr:uid="{00000000-0005-0000-0000-00007A1B0000}"/>
    <cellStyle name="Normal 5 46 3" xfId="7682" xr:uid="{00000000-0005-0000-0000-00007B1B0000}"/>
    <cellStyle name="Normal 5 47" xfId="2455" xr:uid="{00000000-0005-0000-0000-00007C1B0000}"/>
    <cellStyle name="Normal 5 47 2" xfId="4364" xr:uid="{00000000-0005-0000-0000-00007D1B0000}"/>
    <cellStyle name="Normal 5 47 3" xfId="7683" xr:uid="{00000000-0005-0000-0000-00007E1B0000}"/>
    <cellStyle name="Normal 5 48" xfId="2456" xr:uid="{00000000-0005-0000-0000-00007F1B0000}"/>
    <cellStyle name="Normal 5 48 2" xfId="4365" xr:uid="{00000000-0005-0000-0000-0000801B0000}"/>
    <cellStyle name="Normal 5 48 3" xfId="7684" xr:uid="{00000000-0005-0000-0000-0000811B0000}"/>
    <cellStyle name="Normal 5 49" xfId="2457" xr:uid="{00000000-0005-0000-0000-0000821B0000}"/>
    <cellStyle name="Normal 5 49 2" xfId="4366" xr:uid="{00000000-0005-0000-0000-0000831B0000}"/>
    <cellStyle name="Normal 5 49 3" xfId="7685" xr:uid="{00000000-0005-0000-0000-0000841B0000}"/>
    <cellStyle name="Normal 5 5" xfId="664" xr:uid="{00000000-0005-0000-0000-0000851B0000}"/>
    <cellStyle name="Normal 5 5 2" xfId="665" xr:uid="{00000000-0005-0000-0000-0000861B0000}"/>
    <cellStyle name="Normal 5 5 2 2" xfId="3404" xr:uid="{00000000-0005-0000-0000-0000871B0000}"/>
    <cellStyle name="Normal 5 5 2 3" xfId="5043" xr:uid="{00000000-0005-0000-0000-0000881B0000}"/>
    <cellStyle name="Normal 5 5 2 4" xfId="7686" xr:uid="{00000000-0005-0000-0000-0000891B0000}"/>
    <cellStyle name="Normal 5 5 2 5" xfId="2458" xr:uid="{00000000-0005-0000-0000-00008A1B0000}"/>
    <cellStyle name="Normal 5 5 3" xfId="4367" xr:uid="{00000000-0005-0000-0000-00008B1B0000}"/>
    <cellStyle name="Normal 5 5 4" xfId="6699" xr:uid="{00000000-0005-0000-0000-00008C1B0000}"/>
    <cellStyle name="Normal 5 5 5" xfId="1447" xr:uid="{00000000-0005-0000-0000-00008D1B0000}"/>
    <cellStyle name="Normal 5 50" xfId="2459" xr:uid="{00000000-0005-0000-0000-00008E1B0000}"/>
    <cellStyle name="Normal 5 50 2" xfId="4368" xr:uid="{00000000-0005-0000-0000-00008F1B0000}"/>
    <cellStyle name="Normal 5 50 3" xfId="7687" xr:uid="{00000000-0005-0000-0000-0000901B0000}"/>
    <cellStyle name="Normal 5 51" xfId="2460" xr:uid="{00000000-0005-0000-0000-0000911B0000}"/>
    <cellStyle name="Normal 5 51 2" xfId="4369" xr:uid="{00000000-0005-0000-0000-0000921B0000}"/>
    <cellStyle name="Normal 5 51 3" xfId="7688" xr:uid="{00000000-0005-0000-0000-0000931B0000}"/>
    <cellStyle name="Normal 5 52" xfId="2461" xr:uid="{00000000-0005-0000-0000-0000941B0000}"/>
    <cellStyle name="Normal 5 52 2" xfId="4370" xr:uid="{00000000-0005-0000-0000-0000951B0000}"/>
    <cellStyle name="Normal 5 52 3" xfId="7689" xr:uid="{00000000-0005-0000-0000-0000961B0000}"/>
    <cellStyle name="Normal 5 53" xfId="2462" xr:uid="{00000000-0005-0000-0000-0000971B0000}"/>
    <cellStyle name="Normal 5 53 2" xfId="4371" xr:uid="{00000000-0005-0000-0000-0000981B0000}"/>
    <cellStyle name="Normal 5 53 3" xfId="7690" xr:uid="{00000000-0005-0000-0000-0000991B0000}"/>
    <cellStyle name="Normal 5 54" xfId="2463" xr:uid="{00000000-0005-0000-0000-00009A1B0000}"/>
    <cellStyle name="Normal 5 54 2" xfId="4372" xr:uid="{00000000-0005-0000-0000-00009B1B0000}"/>
    <cellStyle name="Normal 5 54 3" xfId="7691" xr:uid="{00000000-0005-0000-0000-00009C1B0000}"/>
    <cellStyle name="Normal 5 55" xfId="2464" xr:uid="{00000000-0005-0000-0000-00009D1B0000}"/>
    <cellStyle name="Normal 5 55 2" xfId="4373" xr:uid="{00000000-0005-0000-0000-00009E1B0000}"/>
    <cellStyle name="Normal 5 55 3" xfId="7692" xr:uid="{00000000-0005-0000-0000-00009F1B0000}"/>
    <cellStyle name="Normal 5 56" xfId="2465" xr:uid="{00000000-0005-0000-0000-0000A01B0000}"/>
    <cellStyle name="Normal 5 56 2" xfId="4374" xr:uid="{00000000-0005-0000-0000-0000A11B0000}"/>
    <cellStyle name="Normal 5 56 3" xfId="7693" xr:uid="{00000000-0005-0000-0000-0000A21B0000}"/>
    <cellStyle name="Normal 5 57" xfId="2466" xr:uid="{00000000-0005-0000-0000-0000A31B0000}"/>
    <cellStyle name="Normal 5 57 2" xfId="4375" xr:uid="{00000000-0005-0000-0000-0000A41B0000}"/>
    <cellStyle name="Normal 5 57 3" xfId="7694" xr:uid="{00000000-0005-0000-0000-0000A51B0000}"/>
    <cellStyle name="Normal 5 58" xfId="2467" xr:uid="{00000000-0005-0000-0000-0000A61B0000}"/>
    <cellStyle name="Normal 5 58 2" xfId="4376" xr:uid="{00000000-0005-0000-0000-0000A71B0000}"/>
    <cellStyle name="Normal 5 58 3" xfId="7695" xr:uid="{00000000-0005-0000-0000-0000A81B0000}"/>
    <cellStyle name="Normal 5 59" xfId="2468" xr:uid="{00000000-0005-0000-0000-0000A91B0000}"/>
    <cellStyle name="Normal 5 59 2" xfId="4377" xr:uid="{00000000-0005-0000-0000-0000AA1B0000}"/>
    <cellStyle name="Normal 5 59 3" xfId="7696" xr:uid="{00000000-0005-0000-0000-0000AB1B0000}"/>
    <cellStyle name="Normal 5 6" xfId="666" xr:uid="{00000000-0005-0000-0000-0000AC1B0000}"/>
    <cellStyle name="Normal 5 6 2" xfId="2469" xr:uid="{00000000-0005-0000-0000-0000AD1B0000}"/>
    <cellStyle name="Normal 5 6 2 2" xfId="3405" xr:uid="{00000000-0005-0000-0000-0000AE1B0000}"/>
    <cellStyle name="Normal 5 6 2 3" xfId="5044" xr:uid="{00000000-0005-0000-0000-0000AF1B0000}"/>
    <cellStyle name="Normal 5 6 2 4" xfId="7697" xr:uid="{00000000-0005-0000-0000-0000B01B0000}"/>
    <cellStyle name="Normal 5 6 3" xfId="4378" xr:uid="{00000000-0005-0000-0000-0000B11B0000}"/>
    <cellStyle name="Normal 5 6 4" xfId="6660" xr:uid="{00000000-0005-0000-0000-0000B21B0000}"/>
    <cellStyle name="Normal 5 6 5" xfId="1408" xr:uid="{00000000-0005-0000-0000-0000B31B0000}"/>
    <cellStyle name="Normal 5 60" xfId="2470" xr:uid="{00000000-0005-0000-0000-0000B41B0000}"/>
    <cellStyle name="Normal 5 60 2" xfId="4379" xr:uid="{00000000-0005-0000-0000-0000B51B0000}"/>
    <cellStyle name="Normal 5 60 3" xfId="7698" xr:uid="{00000000-0005-0000-0000-0000B61B0000}"/>
    <cellStyle name="Normal 5 61" xfId="2471" xr:uid="{00000000-0005-0000-0000-0000B71B0000}"/>
    <cellStyle name="Normal 5 61 2" xfId="4380" xr:uid="{00000000-0005-0000-0000-0000B81B0000}"/>
    <cellStyle name="Normal 5 61 3" xfId="7699" xr:uid="{00000000-0005-0000-0000-0000B91B0000}"/>
    <cellStyle name="Normal 5 62" xfId="2472" xr:uid="{00000000-0005-0000-0000-0000BA1B0000}"/>
    <cellStyle name="Normal 5 62 2" xfId="4381" xr:uid="{00000000-0005-0000-0000-0000BB1B0000}"/>
    <cellStyle name="Normal 5 62 3" xfId="7700" xr:uid="{00000000-0005-0000-0000-0000BC1B0000}"/>
    <cellStyle name="Normal 5 63" xfId="2473" xr:uid="{00000000-0005-0000-0000-0000BD1B0000}"/>
    <cellStyle name="Normal 5 63 2" xfId="4382" xr:uid="{00000000-0005-0000-0000-0000BE1B0000}"/>
    <cellStyle name="Normal 5 63 3" xfId="7701" xr:uid="{00000000-0005-0000-0000-0000BF1B0000}"/>
    <cellStyle name="Normal 5 64" xfId="2474" xr:uid="{00000000-0005-0000-0000-0000C01B0000}"/>
    <cellStyle name="Normal 5 64 2" xfId="4383" xr:uid="{00000000-0005-0000-0000-0000C11B0000}"/>
    <cellStyle name="Normal 5 64 3" xfId="7702" xr:uid="{00000000-0005-0000-0000-0000C21B0000}"/>
    <cellStyle name="Normal 5 65" xfId="2475" xr:uid="{00000000-0005-0000-0000-0000C31B0000}"/>
    <cellStyle name="Normal 5 65 2" xfId="4384" xr:uid="{00000000-0005-0000-0000-0000C41B0000}"/>
    <cellStyle name="Normal 5 65 3" xfId="7703" xr:uid="{00000000-0005-0000-0000-0000C51B0000}"/>
    <cellStyle name="Normal 5 66" xfId="2476" xr:uid="{00000000-0005-0000-0000-0000C61B0000}"/>
    <cellStyle name="Normal 5 66 2" xfId="4385" xr:uid="{00000000-0005-0000-0000-0000C71B0000}"/>
    <cellStyle name="Normal 5 66 3" xfId="7704" xr:uid="{00000000-0005-0000-0000-0000C81B0000}"/>
    <cellStyle name="Normal 5 67" xfId="2477" xr:uid="{00000000-0005-0000-0000-0000C91B0000}"/>
    <cellStyle name="Normal 5 67 2" xfId="4386" xr:uid="{00000000-0005-0000-0000-0000CA1B0000}"/>
    <cellStyle name="Normal 5 67 3" xfId="7705" xr:uid="{00000000-0005-0000-0000-0000CB1B0000}"/>
    <cellStyle name="Normal 5 68" xfId="2478" xr:uid="{00000000-0005-0000-0000-0000CC1B0000}"/>
    <cellStyle name="Normal 5 68 2" xfId="4387" xr:uid="{00000000-0005-0000-0000-0000CD1B0000}"/>
    <cellStyle name="Normal 5 68 3" xfId="7706" xr:uid="{00000000-0005-0000-0000-0000CE1B0000}"/>
    <cellStyle name="Normal 5 69" xfId="2479" xr:uid="{00000000-0005-0000-0000-0000CF1B0000}"/>
    <cellStyle name="Normal 5 69 2" xfId="4388" xr:uid="{00000000-0005-0000-0000-0000D01B0000}"/>
    <cellStyle name="Normal 5 69 3" xfId="7707" xr:uid="{00000000-0005-0000-0000-0000D11B0000}"/>
    <cellStyle name="Normal 5 7" xfId="667" xr:uid="{00000000-0005-0000-0000-0000D21B0000}"/>
    <cellStyle name="Normal 5 7 2" xfId="2480" xr:uid="{00000000-0005-0000-0000-0000D31B0000}"/>
    <cellStyle name="Normal 5 7 2 2" xfId="3406" xr:uid="{00000000-0005-0000-0000-0000D41B0000}"/>
    <cellStyle name="Normal 5 7 2 3" xfId="5045" xr:uid="{00000000-0005-0000-0000-0000D51B0000}"/>
    <cellStyle name="Normal 5 7 2 4" xfId="7708" xr:uid="{00000000-0005-0000-0000-0000D61B0000}"/>
    <cellStyle name="Normal 5 7 3" xfId="4389" xr:uid="{00000000-0005-0000-0000-0000D71B0000}"/>
    <cellStyle name="Normal 5 7 4" xfId="7015" xr:uid="{00000000-0005-0000-0000-0000D81B0000}"/>
    <cellStyle name="Normal 5 7 5" xfId="1768" xr:uid="{00000000-0005-0000-0000-0000D91B0000}"/>
    <cellStyle name="Normal 5 70" xfId="2481" xr:uid="{00000000-0005-0000-0000-0000DA1B0000}"/>
    <cellStyle name="Normal 5 70 2" xfId="4390" xr:uid="{00000000-0005-0000-0000-0000DB1B0000}"/>
    <cellStyle name="Normal 5 70 3" xfId="7709" xr:uid="{00000000-0005-0000-0000-0000DC1B0000}"/>
    <cellStyle name="Normal 5 71" xfId="2482" xr:uid="{00000000-0005-0000-0000-0000DD1B0000}"/>
    <cellStyle name="Normal 5 71 2" xfId="4391" xr:uid="{00000000-0005-0000-0000-0000DE1B0000}"/>
    <cellStyle name="Normal 5 71 3" xfId="7710" xr:uid="{00000000-0005-0000-0000-0000DF1B0000}"/>
    <cellStyle name="Normal 5 72" xfId="2483" xr:uid="{00000000-0005-0000-0000-0000E01B0000}"/>
    <cellStyle name="Normal 5 72 2" xfId="4392" xr:uid="{00000000-0005-0000-0000-0000E11B0000}"/>
    <cellStyle name="Normal 5 72 3" xfId="7711" xr:uid="{00000000-0005-0000-0000-0000E21B0000}"/>
    <cellStyle name="Normal 5 73" xfId="2484" xr:uid="{00000000-0005-0000-0000-0000E31B0000}"/>
    <cellStyle name="Normal 5 73 2" xfId="4393" xr:uid="{00000000-0005-0000-0000-0000E41B0000}"/>
    <cellStyle name="Normal 5 73 3" xfId="7712" xr:uid="{00000000-0005-0000-0000-0000E51B0000}"/>
    <cellStyle name="Normal 5 74" xfId="2485" xr:uid="{00000000-0005-0000-0000-0000E61B0000}"/>
    <cellStyle name="Normal 5 74 2" xfId="4394" xr:uid="{00000000-0005-0000-0000-0000E71B0000}"/>
    <cellStyle name="Normal 5 74 3" xfId="7713" xr:uid="{00000000-0005-0000-0000-0000E81B0000}"/>
    <cellStyle name="Normal 5 75" xfId="2486" xr:uid="{00000000-0005-0000-0000-0000E91B0000}"/>
    <cellStyle name="Normal 5 75 2" xfId="4395" xr:uid="{00000000-0005-0000-0000-0000EA1B0000}"/>
    <cellStyle name="Normal 5 75 3" xfId="7714" xr:uid="{00000000-0005-0000-0000-0000EB1B0000}"/>
    <cellStyle name="Normal 5 76" xfId="2487" xr:uid="{00000000-0005-0000-0000-0000EC1B0000}"/>
    <cellStyle name="Normal 5 76 2" xfId="4396" xr:uid="{00000000-0005-0000-0000-0000ED1B0000}"/>
    <cellStyle name="Normal 5 76 3" xfId="7715" xr:uid="{00000000-0005-0000-0000-0000EE1B0000}"/>
    <cellStyle name="Normal 5 77" xfId="2488" xr:uid="{00000000-0005-0000-0000-0000EF1B0000}"/>
    <cellStyle name="Normal 5 77 2" xfId="4397" xr:uid="{00000000-0005-0000-0000-0000F01B0000}"/>
    <cellStyle name="Normal 5 77 3" xfId="7716" xr:uid="{00000000-0005-0000-0000-0000F11B0000}"/>
    <cellStyle name="Normal 5 78" xfId="2489" xr:uid="{00000000-0005-0000-0000-0000F21B0000}"/>
    <cellStyle name="Normal 5 78 2" xfId="4398" xr:uid="{00000000-0005-0000-0000-0000F31B0000}"/>
    <cellStyle name="Normal 5 78 3" xfId="7717" xr:uid="{00000000-0005-0000-0000-0000F41B0000}"/>
    <cellStyle name="Normal 5 79" xfId="2490" xr:uid="{00000000-0005-0000-0000-0000F51B0000}"/>
    <cellStyle name="Normal 5 79 2" xfId="4399" xr:uid="{00000000-0005-0000-0000-0000F61B0000}"/>
    <cellStyle name="Normal 5 79 3" xfId="7718" xr:uid="{00000000-0005-0000-0000-0000F71B0000}"/>
    <cellStyle name="Normal 5 8" xfId="668" xr:uid="{00000000-0005-0000-0000-0000F81B0000}"/>
    <cellStyle name="Normal 5 8 2" xfId="2491" xr:uid="{00000000-0005-0000-0000-0000F91B0000}"/>
    <cellStyle name="Normal 5 8 2 2" xfId="3608" xr:uid="{00000000-0005-0000-0000-0000FA1B0000}"/>
    <cellStyle name="Normal 5 8 2 3" xfId="5220" xr:uid="{00000000-0005-0000-0000-0000FB1B0000}"/>
    <cellStyle name="Normal 5 8 2 4" xfId="7719" xr:uid="{00000000-0005-0000-0000-0000FC1B0000}"/>
    <cellStyle name="Normal 5 8 3" xfId="4400" xr:uid="{00000000-0005-0000-0000-0000FD1B0000}"/>
    <cellStyle name="Normal 5 8 4" xfId="6431" xr:uid="{00000000-0005-0000-0000-0000FE1B0000}"/>
    <cellStyle name="Normal 5 8 5" xfId="1179" xr:uid="{00000000-0005-0000-0000-0000FF1B0000}"/>
    <cellStyle name="Normal 5 80" xfId="2492" xr:uid="{00000000-0005-0000-0000-0000001C0000}"/>
    <cellStyle name="Normal 5 80 2" xfId="2292" xr:uid="{00000000-0005-0000-0000-0000011C0000}"/>
    <cellStyle name="Normal 5 80 3" xfId="4401" xr:uid="{00000000-0005-0000-0000-0000021C0000}"/>
    <cellStyle name="Normal 5 80 4" xfId="7720" xr:uid="{00000000-0005-0000-0000-0000031C0000}"/>
    <cellStyle name="Normal 5 81" xfId="2414" xr:uid="{00000000-0005-0000-0000-0000041C0000}"/>
    <cellStyle name="Normal 5 81 2" xfId="2676" xr:uid="{00000000-0005-0000-0000-0000051C0000}"/>
    <cellStyle name="Normal 5 81 3" xfId="4402" xr:uid="{00000000-0005-0000-0000-0000061C0000}"/>
    <cellStyle name="Normal 5 81 4" xfId="7644" xr:uid="{00000000-0005-0000-0000-0000071C0000}"/>
    <cellStyle name="Normal 5 82" xfId="2611" xr:uid="{00000000-0005-0000-0000-0000081C0000}"/>
    <cellStyle name="Normal 5 82 2" xfId="2718" xr:uid="{00000000-0005-0000-0000-0000091C0000}"/>
    <cellStyle name="Normal 5 82 3" xfId="4403" xr:uid="{00000000-0005-0000-0000-00000A1C0000}"/>
    <cellStyle name="Normal 5 82 4" xfId="7828" xr:uid="{00000000-0005-0000-0000-00000B1C0000}"/>
    <cellStyle name="Normal 5 83" xfId="2719" xr:uid="{00000000-0005-0000-0000-00000C1C0000}"/>
    <cellStyle name="Normal 5 83 2" xfId="4404" xr:uid="{00000000-0005-0000-0000-00000D1C0000}"/>
    <cellStyle name="Normal 5 83 3" xfId="7911" xr:uid="{00000000-0005-0000-0000-00000E1C0000}"/>
    <cellStyle name="Normal 5 84" xfId="2720" xr:uid="{00000000-0005-0000-0000-00000F1C0000}"/>
    <cellStyle name="Normal 5 84 2" xfId="4405" xr:uid="{00000000-0005-0000-0000-0000101C0000}"/>
    <cellStyle name="Normal 5 84 3" xfId="7912" xr:uid="{00000000-0005-0000-0000-0000111C0000}"/>
    <cellStyle name="Normal 5 85" xfId="2762" xr:uid="{00000000-0005-0000-0000-0000121C0000}"/>
    <cellStyle name="Normal 5 85 2" xfId="4533" xr:uid="{00000000-0005-0000-0000-0000131C0000}"/>
    <cellStyle name="Normal 5 85 3" xfId="7939" xr:uid="{00000000-0005-0000-0000-0000141C0000}"/>
    <cellStyle name="Normal 5 86" xfId="2758" xr:uid="{00000000-0005-0000-0000-0000151C0000}"/>
    <cellStyle name="Normal 5 87" xfId="3877" xr:uid="{00000000-0005-0000-0000-0000161C0000}"/>
    <cellStyle name="Normal 5 88" xfId="6324" xr:uid="{00000000-0005-0000-0000-0000171C0000}"/>
    <cellStyle name="Normal 5 89" xfId="1042" xr:uid="{00000000-0005-0000-0000-0000181C0000}"/>
    <cellStyle name="Normal 5 9" xfId="669" xr:uid="{00000000-0005-0000-0000-0000191C0000}"/>
    <cellStyle name="Normal 5 9 2" xfId="4406" xr:uid="{00000000-0005-0000-0000-00001A1C0000}"/>
    <cellStyle name="Normal 5 9 3" xfId="6416" xr:uid="{00000000-0005-0000-0000-00001B1C0000}"/>
    <cellStyle name="Normal 5 9 4" xfId="1162" xr:uid="{00000000-0005-0000-0000-00001C1C0000}"/>
    <cellStyle name="Normal 5_ON2_ListaOperacoesAprovadas SI - Apoio (30-06-2010)" xfId="3407" xr:uid="{00000000-0005-0000-0000-00001D1C0000}"/>
    <cellStyle name="Normal 50" xfId="670" xr:uid="{00000000-0005-0000-0000-00001E1C0000}"/>
    <cellStyle name="Normal 50 2" xfId="4528" xr:uid="{00000000-0005-0000-0000-00001F1C0000}"/>
    <cellStyle name="Normal 51" xfId="671" xr:uid="{00000000-0005-0000-0000-0000201C0000}"/>
    <cellStyle name="Normal 51 2" xfId="4529" xr:uid="{00000000-0005-0000-0000-0000211C0000}"/>
    <cellStyle name="Normal 52" xfId="672" xr:uid="{00000000-0005-0000-0000-0000221C0000}"/>
    <cellStyle name="Normal 52 2" xfId="4530" xr:uid="{00000000-0005-0000-0000-0000231C0000}"/>
    <cellStyle name="Normal 53" xfId="673" xr:uid="{00000000-0005-0000-0000-0000241C0000}"/>
    <cellStyle name="Normal 53 2" xfId="4531" xr:uid="{00000000-0005-0000-0000-0000251C0000}"/>
    <cellStyle name="Normal 54" xfId="674" xr:uid="{00000000-0005-0000-0000-0000261C0000}"/>
    <cellStyle name="Normal 54 2" xfId="6274" xr:uid="{00000000-0005-0000-0000-0000271C0000}"/>
    <cellStyle name="Normal 55" xfId="675" xr:uid="{00000000-0005-0000-0000-0000281C0000}"/>
    <cellStyle name="Normal 56" xfId="676" xr:uid="{00000000-0005-0000-0000-0000291C0000}"/>
    <cellStyle name="Normal 56 2" xfId="8767" xr:uid="{00000000-0005-0000-0000-00002A1C0000}"/>
    <cellStyle name="Normal 57" xfId="677" xr:uid="{00000000-0005-0000-0000-00002B1C0000}"/>
    <cellStyle name="Normal 57 2" xfId="992" xr:uid="{00000000-0005-0000-0000-00002C1C0000}"/>
    <cellStyle name="Normal 58" xfId="678" xr:uid="{00000000-0005-0000-0000-00002D1C0000}"/>
    <cellStyle name="Normal 58 2" xfId="8769" xr:uid="{00000000-0005-0000-0000-00002E1C0000}"/>
    <cellStyle name="Normal 59" xfId="679" xr:uid="{00000000-0005-0000-0000-00002F1C0000}"/>
    <cellStyle name="Normal 59 2" xfId="2494" xr:uid="{00000000-0005-0000-0000-0000301C0000}"/>
    <cellStyle name="Normal 59 2 2" xfId="4407" xr:uid="{00000000-0005-0000-0000-0000311C0000}"/>
    <cellStyle name="Normal 59 2 3" xfId="7721" xr:uid="{00000000-0005-0000-0000-0000321C0000}"/>
    <cellStyle name="Normal 59 3" xfId="8879"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2"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5" xr:uid="{00000000-0005-0000-0000-00003C1C0000}"/>
    <cellStyle name="Normal 6 2 2 2 3" xfId="8002" xr:uid="{00000000-0005-0000-0000-00003D1C0000}"/>
    <cellStyle name="Normal 6 2 2 2 4" xfId="2946" xr:uid="{00000000-0005-0000-0000-00003E1C0000}"/>
    <cellStyle name="Normal 6 2 2 3" xfId="3041" xr:uid="{00000000-0005-0000-0000-00003F1C0000}"/>
    <cellStyle name="Normal 6 2 2 3 2" xfId="4688" xr:uid="{00000000-0005-0000-0000-0000401C0000}"/>
    <cellStyle name="Normal 6 2 2 3 3" xfId="8097" xr:uid="{00000000-0005-0000-0000-0000411C0000}"/>
    <cellStyle name="Normal 6 2 2 4" xfId="3609" xr:uid="{00000000-0005-0000-0000-0000421C0000}"/>
    <cellStyle name="Normal 6 2 2 4 2" xfId="5221" xr:uid="{00000000-0005-0000-0000-0000431C0000}"/>
    <cellStyle name="Normal 6 2 2 4 3" xfId="8591" xr:uid="{00000000-0005-0000-0000-0000441C0000}"/>
    <cellStyle name="Normal 6 2 2 5" xfId="3815" xr:uid="{00000000-0005-0000-0000-0000451C0000}"/>
    <cellStyle name="Normal 6 2 2 5 2" xfId="6202" xr:uid="{00000000-0005-0000-0000-0000461C0000}"/>
    <cellStyle name="Normal 6 2 2 5 3" xfId="8726" xr:uid="{00000000-0005-0000-0000-0000471C0000}"/>
    <cellStyle name="Normal 6 2 2 6" xfId="2846" xr:uid="{00000000-0005-0000-0000-0000481C0000}"/>
    <cellStyle name="Normal 6 2 2 7" xfId="4409" xr:uid="{00000000-0005-0000-0000-0000491C0000}"/>
    <cellStyle name="Normal 6 2 2 8" xfId="7913" xr:uid="{00000000-0005-0000-0000-00004A1C0000}"/>
    <cellStyle name="Normal 6 2 2 9" xfId="2721" xr:uid="{00000000-0005-0000-0000-00004B1C0000}"/>
    <cellStyle name="Normal 6 2 3" xfId="687" xr:uid="{00000000-0005-0000-0000-00004C1C0000}"/>
    <cellStyle name="Normal 6 2 3 2" xfId="688" xr:uid="{00000000-0005-0000-0000-00004D1C0000}"/>
    <cellStyle name="Normal 6 2 3 2 2" xfId="4606" xr:uid="{00000000-0005-0000-0000-00004E1C0000}"/>
    <cellStyle name="Normal 6 2 3 2 3" xfId="8003" xr:uid="{00000000-0005-0000-0000-00004F1C0000}"/>
    <cellStyle name="Normal 6 2 3 2 4" xfId="2947" xr:uid="{00000000-0005-0000-0000-0000501C0000}"/>
    <cellStyle name="Normal 6 2 3 3" xfId="3042" xr:uid="{00000000-0005-0000-0000-0000511C0000}"/>
    <cellStyle name="Normal 6 2 3 3 2" xfId="4689" xr:uid="{00000000-0005-0000-0000-0000521C0000}"/>
    <cellStyle name="Normal 6 2 3 3 3" xfId="8098" xr:uid="{00000000-0005-0000-0000-0000531C0000}"/>
    <cellStyle name="Normal 6 2 3 4" xfId="3835" xr:uid="{00000000-0005-0000-0000-0000541C0000}"/>
    <cellStyle name="Normal 6 2 3 4 2" xfId="6216" xr:uid="{00000000-0005-0000-0000-0000551C0000}"/>
    <cellStyle name="Normal 6 2 3 4 3" xfId="8746" xr:uid="{00000000-0005-0000-0000-0000561C0000}"/>
    <cellStyle name="Normal 6 2 3 5" xfId="2847" xr:uid="{00000000-0005-0000-0000-0000571C0000}"/>
    <cellStyle name="Normal 6 2 3 6" xfId="4410" xr:uid="{00000000-0005-0000-0000-0000581C0000}"/>
    <cellStyle name="Normal 6 2 3 7" xfId="7914" xr:uid="{00000000-0005-0000-0000-0000591C0000}"/>
    <cellStyle name="Normal 6 2 3 8" xfId="2722" xr:uid="{00000000-0005-0000-0000-00005A1C0000}"/>
    <cellStyle name="Normal 6 2 4" xfId="689" xr:uid="{00000000-0005-0000-0000-00005B1C0000}"/>
    <cellStyle name="Normal 6 2 4 2" xfId="5047" xr:uid="{00000000-0005-0000-0000-00005C1C0000}"/>
    <cellStyle name="Normal 6 2 4 3" xfId="8422" xr:uid="{00000000-0005-0000-0000-00005D1C0000}"/>
    <cellStyle name="Normal 6 2 4 4" xfId="3409" xr:uid="{00000000-0005-0000-0000-00005E1C0000}"/>
    <cellStyle name="Normal 6 2 5" xfId="690" xr:uid="{00000000-0005-0000-0000-00005F1C0000}"/>
    <cellStyle name="Normal 6 2 5 2" xfId="4408" xr:uid="{00000000-0005-0000-0000-0000601C0000}"/>
    <cellStyle name="Normal 6 2 6" xfId="6393" xr:uid="{00000000-0005-0000-0000-0000611C0000}"/>
    <cellStyle name="Normal 6 2 7" xfId="1123" xr:uid="{00000000-0005-0000-0000-0000621C0000}"/>
    <cellStyle name="Normal 6 3" xfId="691" xr:uid="{00000000-0005-0000-0000-0000631C0000}"/>
    <cellStyle name="Normal 6 3 2" xfId="692" xr:uid="{00000000-0005-0000-0000-0000641C0000}"/>
    <cellStyle name="Normal 6 3 3" xfId="6394" xr:uid="{00000000-0005-0000-0000-0000651C0000}"/>
    <cellStyle name="Normal 6 3 4" xfId="1124" xr:uid="{00000000-0005-0000-0000-0000661C0000}"/>
    <cellStyle name="Normal 6 4" xfId="693" xr:uid="{00000000-0005-0000-0000-0000671C0000}"/>
    <cellStyle name="Normal 6 4 2" xfId="694" xr:uid="{00000000-0005-0000-0000-0000681C0000}"/>
    <cellStyle name="Normal 6 4 2 2" xfId="2723" xr:uid="{00000000-0005-0000-0000-0000691C0000}"/>
    <cellStyle name="Normal 6 4 3" xfId="6411" xr:uid="{00000000-0005-0000-0000-00006A1C0000}"/>
    <cellStyle name="Normal 6 4 4" xfId="1156" xr:uid="{00000000-0005-0000-0000-00006B1C0000}"/>
    <cellStyle name="Normal 6 5" xfId="695" xr:uid="{00000000-0005-0000-0000-00006C1C0000}"/>
    <cellStyle name="Normal 6 5 2" xfId="2724" xr:uid="{00000000-0005-0000-0000-00006D1C0000}"/>
    <cellStyle name="Normal 6 5 3" xfId="4411" xr:uid="{00000000-0005-0000-0000-00006E1C0000}"/>
    <cellStyle name="Normal 6 5 4" xfId="7518" xr:uid="{00000000-0005-0000-0000-00006F1C0000}"/>
    <cellStyle name="Normal 6 5 5" xfId="2285" xr:uid="{00000000-0005-0000-0000-0000701C0000}"/>
    <cellStyle name="Normal 6 6" xfId="696" xr:uid="{00000000-0005-0000-0000-0000711C0000}"/>
    <cellStyle name="Normal 6 6 2" xfId="5046" xr:uid="{00000000-0005-0000-0000-0000721C0000}"/>
    <cellStyle name="Normal 6 6 3" xfId="8421" xr:uid="{00000000-0005-0000-0000-0000731C0000}"/>
    <cellStyle name="Normal 6 6 4" xfId="3408"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0" xr:uid="{00000000-0005-0000-0000-0000781C0000}"/>
    <cellStyle name="Normal 60" xfId="700" xr:uid="{00000000-0005-0000-0000-0000791C0000}"/>
    <cellStyle name="Normal 60 2" xfId="2496" xr:uid="{00000000-0005-0000-0000-00007A1C0000}"/>
    <cellStyle name="Normal 60 2 2" xfId="4412" xr:uid="{00000000-0005-0000-0000-00007B1C0000}"/>
    <cellStyle name="Normal 60 2 3" xfId="7722" xr:uid="{00000000-0005-0000-0000-00007C1C0000}"/>
    <cellStyle name="Normal 60 3" xfId="8881" xr:uid="{00000000-0005-0000-0000-00007D1C0000}"/>
    <cellStyle name="Normal 61" xfId="701" xr:uid="{00000000-0005-0000-0000-00007E1C0000}"/>
    <cellStyle name="Normal 61 2" xfId="4413" xr:uid="{00000000-0005-0000-0000-00007F1C0000}"/>
    <cellStyle name="Normal 61 3" xfId="7723" xr:uid="{00000000-0005-0000-0000-0000801C0000}"/>
    <cellStyle name="Normal 61 4" xfId="2497" xr:uid="{00000000-0005-0000-0000-0000811C0000}"/>
    <cellStyle name="Normal 62" xfId="702" xr:uid="{00000000-0005-0000-0000-0000821C0000}"/>
    <cellStyle name="Normal 62 2" xfId="8882" xr:uid="{00000000-0005-0000-0000-0000831C0000}"/>
    <cellStyle name="Normal 63" xfId="703" xr:uid="{00000000-0005-0000-0000-0000841C0000}"/>
    <cellStyle name="Normal 63 2" xfId="4414" xr:uid="{00000000-0005-0000-0000-0000851C0000}"/>
    <cellStyle name="Normal 63 3" xfId="7724" xr:uid="{00000000-0005-0000-0000-0000861C0000}"/>
    <cellStyle name="Normal 63 4" xfId="2498" xr:uid="{00000000-0005-0000-0000-0000871C0000}"/>
    <cellStyle name="Normal 64" xfId="704" xr:uid="{00000000-0005-0000-0000-0000881C0000}"/>
    <cellStyle name="Normal 64 2" xfId="8883" xr:uid="{00000000-0005-0000-0000-0000891C0000}"/>
    <cellStyle name="Normal 65" xfId="705" xr:uid="{00000000-0005-0000-0000-00008A1C0000}"/>
    <cellStyle name="Normal 65 2" xfId="8884" xr:uid="{00000000-0005-0000-0000-00008B1C0000}"/>
    <cellStyle name="Normal 66" xfId="706" xr:uid="{00000000-0005-0000-0000-00008C1C0000}"/>
    <cellStyle name="Normal 66 2" xfId="8885" xr:uid="{00000000-0005-0000-0000-00008D1C0000}"/>
    <cellStyle name="Normal 67" xfId="707" xr:uid="{00000000-0005-0000-0000-00008E1C0000}"/>
    <cellStyle name="Normal 67 2" xfId="708" xr:uid="{00000000-0005-0000-0000-00008F1C0000}"/>
    <cellStyle name="Normal 68" xfId="8965" xr:uid="{00000000-0005-0000-0000-0000901C0000}"/>
    <cellStyle name="Normal 68 2" xfId="8966" xr:uid="{00000000-0005-0000-0000-0000911C0000}"/>
    <cellStyle name="Normal 69" xfId="8967" xr:uid="{00000000-0005-0000-0000-0000921C0000}"/>
    <cellStyle name="Normal 69 2" xfId="709" xr:uid="{00000000-0005-0000-0000-0000931C0000}"/>
    <cellStyle name="Normal 69 2 2" xfId="8968" xr:uid="{00000000-0005-0000-0000-0000941C0000}"/>
    <cellStyle name="Normal 7" xfId="710" xr:uid="{00000000-0005-0000-0000-0000951C0000}"/>
    <cellStyle name="Normal 7 10" xfId="1167" xr:uid="{00000000-0005-0000-0000-0000961C0000}"/>
    <cellStyle name="Normal 7 11" xfId="2499" xr:uid="{00000000-0005-0000-0000-0000971C0000}"/>
    <cellStyle name="Normal 7 12" xfId="2674" xr:uid="{00000000-0005-0000-0000-0000981C0000}"/>
    <cellStyle name="Normal 7 13" xfId="3878" xr:uid="{00000000-0005-0000-0000-0000991C0000}"/>
    <cellStyle name="Normal 7 14" xfId="6395" xr:uid="{00000000-0005-0000-0000-00009A1C0000}"/>
    <cellStyle name="Normal 7 15" xfId="1125" xr:uid="{00000000-0005-0000-0000-00009B1C0000}"/>
    <cellStyle name="Normal 7 2" xfId="711" xr:uid="{00000000-0005-0000-0000-00009C1C0000}"/>
    <cellStyle name="Normal 7 2 10" xfId="6396" xr:uid="{00000000-0005-0000-0000-00009D1C0000}"/>
    <cellStyle name="Normal 7 2 11" xfId="1126" xr:uid="{00000000-0005-0000-0000-00009E1C0000}"/>
    <cellStyle name="Normal 7 2 2" xfId="712" xr:uid="{00000000-0005-0000-0000-00009F1C0000}"/>
    <cellStyle name="Normal 7 2 2 2" xfId="713" xr:uid="{00000000-0005-0000-0000-0000A01C0000}"/>
    <cellStyle name="Normal 7 2 2 2 2" xfId="2945" xr:uid="{00000000-0005-0000-0000-0000A11C0000}"/>
    <cellStyle name="Normal 7 2 2 2 2 2" xfId="3838" xr:uid="{00000000-0005-0000-0000-0000A21C0000}"/>
    <cellStyle name="Normal 7 2 2 2 2 2 2" xfId="6219" xr:uid="{00000000-0005-0000-0000-0000A31C0000}"/>
    <cellStyle name="Normal 7 2 2 2 2 2 3" xfId="8749" xr:uid="{00000000-0005-0000-0000-0000A41C0000}"/>
    <cellStyle name="Normal 7 2 2 2 2 3" xfId="4603" xr:uid="{00000000-0005-0000-0000-0000A51C0000}"/>
    <cellStyle name="Normal 7 2 2 2 2 4" xfId="8001" xr:uid="{00000000-0005-0000-0000-0000A61C0000}"/>
    <cellStyle name="Normal 7 2 2 2 3" xfId="3040" xr:uid="{00000000-0005-0000-0000-0000A71C0000}"/>
    <cellStyle name="Normal 7 2 2 2 3 2" xfId="4686" xr:uid="{00000000-0005-0000-0000-0000A81C0000}"/>
    <cellStyle name="Normal 7 2 2 2 3 2 5 2 4 2 2 2 2 2 10" xfId="9846" xr:uid="{916D3936-82FD-40B7-B563-F28B958E10A9}"/>
    <cellStyle name="Normal 7 2 2 2 3 2 5 2 4 3 5 4 2" xfId="714" xr:uid="{00000000-0005-0000-0000-0000A91C0000}"/>
    <cellStyle name="Normal 7 2 2 2 3 3" xfId="8096" xr:uid="{00000000-0005-0000-0000-0000AA1C0000}"/>
    <cellStyle name="Normal 7 2 2 2 4" xfId="3685" xr:uid="{00000000-0005-0000-0000-0000AB1C0000}"/>
    <cellStyle name="Normal 7 2 2 2 4 2" xfId="5573" xr:uid="{00000000-0005-0000-0000-0000AC1C0000}"/>
    <cellStyle name="Normal 7 2 2 2 4 3" xfId="8613" xr:uid="{00000000-0005-0000-0000-0000AD1C0000}"/>
    <cellStyle name="Normal 7 2 2 2 5" xfId="2844" xr:uid="{00000000-0005-0000-0000-0000AE1C0000}"/>
    <cellStyle name="Normal 7 2 2 2 6" xfId="4417" xr:uid="{00000000-0005-0000-0000-0000AF1C0000}"/>
    <cellStyle name="Normal 7 2 2 2 7" xfId="6798" xr:uid="{00000000-0005-0000-0000-0000B01C0000}"/>
    <cellStyle name="Normal 7 2 2 2 8" xfId="1546" xr:uid="{00000000-0005-0000-0000-0000B11C0000}"/>
    <cellStyle name="Normal 7 2 2 3" xfId="1751" xr:uid="{00000000-0005-0000-0000-0000B21C0000}"/>
    <cellStyle name="Normal 7 2 2 3 2" xfId="5773" xr:uid="{00000000-0005-0000-0000-0000B31C0000}"/>
    <cellStyle name="Normal 7 2 2 3 2 5 2 3 2 2 2 2 2 10" xfId="9845" xr:uid="{173B9F1A-DC74-4049-881E-963C1996DF6F}"/>
    <cellStyle name="Normal 7 2 2 3 2 6 3 2 3 2 2 10" xfId="9844" xr:uid="{54E5FD7F-D5C0-4AEB-9F4F-9120C064060F}"/>
    <cellStyle name="Normal 7 2 2 3 2 8 2 4 2" xfId="715" xr:uid="{00000000-0005-0000-0000-0000B41C0000}"/>
    <cellStyle name="Normal 7 2 2 3 3" xfId="6998" xr:uid="{00000000-0005-0000-0000-0000B51C0000}"/>
    <cellStyle name="Normal 7 2 2 4" xfId="1965" xr:uid="{00000000-0005-0000-0000-0000B61C0000}"/>
    <cellStyle name="Normal 7 2 2 4 2" xfId="5985" xr:uid="{00000000-0005-0000-0000-0000B71C0000}"/>
    <cellStyle name="Normal 7 2 2 4 3" xfId="7212" xr:uid="{00000000-0005-0000-0000-0000B81C0000}"/>
    <cellStyle name="Normal 7 2 2 5" xfId="2725" xr:uid="{00000000-0005-0000-0000-0000B91C0000}"/>
    <cellStyle name="Normal 7 2 2 5 2" xfId="3639" xr:uid="{00000000-0005-0000-0000-0000BA1C0000}"/>
    <cellStyle name="Normal 7 2 2 5 3" xfId="5311" xr:uid="{00000000-0005-0000-0000-0000BB1C0000}"/>
    <cellStyle name="Normal 7 2 2 5 4" xfId="7915" xr:uid="{00000000-0005-0000-0000-0000BC1C0000}"/>
    <cellStyle name="Normal 7 2 2 6" xfId="4416" xr:uid="{00000000-0005-0000-0000-0000BD1C0000}"/>
    <cellStyle name="Normal 7 2 2 7" xfId="6526" xr:uid="{00000000-0005-0000-0000-0000BE1C0000}"/>
    <cellStyle name="Normal 7 2 2 8" xfId="1274" xr:uid="{00000000-0005-0000-0000-0000BF1C0000}"/>
    <cellStyle name="Normal 7 2 3" xfId="1321" xr:uid="{00000000-0005-0000-0000-0000C01C0000}"/>
    <cellStyle name="Normal 7 2 3 2" xfId="1589" xr:uid="{00000000-0005-0000-0000-0000C11C0000}"/>
    <cellStyle name="Normal 7 2 3 2 2" xfId="3690" xr:uid="{00000000-0005-0000-0000-0000C21C0000}"/>
    <cellStyle name="Normal 7 2 3 2 2 2" xfId="5615" xr:uid="{00000000-0005-0000-0000-0000C31C0000}"/>
    <cellStyle name="Normal 7 2 3 2 2 3" xfId="8616" xr:uid="{00000000-0005-0000-0000-0000C41C0000}"/>
    <cellStyle name="Normal 7 2 3 2 3" xfId="4604" xr:uid="{00000000-0005-0000-0000-0000C51C0000}"/>
    <cellStyle name="Normal 7 2 3 2 4" xfId="6840" xr:uid="{00000000-0005-0000-0000-0000C61C0000}"/>
    <cellStyle name="Normal 7 2 3 3" xfId="1793" xr:uid="{00000000-0005-0000-0000-0000C71C0000}"/>
    <cellStyle name="Normal 7 2 3 3 2" xfId="3703" xr:uid="{00000000-0005-0000-0000-0000C81C0000}"/>
    <cellStyle name="Normal 7 2 3 3 2 2" xfId="5814" xr:uid="{00000000-0005-0000-0000-0000C91C0000}"/>
    <cellStyle name="Normal 7 2 3 3 2 3" xfId="8622" xr:uid="{00000000-0005-0000-0000-0000CA1C0000}"/>
    <cellStyle name="Normal 7 2 3 3 3" xfId="4687" xr:uid="{00000000-0005-0000-0000-0000CB1C0000}"/>
    <cellStyle name="Normal 7 2 3 3 4" xfId="7040" xr:uid="{00000000-0005-0000-0000-0000CC1C0000}"/>
    <cellStyle name="Normal 7 2 3 4" xfId="1964" xr:uid="{00000000-0005-0000-0000-0000CD1C0000}"/>
    <cellStyle name="Normal 7 2 3 4 2" xfId="5984" xr:uid="{00000000-0005-0000-0000-0000CE1C0000}"/>
    <cellStyle name="Normal 7 2 3 4 3" xfId="7211" xr:uid="{00000000-0005-0000-0000-0000CF1C0000}"/>
    <cellStyle name="Normal 7 2 3 5" xfId="3662" xr:uid="{00000000-0005-0000-0000-0000D01C0000}"/>
    <cellStyle name="Normal 7 2 3 5 2" xfId="5357" xr:uid="{00000000-0005-0000-0000-0000D11C0000}"/>
    <cellStyle name="Normal 7 2 3 5 3" xfId="8605" xr:uid="{00000000-0005-0000-0000-0000D21C0000}"/>
    <cellStyle name="Normal 7 2 3 6" xfId="2845" xr:uid="{00000000-0005-0000-0000-0000D31C0000}"/>
    <cellStyle name="Normal 7 2 3 7" xfId="4418" xr:uid="{00000000-0005-0000-0000-0000D41C0000}"/>
    <cellStyle name="Normal 7 2 3 8" xfId="6573" xr:uid="{00000000-0005-0000-0000-0000D51C0000}"/>
    <cellStyle name="Normal 7 2 4" xfId="716" xr:uid="{00000000-0005-0000-0000-0000D61C0000}"/>
    <cellStyle name="Normal 7 2 4 2" xfId="5501" xr:uid="{00000000-0005-0000-0000-0000D71C0000}"/>
    <cellStyle name="Normal 7 2 4 3" xfId="6725" xr:uid="{00000000-0005-0000-0000-0000D81C0000}"/>
    <cellStyle name="Normal 7 2 4 4" xfId="1473" xr:uid="{00000000-0005-0000-0000-0000D91C0000}"/>
    <cellStyle name="Normal 7 2 5" xfId="1680" xr:uid="{00000000-0005-0000-0000-0000DA1C0000}"/>
    <cellStyle name="Normal 7 2 5 2" xfId="5702" xr:uid="{00000000-0005-0000-0000-0000DB1C0000}"/>
    <cellStyle name="Normal 7 2 5 3" xfId="6927" xr:uid="{00000000-0005-0000-0000-0000DC1C0000}"/>
    <cellStyle name="Normal 7 2 6" xfId="1764" xr:uid="{00000000-0005-0000-0000-0000DD1C0000}"/>
    <cellStyle name="Normal 7 2 6 2" xfId="5786" xr:uid="{00000000-0005-0000-0000-0000DE1C0000}"/>
    <cellStyle name="Normal 7 2 6 3" xfId="7011" xr:uid="{00000000-0005-0000-0000-0000DF1C0000}"/>
    <cellStyle name="Normal 7 2 7" xfId="1203" xr:uid="{00000000-0005-0000-0000-0000E01C0000}"/>
    <cellStyle name="Normal 7 2 7 2" xfId="5244" xr:uid="{00000000-0005-0000-0000-0000E11C0000}"/>
    <cellStyle name="Normal 7 2 7 3" xfId="6455" xr:uid="{00000000-0005-0000-0000-0000E21C0000}"/>
    <cellStyle name="Normal 7 2 8" xfId="2500" xr:uid="{00000000-0005-0000-0000-0000E31C0000}"/>
    <cellStyle name="Normal 7 2 8 2" xfId="3411" xr:uid="{00000000-0005-0000-0000-0000E41C0000}"/>
    <cellStyle name="Normal 7 2 8 3" xfId="5048" xr:uid="{00000000-0005-0000-0000-0000E51C0000}"/>
    <cellStyle name="Normal 7 2 8 4" xfId="7725" xr:uid="{00000000-0005-0000-0000-0000E61C0000}"/>
    <cellStyle name="Normal 7 2 9" xfId="4415" xr:uid="{00000000-0005-0000-0000-0000E71C0000}"/>
    <cellStyle name="Normal 7 3" xfId="717" xr:uid="{00000000-0005-0000-0000-0000E81C0000}"/>
    <cellStyle name="Normal 7 3 2" xfId="718" xr:uid="{00000000-0005-0000-0000-0000E91C0000}"/>
    <cellStyle name="Normal 7 3 2 2" xfId="2726" xr:uid="{00000000-0005-0000-0000-0000EA1C0000}"/>
    <cellStyle name="Normal 7 3 2 2 2" xfId="3683" xr:uid="{00000000-0005-0000-0000-0000EB1C0000}"/>
    <cellStyle name="Normal 7 3 2 2 3" xfId="5550" xr:uid="{00000000-0005-0000-0000-0000EC1C0000}"/>
    <cellStyle name="Normal 7 3 2 2 4" xfId="7916" xr:uid="{00000000-0005-0000-0000-0000ED1C0000}"/>
    <cellStyle name="Normal 7 3 2 3" xfId="4420" xr:uid="{00000000-0005-0000-0000-0000EE1C0000}"/>
    <cellStyle name="Normal 7 3 2 4" xfId="6775" xr:uid="{00000000-0005-0000-0000-0000EF1C0000}"/>
    <cellStyle name="Normal 7 3 2 5" xfId="1523" xr:uid="{00000000-0005-0000-0000-0000F01C0000}"/>
    <cellStyle name="Normal 7 3 3" xfId="1728" xr:uid="{00000000-0005-0000-0000-0000F11C0000}"/>
    <cellStyle name="Normal 7 3 3 2" xfId="2944" xr:uid="{00000000-0005-0000-0000-0000F21C0000}"/>
    <cellStyle name="Normal 7 3 3 2 2" xfId="3845" xr:uid="{00000000-0005-0000-0000-0000F31C0000}"/>
    <cellStyle name="Normal 7 3 3 2 2 2" xfId="6223" xr:uid="{00000000-0005-0000-0000-0000F41C0000}"/>
    <cellStyle name="Normal 7 3 3 2 2 3" xfId="8756" xr:uid="{00000000-0005-0000-0000-0000F51C0000}"/>
    <cellStyle name="Normal 7 3 3 2 3" xfId="4602" xr:uid="{00000000-0005-0000-0000-0000F61C0000}"/>
    <cellStyle name="Normal 7 3 3 2 4" xfId="8000" xr:uid="{00000000-0005-0000-0000-0000F71C0000}"/>
    <cellStyle name="Normal 7 3 3 3" xfId="3039" xr:uid="{00000000-0005-0000-0000-0000F81C0000}"/>
    <cellStyle name="Normal 7 3 3 3 2" xfId="4685" xr:uid="{00000000-0005-0000-0000-0000F91C0000}"/>
    <cellStyle name="Normal 7 3 3 3 3" xfId="8095" xr:uid="{00000000-0005-0000-0000-0000FA1C0000}"/>
    <cellStyle name="Normal 7 3 3 4" xfId="3698" xr:uid="{00000000-0005-0000-0000-0000FB1C0000}"/>
    <cellStyle name="Normal 7 3 3 4 2" xfId="5750" xr:uid="{00000000-0005-0000-0000-0000FC1C0000}"/>
    <cellStyle name="Normal 7 3 3 4 3" xfId="8618" xr:uid="{00000000-0005-0000-0000-0000FD1C0000}"/>
    <cellStyle name="Normal 7 3 3 5" xfId="2843" xr:uid="{00000000-0005-0000-0000-0000FE1C0000}"/>
    <cellStyle name="Normal 7 3 3 6" xfId="4421" xr:uid="{00000000-0005-0000-0000-0000FF1C0000}"/>
    <cellStyle name="Normal 7 3 3 7" xfId="6975" xr:uid="{00000000-0005-0000-0000-0000001D0000}"/>
    <cellStyle name="Normal 7 3 4" xfId="1627" xr:uid="{00000000-0005-0000-0000-0000011D0000}"/>
    <cellStyle name="Normal 7 3 4 2" xfId="5653" xr:uid="{00000000-0005-0000-0000-0000021D0000}"/>
    <cellStyle name="Normal 7 3 4 3" xfId="6878" xr:uid="{00000000-0005-0000-0000-0000031D0000}"/>
    <cellStyle name="Normal 7 3 5" xfId="1253" xr:uid="{00000000-0005-0000-0000-0000041D0000}"/>
    <cellStyle name="Normal 7 3 5 2" xfId="5289" xr:uid="{00000000-0005-0000-0000-0000051D0000}"/>
    <cellStyle name="Normal 7 3 5 3" xfId="6505" xr:uid="{00000000-0005-0000-0000-0000061D0000}"/>
    <cellStyle name="Normal 7 3 6" xfId="2501" xr:uid="{00000000-0005-0000-0000-0000071D0000}"/>
    <cellStyle name="Normal 7 3 7" xfId="4419" xr:uid="{00000000-0005-0000-0000-0000081D0000}"/>
    <cellStyle name="Normal 7 3 8" xfId="6397" xr:uid="{00000000-0005-0000-0000-0000091D0000}"/>
    <cellStyle name="Normal 7 3 9" xfId="1127" xr:uid="{00000000-0005-0000-0000-00000A1D0000}"/>
    <cellStyle name="Normal 7 4" xfId="719" xr:uid="{00000000-0005-0000-0000-00000B1D0000}"/>
    <cellStyle name="Normal 7 4 2" xfId="1568" xr:uid="{00000000-0005-0000-0000-00000C1D0000}"/>
    <cellStyle name="Normal 7 4 2 2" xfId="2727" xr:uid="{00000000-0005-0000-0000-00000D1D0000}"/>
    <cellStyle name="Normal 7 4 2 2 2" xfId="3688" xr:uid="{00000000-0005-0000-0000-00000E1D0000}"/>
    <cellStyle name="Normal 7 4 2 2 3" xfId="5594" xr:uid="{00000000-0005-0000-0000-00000F1D0000}"/>
    <cellStyle name="Normal 7 4 2 2 4" xfId="7917" xr:uid="{00000000-0005-0000-0000-0000101D0000}"/>
    <cellStyle name="Normal 7 4 2 3" xfId="4423" xr:uid="{00000000-0005-0000-0000-0000111D0000}"/>
    <cellStyle name="Normal 7 4 2 4" xfId="6819" xr:uid="{00000000-0005-0000-0000-0000121D0000}"/>
    <cellStyle name="Normal 7 4 3" xfId="1772" xr:uid="{00000000-0005-0000-0000-0000131D0000}"/>
    <cellStyle name="Normal 7 4 3 2" xfId="5793" xr:uid="{00000000-0005-0000-0000-0000141D0000}"/>
    <cellStyle name="Normal 7 4 3 3" xfId="7019" xr:uid="{00000000-0005-0000-0000-0000151D0000}"/>
    <cellStyle name="Normal 7 4 4" xfId="2008" xr:uid="{00000000-0005-0000-0000-0000161D0000}"/>
    <cellStyle name="Normal 7 4 4 2" xfId="6027" xr:uid="{00000000-0005-0000-0000-0000171D0000}"/>
    <cellStyle name="Normal 7 4 4 3" xfId="7255" xr:uid="{00000000-0005-0000-0000-0000181D0000}"/>
    <cellStyle name="Normal 7 4 5" xfId="2502" xr:uid="{00000000-0005-0000-0000-0000191D0000}"/>
    <cellStyle name="Normal 7 4 5 2" xfId="3657" xr:uid="{00000000-0005-0000-0000-00001A1D0000}"/>
    <cellStyle name="Normal 7 4 5 3" xfId="5335" xr:uid="{00000000-0005-0000-0000-00001B1D0000}"/>
    <cellStyle name="Normal 7 4 5 4" xfId="7726" xr:uid="{00000000-0005-0000-0000-00001C1D0000}"/>
    <cellStyle name="Normal 7 4 6" xfId="4422" xr:uid="{00000000-0005-0000-0000-00001D1D0000}"/>
    <cellStyle name="Normal 7 4 7" xfId="6551" xr:uid="{00000000-0005-0000-0000-00001E1D0000}"/>
    <cellStyle name="Normal 7 4 8" xfId="1299" xr:uid="{00000000-0005-0000-0000-00001F1D0000}"/>
    <cellStyle name="Normal 7 5" xfId="1448" xr:uid="{00000000-0005-0000-0000-0000201D0000}"/>
    <cellStyle name="Normal 7 5 2" xfId="2503" xr:uid="{00000000-0005-0000-0000-0000211D0000}"/>
    <cellStyle name="Normal 7 5 2 2" xfId="3676" xr:uid="{00000000-0005-0000-0000-0000221D0000}"/>
    <cellStyle name="Normal 7 5 2 3" xfId="5476" xr:uid="{00000000-0005-0000-0000-0000231D0000}"/>
    <cellStyle name="Normal 7 5 2 4" xfId="7727" xr:uid="{00000000-0005-0000-0000-0000241D0000}"/>
    <cellStyle name="Normal 7 5 3" xfId="4424" xr:uid="{00000000-0005-0000-0000-0000251D0000}"/>
    <cellStyle name="Normal 7 5 4" xfId="6700" xr:uid="{00000000-0005-0000-0000-0000261D0000}"/>
    <cellStyle name="Normal 7 6" xfId="1512" xr:uid="{00000000-0005-0000-0000-0000271D0000}"/>
    <cellStyle name="Normal 7 6 2" xfId="2728" xr:uid="{00000000-0005-0000-0000-0000281D0000}"/>
    <cellStyle name="Normal 7 6 2 2" xfId="3681" xr:uid="{00000000-0005-0000-0000-0000291D0000}"/>
    <cellStyle name="Normal 7 6 2 3" xfId="5540" xr:uid="{00000000-0005-0000-0000-00002A1D0000}"/>
    <cellStyle name="Normal 7 6 2 4" xfId="7918" xr:uid="{00000000-0005-0000-0000-00002B1D0000}"/>
    <cellStyle name="Normal 7 6 3" xfId="4425" xr:uid="{00000000-0005-0000-0000-00002C1D0000}"/>
    <cellStyle name="Normal 7 6 4" xfId="6764" xr:uid="{00000000-0005-0000-0000-00002D1D0000}"/>
    <cellStyle name="Normal 7 7" xfId="1981" xr:uid="{00000000-0005-0000-0000-00002E1D0000}"/>
    <cellStyle name="Normal 7 7 2" xfId="2923" xr:uid="{00000000-0005-0000-0000-00002F1D0000}"/>
    <cellStyle name="Normal 7 7 2 2" xfId="3851" xr:uid="{00000000-0005-0000-0000-0000301D0000}"/>
    <cellStyle name="Normal 7 7 2 2 2" xfId="6227" xr:uid="{00000000-0005-0000-0000-0000311D0000}"/>
    <cellStyle name="Normal 7 7 2 2 3" xfId="8762" xr:uid="{00000000-0005-0000-0000-0000321D0000}"/>
    <cellStyle name="Normal 7 7 2 3" xfId="4591" xr:uid="{00000000-0005-0000-0000-0000331D0000}"/>
    <cellStyle name="Normal 7 7 2 4" xfId="7980" xr:uid="{00000000-0005-0000-0000-0000341D0000}"/>
    <cellStyle name="Normal 7 7 3" xfId="3016" xr:uid="{00000000-0005-0000-0000-0000351D0000}"/>
    <cellStyle name="Normal 7 7 3 2" xfId="4675" xr:uid="{00000000-0005-0000-0000-0000361D0000}"/>
    <cellStyle name="Normal 7 7 3 3" xfId="8072" xr:uid="{00000000-0005-0000-0000-0000371D0000}"/>
    <cellStyle name="Normal 7 7 4" xfId="3706" xr:uid="{00000000-0005-0000-0000-0000381D0000}"/>
    <cellStyle name="Normal 7 7 4 2" xfId="6000" xr:uid="{00000000-0005-0000-0000-0000391D0000}"/>
    <cellStyle name="Normal 7 7 4 3" xfId="8623" xr:uid="{00000000-0005-0000-0000-00003A1D0000}"/>
    <cellStyle name="Normal 7 7 5" xfId="2816" xr:uid="{00000000-0005-0000-0000-00003B1D0000}"/>
    <cellStyle name="Normal 7 7 6" xfId="4426" xr:uid="{00000000-0005-0000-0000-00003C1D0000}"/>
    <cellStyle name="Normal 7 7 7" xfId="7228" xr:uid="{00000000-0005-0000-0000-00003D1D0000}"/>
    <cellStyle name="Normal 7 8" xfId="1180" xr:uid="{00000000-0005-0000-0000-00003E1D0000}"/>
    <cellStyle name="Normal 7 8 2" xfId="3821" xr:uid="{00000000-0005-0000-0000-00003F1D0000}"/>
    <cellStyle name="Normal 7 8 2 2" xfId="6206" xr:uid="{00000000-0005-0000-0000-0000401D0000}"/>
    <cellStyle name="Normal 7 8 2 3" xfId="8732" xr:uid="{00000000-0005-0000-0000-0000411D0000}"/>
    <cellStyle name="Normal 7 8 3" xfId="3806" xr:uid="{00000000-0005-0000-0000-0000421D0000}"/>
    <cellStyle name="Normal 7 8 3 2" xfId="6195" xr:uid="{00000000-0005-0000-0000-0000431D0000}"/>
    <cellStyle name="Normal 7 8 3 3" xfId="8717" xr:uid="{00000000-0005-0000-0000-0000441D0000}"/>
    <cellStyle name="Normal 7 8 4" xfId="5222" xr:uid="{00000000-0005-0000-0000-0000451D0000}"/>
    <cellStyle name="Normal 7 8 5" xfId="6432" xr:uid="{00000000-0005-0000-0000-0000461D0000}"/>
    <cellStyle name="Normal 7 9" xfId="1171" xr:uid="{00000000-0005-0000-0000-0000471D0000}"/>
    <cellStyle name="Normal 7 9 2" xfId="6163" xr:uid="{00000000-0005-0000-0000-0000481D0000}"/>
    <cellStyle name="Normal 7 9 3" xfId="6424" xr:uid="{00000000-0005-0000-0000-0000491D0000}"/>
    <cellStyle name="Normal 70" xfId="8970" xr:uid="{00000000-0005-0000-0000-00004A1D0000}"/>
    <cellStyle name="Normal 70 2" xfId="8972" xr:uid="{00000000-0005-0000-0000-00004B1D0000}"/>
    <cellStyle name="Normal 71" xfId="8971" xr:uid="{00000000-0005-0000-0000-00004C1D0000}"/>
    <cellStyle name="Normal 71 2" xfId="8974" xr:uid="{00000000-0005-0000-0000-00004D1D0000}"/>
    <cellStyle name="Normal 72" xfId="2504" xr:uid="{00000000-0005-0000-0000-00004E1D0000}"/>
    <cellStyle name="Normal 72 2" xfId="4427" xr:uid="{00000000-0005-0000-0000-00004F1D0000}"/>
    <cellStyle name="Normal 72 3" xfId="7728" xr:uid="{00000000-0005-0000-0000-0000501D0000}"/>
    <cellStyle name="Normal 73" xfId="2505" xr:uid="{00000000-0005-0000-0000-0000511D0000}"/>
    <cellStyle name="Normal 73 2" xfId="4428" xr:uid="{00000000-0005-0000-0000-0000521D0000}"/>
    <cellStyle name="Normal 73 3" xfId="7729" xr:uid="{00000000-0005-0000-0000-0000531D0000}"/>
    <cellStyle name="Normal 74" xfId="2506" xr:uid="{00000000-0005-0000-0000-0000541D0000}"/>
    <cellStyle name="Normal 74 2" xfId="4429" xr:uid="{00000000-0005-0000-0000-0000551D0000}"/>
    <cellStyle name="Normal 74 3" xfId="7730" xr:uid="{00000000-0005-0000-0000-0000561D0000}"/>
    <cellStyle name="Normal 75" xfId="2507" xr:uid="{00000000-0005-0000-0000-0000571D0000}"/>
    <cellStyle name="Normal 75 2" xfId="4430" xr:uid="{00000000-0005-0000-0000-0000581D0000}"/>
    <cellStyle name="Normal 75 3" xfId="7731" xr:uid="{00000000-0005-0000-0000-0000591D0000}"/>
    <cellStyle name="Normal 76" xfId="2508" xr:uid="{00000000-0005-0000-0000-00005A1D0000}"/>
    <cellStyle name="Normal 76 2" xfId="4431" xr:uid="{00000000-0005-0000-0000-00005B1D0000}"/>
    <cellStyle name="Normal 76 3" xfId="7732" xr:uid="{00000000-0005-0000-0000-00005C1D0000}"/>
    <cellStyle name="Normal 77" xfId="8973" xr:uid="{00000000-0005-0000-0000-00005D1D0000}"/>
    <cellStyle name="Normal 77 2" xfId="9129" xr:uid="{00000000-0005-0000-0000-00005E1D0000}"/>
    <cellStyle name="Normal 78" xfId="2509" xr:uid="{00000000-0005-0000-0000-00005F1D0000}"/>
    <cellStyle name="Normal 78 2" xfId="4432" xr:uid="{00000000-0005-0000-0000-0000601D0000}"/>
    <cellStyle name="Normal 78 3" xfId="7733" xr:uid="{00000000-0005-0000-0000-0000611D0000}"/>
    <cellStyle name="Normal 79" xfId="2510" xr:uid="{00000000-0005-0000-0000-0000621D0000}"/>
    <cellStyle name="Normal 79 2" xfId="4433" xr:uid="{00000000-0005-0000-0000-0000631D0000}"/>
    <cellStyle name="Normal 79 3" xfId="7734" xr:uid="{00000000-0005-0000-0000-0000641D0000}"/>
    <cellStyle name="Normal 8" xfId="720" xr:uid="{00000000-0005-0000-0000-0000651D0000}"/>
    <cellStyle name="Normal 8 10" xfId="3879" xr:uid="{00000000-0005-0000-0000-0000661D0000}"/>
    <cellStyle name="Normal 8 11" xfId="6398" xr:uid="{00000000-0005-0000-0000-0000671D0000}"/>
    <cellStyle name="Normal 8 12" xfId="1128" xr:uid="{00000000-0005-0000-0000-0000681D0000}"/>
    <cellStyle name="Normal 8 2" xfId="721" xr:uid="{00000000-0005-0000-0000-0000691D0000}"/>
    <cellStyle name="Normal 8 2 10" xfId="6399" xr:uid="{00000000-0005-0000-0000-00006A1D0000}"/>
    <cellStyle name="Normal 8 2 11" xfId="1129" xr:uid="{00000000-0005-0000-0000-00006B1D0000}"/>
    <cellStyle name="Normal 8 2 2" xfId="722" xr:uid="{00000000-0005-0000-0000-00006C1D0000}"/>
    <cellStyle name="Normal 8 2 2 2" xfId="1547" xr:uid="{00000000-0005-0000-0000-00006D1D0000}"/>
    <cellStyle name="Normal 8 2 2 2 2" xfId="5574" xr:uid="{00000000-0005-0000-0000-00006E1D0000}"/>
    <cellStyle name="Normal 8 2 2 2 3" xfId="6799" xr:uid="{00000000-0005-0000-0000-00006F1D0000}"/>
    <cellStyle name="Normal 8 2 2 3" xfId="1752" xr:uid="{00000000-0005-0000-0000-0000701D0000}"/>
    <cellStyle name="Normal 8 2 2 3 2" xfId="5774" xr:uid="{00000000-0005-0000-0000-0000711D0000}"/>
    <cellStyle name="Normal 8 2 2 3 3" xfId="6999" xr:uid="{00000000-0005-0000-0000-0000721D0000}"/>
    <cellStyle name="Normal 8 2 2 4" xfId="1947" xr:uid="{00000000-0005-0000-0000-0000731D0000}"/>
    <cellStyle name="Normal 8 2 2 4 2" xfId="5967" xr:uid="{00000000-0005-0000-0000-0000741D0000}"/>
    <cellStyle name="Normal 8 2 2 4 3" xfId="7194" xr:uid="{00000000-0005-0000-0000-0000751D0000}"/>
    <cellStyle name="Normal 8 2 2 5" xfId="2729" xr:uid="{00000000-0005-0000-0000-0000761D0000}"/>
    <cellStyle name="Normal 8 2 2 5 2" xfId="3640" xr:uid="{00000000-0005-0000-0000-0000771D0000}"/>
    <cellStyle name="Normal 8 2 2 5 3" xfId="5312" xr:uid="{00000000-0005-0000-0000-0000781D0000}"/>
    <cellStyle name="Normal 8 2 2 5 4" xfId="7919" xr:uid="{00000000-0005-0000-0000-0000791D0000}"/>
    <cellStyle name="Normal 8 2 2 6" xfId="4435" xr:uid="{00000000-0005-0000-0000-00007A1D0000}"/>
    <cellStyle name="Normal 8 2 2 7" xfId="6527" xr:uid="{00000000-0005-0000-0000-00007B1D0000}"/>
    <cellStyle name="Normal 8 2 2 8" xfId="1275" xr:uid="{00000000-0005-0000-0000-00007C1D0000}"/>
    <cellStyle name="Normal 8 2 3" xfId="1322" xr:uid="{00000000-0005-0000-0000-00007D1D0000}"/>
    <cellStyle name="Normal 8 2 3 2" xfId="1590" xr:uid="{00000000-0005-0000-0000-00007E1D0000}"/>
    <cellStyle name="Normal 8 2 3 2 2" xfId="5616" xr:uid="{00000000-0005-0000-0000-00007F1D0000}"/>
    <cellStyle name="Normal 8 2 3 2 3" xfId="6841" xr:uid="{00000000-0005-0000-0000-0000801D0000}"/>
    <cellStyle name="Normal 8 2 3 3" xfId="1794" xr:uid="{00000000-0005-0000-0000-0000811D0000}"/>
    <cellStyle name="Normal 8 2 3 3 2" xfId="5815" xr:uid="{00000000-0005-0000-0000-0000821D0000}"/>
    <cellStyle name="Normal 8 2 3 3 3" xfId="7041" xr:uid="{00000000-0005-0000-0000-0000831D0000}"/>
    <cellStyle name="Normal 8 2 3 4" xfId="1946" xr:uid="{00000000-0005-0000-0000-0000841D0000}"/>
    <cellStyle name="Normal 8 2 3 4 2" xfId="5966" xr:uid="{00000000-0005-0000-0000-0000851D0000}"/>
    <cellStyle name="Normal 8 2 3 4 3" xfId="7193" xr:uid="{00000000-0005-0000-0000-0000861D0000}"/>
    <cellStyle name="Normal 8 2 3 5" xfId="5358" xr:uid="{00000000-0005-0000-0000-0000871D0000}"/>
    <cellStyle name="Normal 8 2 3 6" xfId="6574" xr:uid="{00000000-0005-0000-0000-0000881D0000}"/>
    <cellStyle name="Normal 8 2 4" xfId="1474" xr:uid="{00000000-0005-0000-0000-0000891D0000}"/>
    <cellStyle name="Normal 8 2 4 2" xfId="5502" xr:uid="{00000000-0005-0000-0000-00008A1D0000}"/>
    <cellStyle name="Normal 8 2 4 3" xfId="6726" xr:uid="{00000000-0005-0000-0000-00008B1D0000}"/>
    <cellStyle name="Normal 8 2 5" xfId="1681" xr:uid="{00000000-0005-0000-0000-00008C1D0000}"/>
    <cellStyle name="Normal 8 2 5 2" xfId="5703" xr:uid="{00000000-0005-0000-0000-00008D1D0000}"/>
    <cellStyle name="Normal 8 2 5 3" xfId="6928" xr:uid="{00000000-0005-0000-0000-00008E1D0000}"/>
    <cellStyle name="Normal 8 2 6" xfId="1763" xr:uid="{00000000-0005-0000-0000-00008F1D0000}"/>
    <cellStyle name="Normal 8 2 6 2" xfId="5785" xr:uid="{00000000-0005-0000-0000-0000901D0000}"/>
    <cellStyle name="Normal 8 2 6 3" xfId="7010" xr:uid="{00000000-0005-0000-0000-0000911D0000}"/>
    <cellStyle name="Normal 8 2 7" xfId="1204" xr:uid="{00000000-0005-0000-0000-0000921D0000}"/>
    <cellStyle name="Normal 8 2 7 2" xfId="5245" xr:uid="{00000000-0005-0000-0000-0000931D0000}"/>
    <cellStyle name="Normal 8 2 7 3" xfId="6456" xr:uid="{00000000-0005-0000-0000-0000941D0000}"/>
    <cellStyle name="Normal 8 2 8" xfId="3413" xr:uid="{00000000-0005-0000-0000-0000951D0000}"/>
    <cellStyle name="Normal 8 2 8 2" xfId="5050" xr:uid="{00000000-0005-0000-0000-0000961D0000}"/>
    <cellStyle name="Normal 8 2 8 3" xfId="8424" xr:uid="{00000000-0005-0000-0000-0000971D0000}"/>
    <cellStyle name="Normal 8 2 9" xfId="4434" xr:uid="{00000000-0005-0000-0000-0000981D0000}"/>
    <cellStyle name="Normal 8 3" xfId="723" xr:uid="{00000000-0005-0000-0000-0000991D0000}"/>
    <cellStyle name="Normal 8 3 2" xfId="1524" xr:uid="{00000000-0005-0000-0000-00009A1D0000}"/>
    <cellStyle name="Normal 8 3 2 2" xfId="5551" xr:uid="{00000000-0005-0000-0000-00009B1D0000}"/>
    <cellStyle name="Normal 8 3 2 3" xfId="6776" xr:uid="{00000000-0005-0000-0000-00009C1D0000}"/>
    <cellStyle name="Normal 8 3 3" xfId="1729" xr:uid="{00000000-0005-0000-0000-00009D1D0000}"/>
    <cellStyle name="Normal 8 3 3 2" xfId="5751" xr:uid="{00000000-0005-0000-0000-00009E1D0000}"/>
    <cellStyle name="Normal 8 3 3 3" xfId="6976" xr:uid="{00000000-0005-0000-0000-00009F1D0000}"/>
    <cellStyle name="Normal 8 3 4" xfId="1519" xr:uid="{00000000-0005-0000-0000-0000A01D0000}"/>
    <cellStyle name="Normal 8 3 4 2" xfId="5547" xr:uid="{00000000-0005-0000-0000-0000A11D0000}"/>
    <cellStyle name="Normal 8 3 4 3" xfId="6771" xr:uid="{00000000-0005-0000-0000-0000A21D0000}"/>
    <cellStyle name="Normal 8 3 5" xfId="5290" xr:uid="{00000000-0005-0000-0000-0000A31D0000}"/>
    <cellStyle name="Normal 8 3 6" xfId="6407" xr:uid="{00000000-0005-0000-0000-0000A41D0000}"/>
    <cellStyle name="Normal 8 3 7" xfId="1152" xr:uid="{00000000-0005-0000-0000-0000A51D0000}"/>
    <cellStyle name="Normal 8 4" xfId="724" xr:uid="{00000000-0005-0000-0000-0000A61D0000}"/>
    <cellStyle name="Normal 8 4 2" xfId="1569" xr:uid="{00000000-0005-0000-0000-0000A71D0000}"/>
    <cellStyle name="Normal 8 4 2 2" xfId="5595" xr:uid="{00000000-0005-0000-0000-0000A81D0000}"/>
    <cellStyle name="Normal 8 4 2 3" xfId="6820" xr:uid="{00000000-0005-0000-0000-0000A91D0000}"/>
    <cellStyle name="Normal 8 4 3" xfId="1773" xr:uid="{00000000-0005-0000-0000-0000AA1D0000}"/>
    <cellStyle name="Normal 8 4 3 2" xfId="5794" xr:uid="{00000000-0005-0000-0000-0000AB1D0000}"/>
    <cellStyle name="Normal 8 4 3 3" xfId="7020" xr:uid="{00000000-0005-0000-0000-0000AC1D0000}"/>
    <cellStyle name="Normal 8 4 4" xfId="1997" xr:uid="{00000000-0005-0000-0000-0000AD1D0000}"/>
    <cellStyle name="Normal 8 4 4 2" xfId="6016" xr:uid="{00000000-0005-0000-0000-0000AE1D0000}"/>
    <cellStyle name="Normal 8 4 4 3" xfId="7244" xr:uid="{00000000-0005-0000-0000-0000AF1D0000}"/>
    <cellStyle name="Normal 8 4 5" xfId="5336" xr:uid="{00000000-0005-0000-0000-0000B01D0000}"/>
    <cellStyle name="Normal 8 4 6" xfId="6552" xr:uid="{00000000-0005-0000-0000-0000B11D0000}"/>
    <cellStyle name="Normal 8 4 7" xfId="1300" xr:uid="{00000000-0005-0000-0000-0000B21D0000}"/>
    <cellStyle name="Normal 8 5" xfId="1449" xr:uid="{00000000-0005-0000-0000-0000B31D0000}"/>
    <cellStyle name="Normal 8 5 2" xfId="5477" xr:uid="{00000000-0005-0000-0000-0000B41D0000}"/>
    <cellStyle name="Normal 8 5 3" xfId="6701" xr:uid="{00000000-0005-0000-0000-0000B51D0000}"/>
    <cellStyle name="Normal 8 6" xfId="1468" xr:uid="{00000000-0005-0000-0000-0000B61D0000}"/>
    <cellStyle name="Normal 8 6 2" xfId="5496" xr:uid="{00000000-0005-0000-0000-0000B71D0000}"/>
    <cellStyle name="Normal 8 6 3" xfId="6720" xr:uid="{00000000-0005-0000-0000-0000B81D0000}"/>
    <cellStyle name="Normal 8 7" xfId="1822" xr:uid="{00000000-0005-0000-0000-0000B91D0000}"/>
    <cellStyle name="Normal 8 7 2" xfId="5843" xr:uid="{00000000-0005-0000-0000-0000BA1D0000}"/>
    <cellStyle name="Normal 8 7 3" xfId="7069" xr:uid="{00000000-0005-0000-0000-0000BB1D0000}"/>
    <cellStyle name="Normal 8 8" xfId="2671" xr:uid="{00000000-0005-0000-0000-0000BC1D0000}"/>
    <cellStyle name="Normal 8 8 2" xfId="3610" xr:uid="{00000000-0005-0000-0000-0000BD1D0000}"/>
    <cellStyle name="Normal 8 8 3" xfId="5223" xr:uid="{00000000-0005-0000-0000-0000BE1D0000}"/>
    <cellStyle name="Normal 8 8 4" xfId="7870" xr:uid="{00000000-0005-0000-0000-0000BF1D0000}"/>
    <cellStyle name="Normal 8 9" xfId="3412" xr:uid="{00000000-0005-0000-0000-0000C01D0000}"/>
    <cellStyle name="Normal 8 9 2" xfId="5049" xr:uid="{00000000-0005-0000-0000-0000C11D0000}"/>
    <cellStyle name="Normal 8 9 3" xfId="8423" xr:uid="{00000000-0005-0000-0000-0000C21D0000}"/>
    <cellStyle name="Normal 80" xfId="2511" xr:uid="{00000000-0005-0000-0000-0000C31D0000}"/>
    <cellStyle name="Normal 80 2" xfId="4436" xr:uid="{00000000-0005-0000-0000-0000C41D0000}"/>
    <cellStyle name="Normal 80 3" xfId="7735" xr:uid="{00000000-0005-0000-0000-0000C51D0000}"/>
    <cellStyle name="Normal 81" xfId="2512" xr:uid="{00000000-0005-0000-0000-0000C61D0000}"/>
    <cellStyle name="Normal 81 2" xfId="4437" xr:uid="{00000000-0005-0000-0000-0000C71D0000}"/>
    <cellStyle name="Normal 81 3" xfId="7736" xr:uid="{00000000-0005-0000-0000-0000C81D0000}"/>
    <cellStyle name="Normal 82" xfId="2513" xr:uid="{00000000-0005-0000-0000-0000C91D0000}"/>
    <cellStyle name="Normal 82 2" xfId="4438" xr:uid="{00000000-0005-0000-0000-0000CA1D0000}"/>
    <cellStyle name="Normal 82 3" xfId="7737" xr:uid="{00000000-0005-0000-0000-0000CB1D0000}"/>
    <cellStyle name="Normal 83" xfId="2514" xr:uid="{00000000-0005-0000-0000-0000CC1D0000}"/>
    <cellStyle name="Normal 83 2" xfId="4439" xr:uid="{00000000-0005-0000-0000-0000CD1D0000}"/>
    <cellStyle name="Normal 83 3" xfId="7738" xr:uid="{00000000-0005-0000-0000-0000CE1D0000}"/>
    <cellStyle name="Normal 84" xfId="2515" xr:uid="{00000000-0005-0000-0000-0000CF1D0000}"/>
    <cellStyle name="Normal 84 2" xfId="4440" xr:uid="{00000000-0005-0000-0000-0000D01D0000}"/>
    <cellStyle name="Normal 84 3" xfId="7739" xr:uid="{00000000-0005-0000-0000-0000D11D0000}"/>
    <cellStyle name="Normal 85" xfId="2516" xr:uid="{00000000-0005-0000-0000-0000D21D0000}"/>
    <cellStyle name="Normal 85 2" xfId="4441" xr:uid="{00000000-0005-0000-0000-0000D31D0000}"/>
    <cellStyle name="Normal 85 3" xfId="7740" xr:uid="{00000000-0005-0000-0000-0000D41D0000}"/>
    <cellStyle name="Normal 86" xfId="2517" xr:uid="{00000000-0005-0000-0000-0000D51D0000}"/>
    <cellStyle name="Normal 86 2" xfId="4442" xr:uid="{00000000-0005-0000-0000-0000D61D0000}"/>
    <cellStyle name="Normal 86 3" xfId="7741" xr:uid="{00000000-0005-0000-0000-0000D71D0000}"/>
    <cellStyle name="Normal 87" xfId="2518" xr:uid="{00000000-0005-0000-0000-0000D81D0000}"/>
    <cellStyle name="Normal 87 2" xfId="4443" xr:uid="{00000000-0005-0000-0000-0000D91D0000}"/>
    <cellStyle name="Normal 87 3" xfId="7742" xr:uid="{00000000-0005-0000-0000-0000DA1D0000}"/>
    <cellStyle name="Normal 88" xfId="2519" xr:uid="{00000000-0005-0000-0000-0000DB1D0000}"/>
    <cellStyle name="Normal 88 2" xfId="4444" xr:uid="{00000000-0005-0000-0000-0000DC1D0000}"/>
    <cellStyle name="Normal 88 3" xfId="7743" xr:uid="{00000000-0005-0000-0000-0000DD1D0000}"/>
    <cellStyle name="Normal 89" xfId="2520" xr:uid="{00000000-0005-0000-0000-0000DE1D0000}"/>
    <cellStyle name="Normal 89 2" xfId="4445" xr:uid="{00000000-0005-0000-0000-0000DF1D0000}"/>
    <cellStyle name="Normal 89 3" xfId="7744" xr:uid="{00000000-0005-0000-0000-0000E01D0000}"/>
    <cellStyle name="Normal 9" xfId="725" xr:uid="{00000000-0005-0000-0000-0000E11D0000}"/>
    <cellStyle name="Normal 9 10" xfId="6400" xr:uid="{00000000-0005-0000-0000-0000E21D0000}"/>
    <cellStyle name="Normal 9 11" xfId="1130" xr:uid="{00000000-0005-0000-0000-0000E31D0000}"/>
    <cellStyle name="Normal 9 2" xfId="726" xr:uid="{00000000-0005-0000-0000-0000E41D0000}"/>
    <cellStyle name="Normal 9 2 10" xfId="1131" xr:uid="{00000000-0005-0000-0000-0000E51D0000}"/>
    <cellStyle name="Normal 9 2 2" xfId="1276" xr:uid="{00000000-0005-0000-0000-0000E61D0000}"/>
    <cellStyle name="Normal 9 2 2 2" xfId="1548" xr:uid="{00000000-0005-0000-0000-0000E71D0000}"/>
    <cellStyle name="Normal 9 2 2 2 2" xfId="5575" xr:uid="{00000000-0005-0000-0000-0000E81D0000}"/>
    <cellStyle name="Normal 9 2 2 2 3" xfId="6800" xr:uid="{00000000-0005-0000-0000-0000E91D0000}"/>
    <cellStyle name="Normal 9 2 2 3" xfId="1753" xr:uid="{00000000-0005-0000-0000-0000EA1D0000}"/>
    <cellStyle name="Normal 9 2 2 3 2" xfId="5775" xr:uid="{00000000-0005-0000-0000-0000EB1D0000}"/>
    <cellStyle name="Normal 9 2 2 3 3" xfId="7000" xr:uid="{00000000-0005-0000-0000-0000EC1D0000}"/>
    <cellStyle name="Normal 9 2 2 4" xfId="2012" xr:uid="{00000000-0005-0000-0000-0000ED1D0000}"/>
    <cellStyle name="Normal 9 2 2 4 2" xfId="6031" xr:uid="{00000000-0005-0000-0000-0000EE1D0000}"/>
    <cellStyle name="Normal 9 2 2 4 3" xfId="7259" xr:uid="{00000000-0005-0000-0000-0000EF1D0000}"/>
    <cellStyle name="Normal 9 2 2 5" xfId="2730" xr:uid="{00000000-0005-0000-0000-0000F01D0000}"/>
    <cellStyle name="Normal 9 2 2 5 2" xfId="3641" xr:uid="{00000000-0005-0000-0000-0000F11D0000}"/>
    <cellStyle name="Normal 9 2 2 5 3" xfId="5313" xr:uid="{00000000-0005-0000-0000-0000F21D0000}"/>
    <cellStyle name="Normal 9 2 2 5 4" xfId="7920" xr:uid="{00000000-0005-0000-0000-0000F31D0000}"/>
    <cellStyle name="Normal 9 2 2 6" xfId="4447" xr:uid="{00000000-0005-0000-0000-0000F41D0000}"/>
    <cellStyle name="Normal 9 2 2 7" xfId="6528" xr:uid="{00000000-0005-0000-0000-0000F51D0000}"/>
    <cellStyle name="Normal 9 2 3" xfId="1323" xr:uid="{00000000-0005-0000-0000-0000F61D0000}"/>
    <cellStyle name="Normal 9 2 3 2" xfId="1591" xr:uid="{00000000-0005-0000-0000-0000F71D0000}"/>
    <cellStyle name="Normal 9 2 3 2 2" xfId="5617" xr:uid="{00000000-0005-0000-0000-0000F81D0000}"/>
    <cellStyle name="Normal 9 2 3 2 3" xfId="6842" xr:uid="{00000000-0005-0000-0000-0000F91D0000}"/>
    <cellStyle name="Normal 9 2 3 3" xfId="1795" xr:uid="{00000000-0005-0000-0000-0000FA1D0000}"/>
    <cellStyle name="Normal 9 2 3 3 2" xfId="5816" xr:uid="{00000000-0005-0000-0000-0000FB1D0000}"/>
    <cellStyle name="Normal 9 2 3 3 3" xfId="7042" xr:uid="{00000000-0005-0000-0000-0000FC1D0000}"/>
    <cellStyle name="Normal 9 2 3 4" xfId="2011" xr:uid="{00000000-0005-0000-0000-0000FD1D0000}"/>
    <cellStyle name="Normal 9 2 3 4 2" xfId="6030" xr:uid="{00000000-0005-0000-0000-0000FE1D0000}"/>
    <cellStyle name="Normal 9 2 3 4 3" xfId="7258" xr:uid="{00000000-0005-0000-0000-0000FF1D0000}"/>
    <cellStyle name="Normal 9 2 3 5" xfId="5359" xr:uid="{00000000-0005-0000-0000-0000001E0000}"/>
    <cellStyle name="Normal 9 2 3 6" xfId="6575" xr:uid="{00000000-0005-0000-0000-0000011E0000}"/>
    <cellStyle name="Normal 9 2 4" xfId="1475" xr:uid="{00000000-0005-0000-0000-0000021E0000}"/>
    <cellStyle name="Normal 9 2 4 2" xfId="5503" xr:uid="{00000000-0005-0000-0000-0000031E0000}"/>
    <cellStyle name="Normal 9 2 4 3" xfId="6727" xr:uid="{00000000-0005-0000-0000-0000041E0000}"/>
    <cellStyle name="Normal 9 2 5" xfId="1682" xr:uid="{00000000-0005-0000-0000-0000051E0000}"/>
    <cellStyle name="Normal 9 2 5 2" xfId="5704" xr:uid="{00000000-0005-0000-0000-0000061E0000}"/>
    <cellStyle name="Normal 9 2 5 3" xfId="6929" xr:uid="{00000000-0005-0000-0000-0000071E0000}"/>
    <cellStyle name="Normal 9 2 6" xfId="1832" xr:uid="{00000000-0005-0000-0000-0000081E0000}"/>
    <cellStyle name="Normal 9 2 6 2" xfId="5853" xr:uid="{00000000-0005-0000-0000-0000091E0000}"/>
    <cellStyle name="Normal 9 2 6 3" xfId="7079" xr:uid="{00000000-0005-0000-0000-00000A1E0000}"/>
    <cellStyle name="Normal 9 2 7" xfId="1205" xr:uid="{00000000-0005-0000-0000-00000B1E0000}"/>
    <cellStyle name="Normal 9 2 7 2" xfId="5246" xr:uid="{00000000-0005-0000-0000-00000C1E0000}"/>
    <cellStyle name="Normal 9 2 7 3" xfId="6457" xr:uid="{00000000-0005-0000-0000-00000D1E0000}"/>
    <cellStyle name="Normal 9 2 8" xfId="4446" xr:uid="{00000000-0005-0000-0000-00000E1E0000}"/>
    <cellStyle name="Normal 9 2 9" xfId="6401" xr:uid="{00000000-0005-0000-0000-00000F1E0000}"/>
    <cellStyle name="Normal 9 3" xfId="727" xr:uid="{00000000-0005-0000-0000-0000101E0000}"/>
    <cellStyle name="Normal 9 3 2" xfId="1525" xr:uid="{00000000-0005-0000-0000-0000111E0000}"/>
    <cellStyle name="Normal 9 3 2 2" xfId="5552" xr:uid="{00000000-0005-0000-0000-0000121E0000}"/>
    <cellStyle name="Normal 9 3 2 3" xfId="6777" xr:uid="{00000000-0005-0000-0000-0000131E0000}"/>
    <cellStyle name="Normal 9 3 3" xfId="1730" xr:uid="{00000000-0005-0000-0000-0000141E0000}"/>
    <cellStyle name="Normal 9 3 3 2" xfId="5752" xr:uid="{00000000-0005-0000-0000-0000151E0000}"/>
    <cellStyle name="Normal 9 3 3 3" xfId="6977" xr:uid="{00000000-0005-0000-0000-0000161E0000}"/>
    <cellStyle name="Normal 9 3 4" xfId="1603" xr:uid="{00000000-0005-0000-0000-0000171E0000}"/>
    <cellStyle name="Normal 9 3 4 2" xfId="5629" xr:uid="{00000000-0005-0000-0000-0000181E0000}"/>
    <cellStyle name="Normal 9 3 4 3" xfId="6854" xr:uid="{00000000-0005-0000-0000-0000191E0000}"/>
    <cellStyle name="Normal 9 3 5" xfId="2731" xr:uid="{00000000-0005-0000-0000-00001A1E0000}"/>
    <cellStyle name="Normal 9 3 5 2" xfId="3633" xr:uid="{00000000-0005-0000-0000-00001B1E0000}"/>
    <cellStyle name="Normal 9 3 5 3" xfId="5291" xr:uid="{00000000-0005-0000-0000-00001C1E0000}"/>
    <cellStyle name="Normal 9 3 5 4" xfId="7921" xr:uid="{00000000-0005-0000-0000-00001D1E0000}"/>
    <cellStyle name="Normal 9 3 6" xfId="4448" xr:uid="{00000000-0005-0000-0000-00001E1E0000}"/>
    <cellStyle name="Normal 9 3 7" xfId="6506" xr:uid="{00000000-0005-0000-0000-00001F1E0000}"/>
    <cellStyle name="Normal 9 3 8" xfId="1254" xr:uid="{00000000-0005-0000-0000-0000201E0000}"/>
    <cellStyle name="Normal 9 4" xfId="1301" xr:uid="{00000000-0005-0000-0000-0000211E0000}"/>
    <cellStyle name="Normal 9 4 2" xfId="1570" xr:uid="{00000000-0005-0000-0000-0000221E0000}"/>
    <cellStyle name="Normal 9 4 2 2" xfId="5596" xr:uid="{00000000-0005-0000-0000-0000231E0000}"/>
    <cellStyle name="Normal 9 4 2 3" xfId="6821" xr:uid="{00000000-0005-0000-0000-0000241E0000}"/>
    <cellStyle name="Normal 9 4 3" xfId="1774" xr:uid="{00000000-0005-0000-0000-0000251E0000}"/>
    <cellStyle name="Normal 9 4 3 2" xfId="5795" xr:uid="{00000000-0005-0000-0000-0000261E0000}"/>
    <cellStyle name="Normal 9 4 3 3" xfId="7021" xr:uid="{00000000-0005-0000-0000-0000271E0000}"/>
    <cellStyle name="Normal 9 4 4" xfId="1926" xr:uid="{00000000-0005-0000-0000-0000281E0000}"/>
    <cellStyle name="Normal 9 4 4 2" xfId="5946" xr:uid="{00000000-0005-0000-0000-0000291E0000}"/>
    <cellStyle name="Normal 9 4 4 3" xfId="7173" xr:uid="{00000000-0005-0000-0000-00002A1E0000}"/>
    <cellStyle name="Normal 9 4 5" xfId="2732" xr:uid="{00000000-0005-0000-0000-00002B1E0000}"/>
    <cellStyle name="Normal 9 4 5 2" xfId="3658" xr:uid="{00000000-0005-0000-0000-00002C1E0000}"/>
    <cellStyle name="Normal 9 4 5 3" xfId="5337" xr:uid="{00000000-0005-0000-0000-00002D1E0000}"/>
    <cellStyle name="Normal 9 4 5 4" xfId="7922" xr:uid="{00000000-0005-0000-0000-00002E1E0000}"/>
    <cellStyle name="Normal 9 4 6" xfId="4449" xr:uid="{00000000-0005-0000-0000-00002F1E0000}"/>
    <cellStyle name="Normal 9 4 7" xfId="6553" xr:uid="{00000000-0005-0000-0000-0000301E0000}"/>
    <cellStyle name="Normal 9 5" xfId="1450" xr:uid="{00000000-0005-0000-0000-0000311E0000}"/>
    <cellStyle name="Normal 9 5 2" xfId="5478" xr:uid="{00000000-0005-0000-0000-0000321E0000}"/>
    <cellStyle name="Normal 9 5 3" xfId="6702" xr:uid="{00000000-0005-0000-0000-0000331E0000}"/>
    <cellStyle name="Normal 9 6" xfId="1410" xr:uid="{00000000-0005-0000-0000-0000341E0000}"/>
    <cellStyle name="Normal 9 6 2" xfId="5440" xr:uid="{00000000-0005-0000-0000-0000351E0000}"/>
    <cellStyle name="Normal 9 6 3" xfId="6662" xr:uid="{00000000-0005-0000-0000-0000361E0000}"/>
    <cellStyle name="Normal 9 7" xfId="1721" xr:uid="{00000000-0005-0000-0000-0000371E0000}"/>
    <cellStyle name="Normal 9 7 2" xfId="5743" xr:uid="{00000000-0005-0000-0000-0000381E0000}"/>
    <cellStyle name="Normal 9 7 3" xfId="6968" xr:uid="{00000000-0005-0000-0000-0000391E0000}"/>
    <cellStyle name="Normal 9 8" xfId="1181" xr:uid="{00000000-0005-0000-0000-00003A1E0000}"/>
    <cellStyle name="Normal 9 8 2" xfId="5224" xr:uid="{00000000-0005-0000-0000-00003B1E0000}"/>
    <cellStyle name="Normal 9 8 3" xfId="6433" xr:uid="{00000000-0005-0000-0000-00003C1E0000}"/>
    <cellStyle name="Normal 9 9" xfId="3880" xr:uid="{00000000-0005-0000-0000-00003D1E0000}"/>
    <cellStyle name="Normal 90" xfId="2521" xr:uid="{00000000-0005-0000-0000-00003E1E0000}"/>
    <cellStyle name="Normal 90 2" xfId="4450" xr:uid="{00000000-0005-0000-0000-00003F1E0000}"/>
    <cellStyle name="Normal 90 3" xfId="7745" xr:uid="{00000000-0005-0000-0000-0000401E0000}"/>
    <cellStyle name="Normal 91" xfId="2522" xr:uid="{00000000-0005-0000-0000-0000411E0000}"/>
    <cellStyle name="Normal 91 2" xfId="4451" xr:uid="{00000000-0005-0000-0000-0000421E0000}"/>
    <cellStyle name="Normal 91 3" xfId="7746" xr:uid="{00000000-0005-0000-0000-0000431E0000}"/>
    <cellStyle name="Normal 92" xfId="2523" xr:uid="{00000000-0005-0000-0000-0000441E0000}"/>
    <cellStyle name="Normal 92 2" xfId="4452" xr:uid="{00000000-0005-0000-0000-0000451E0000}"/>
    <cellStyle name="Normal 92 3" xfId="7747" xr:uid="{00000000-0005-0000-0000-0000461E0000}"/>
    <cellStyle name="Normal 93" xfId="2524" xr:uid="{00000000-0005-0000-0000-0000471E0000}"/>
    <cellStyle name="Normal 93 2" xfId="4453" xr:uid="{00000000-0005-0000-0000-0000481E0000}"/>
    <cellStyle name="Normal 93 3" xfId="7748" xr:uid="{00000000-0005-0000-0000-0000491E0000}"/>
    <cellStyle name="Normal 94" xfId="9131" xr:uid="{00000000-0005-0000-0000-00004A1E0000}"/>
    <cellStyle name="Normal 94 2" xfId="9132" xr:uid="{00000000-0005-0000-0000-00004B1E0000}"/>
    <cellStyle name="Normal 95" xfId="9133" xr:uid="{00000000-0005-0000-0000-00004C1E0000}"/>
    <cellStyle name="Normal 95 2" xfId="9135" xr:uid="{00000000-0005-0000-0000-00004D1E0000}"/>
    <cellStyle name="Normal 96" xfId="9134" xr:uid="{00000000-0005-0000-0000-00004E1E0000}"/>
    <cellStyle name="Normal 96 2" xfId="9136" xr:uid="{00000000-0005-0000-0000-00004F1E0000}"/>
    <cellStyle name="Normal 97" xfId="9137" xr:uid="{00000000-0005-0000-0000-0000501E0000}"/>
    <cellStyle name="Normal 97 2" xfId="9140" xr:uid="{00000000-0005-0000-0000-0000511E0000}"/>
    <cellStyle name="Normal 97 2 2" xfId="9142" xr:uid="{00000000-0005-0000-0000-0000521E0000}"/>
    <cellStyle name="Normal 98" xfId="728" xr:uid="{00000000-0005-0000-0000-0000531E0000}"/>
    <cellStyle name="Normal 98 2" xfId="9143" xr:uid="{00000000-0005-0000-0000-0000541E0000}"/>
    <cellStyle name="Normal 99" xfId="9141" xr:uid="{00000000-0005-0000-0000-0000551E0000}"/>
    <cellStyle name="Normal Bold" xfId="729" xr:uid="{00000000-0005-0000-0000-0000561E0000}"/>
    <cellStyle name="Normale_Ro05" xfId="8785" xr:uid="{00000000-0005-0000-0000-0000571E0000}"/>
    <cellStyle name="Normalny_koszt" xfId="730" xr:uid="{00000000-0005-0000-0000-0000581E0000}"/>
    <cellStyle name="Nota 10" xfId="731" xr:uid="{00000000-0005-0000-0000-0000591E0000}"/>
    <cellStyle name="Nota 10 2" xfId="1011"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0" xr:uid="{00000000-0005-0000-0000-00005F1E0000}"/>
    <cellStyle name="Nota 2 11" xfId="736" xr:uid="{00000000-0005-0000-0000-0000601E0000}"/>
    <cellStyle name="Nota 2 12" xfId="1178" xr:uid="{00000000-0005-0000-0000-0000611E0000}"/>
    <cellStyle name="Nota 2 2" xfId="737" xr:uid="{00000000-0005-0000-0000-0000621E0000}"/>
    <cellStyle name="Nota 2 2 10" xfId="1201" xr:uid="{00000000-0005-0000-0000-0000631E0000}"/>
    <cellStyle name="Nota 2 2 2" xfId="1272" xr:uid="{00000000-0005-0000-0000-0000641E0000}"/>
    <cellStyle name="Nota 2 2 2 2" xfId="1544" xr:uid="{00000000-0005-0000-0000-0000651E0000}"/>
    <cellStyle name="Nota 2 2 2 2 2" xfId="5571" xr:uid="{00000000-0005-0000-0000-0000661E0000}"/>
    <cellStyle name="Nota 2 2 2 2 3" xfId="6796" xr:uid="{00000000-0005-0000-0000-0000671E0000}"/>
    <cellStyle name="Nota 2 2 2 3" xfId="1749" xr:uid="{00000000-0005-0000-0000-0000681E0000}"/>
    <cellStyle name="Nota 2 2 2 3 2" xfId="5771" xr:uid="{00000000-0005-0000-0000-0000691E0000}"/>
    <cellStyle name="Nota 2 2 2 3 3" xfId="6996" xr:uid="{00000000-0005-0000-0000-00006A1E0000}"/>
    <cellStyle name="Nota 2 2 2 4" xfId="1980" xr:uid="{00000000-0005-0000-0000-00006B1E0000}"/>
    <cellStyle name="Nota 2 2 2 4 2" xfId="5999" xr:uid="{00000000-0005-0000-0000-00006C1E0000}"/>
    <cellStyle name="Nota 2 2 2 4 3" xfId="7227" xr:uid="{00000000-0005-0000-0000-00006D1E0000}"/>
    <cellStyle name="Nota 2 2 2 5" xfId="5309" xr:uid="{00000000-0005-0000-0000-00006E1E0000}"/>
    <cellStyle name="Nota 2 2 2 6" xfId="6524" xr:uid="{00000000-0005-0000-0000-00006F1E0000}"/>
    <cellStyle name="Nota 2 2 3" xfId="1319" xr:uid="{00000000-0005-0000-0000-0000701E0000}"/>
    <cellStyle name="Nota 2 2 3 2" xfId="1587" xr:uid="{00000000-0005-0000-0000-0000711E0000}"/>
    <cellStyle name="Nota 2 2 3 2 2" xfId="5613" xr:uid="{00000000-0005-0000-0000-0000721E0000}"/>
    <cellStyle name="Nota 2 2 3 2 3" xfId="6838" xr:uid="{00000000-0005-0000-0000-0000731E0000}"/>
    <cellStyle name="Nota 2 2 3 3" xfId="1791" xr:uid="{00000000-0005-0000-0000-0000741E0000}"/>
    <cellStyle name="Nota 2 2 3 3 2" xfId="5812" xr:uid="{00000000-0005-0000-0000-0000751E0000}"/>
    <cellStyle name="Nota 2 2 3 3 3" xfId="7038" xr:uid="{00000000-0005-0000-0000-0000761E0000}"/>
    <cellStyle name="Nota 2 2 3 4" xfId="1979" xr:uid="{00000000-0005-0000-0000-0000771E0000}"/>
    <cellStyle name="Nota 2 2 3 4 2" xfId="5998" xr:uid="{00000000-0005-0000-0000-0000781E0000}"/>
    <cellStyle name="Nota 2 2 3 4 3" xfId="7226" xr:uid="{00000000-0005-0000-0000-0000791E0000}"/>
    <cellStyle name="Nota 2 2 3 5" xfId="5355" xr:uid="{00000000-0005-0000-0000-00007A1E0000}"/>
    <cellStyle name="Nota 2 2 3 6" xfId="6571" xr:uid="{00000000-0005-0000-0000-00007B1E0000}"/>
    <cellStyle name="Nota 2 2 4" xfId="1471" xr:uid="{00000000-0005-0000-0000-00007C1E0000}"/>
    <cellStyle name="Nota 2 2 4 2" xfId="5499" xr:uid="{00000000-0005-0000-0000-00007D1E0000}"/>
    <cellStyle name="Nota 2 2 4 3" xfId="6723" xr:uid="{00000000-0005-0000-0000-00007E1E0000}"/>
    <cellStyle name="Nota 2 2 5" xfId="1511" xr:uid="{00000000-0005-0000-0000-00007F1E0000}"/>
    <cellStyle name="Nota 2 2 5 2" xfId="5539" xr:uid="{00000000-0005-0000-0000-0000801E0000}"/>
    <cellStyle name="Nota 2 2 5 3" xfId="6763" xr:uid="{00000000-0005-0000-0000-0000811E0000}"/>
    <cellStyle name="Nota 2 2 6" xfId="1722" xr:uid="{00000000-0005-0000-0000-0000821E0000}"/>
    <cellStyle name="Nota 2 2 6 2" xfId="5744" xr:uid="{00000000-0005-0000-0000-0000831E0000}"/>
    <cellStyle name="Nota 2 2 6 3" xfId="6969" xr:uid="{00000000-0005-0000-0000-0000841E0000}"/>
    <cellStyle name="Nota 2 2 7" xfId="2526" xr:uid="{00000000-0005-0000-0000-0000851E0000}"/>
    <cellStyle name="Nota 2 2 7 2" xfId="3617" xr:uid="{00000000-0005-0000-0000-0000861E0000}"/>
    <cellStyle name="Nota 2 2 7 3" xfId="5243" xr:uid="{00000000-0005-0000-0000-0000871E0000}"/>
    <cellStyle name="Nota 2 2 7 4" xfId="7750" xr:uid="{00000000-0005-0000-0000-0000881E0000}"/>
    <cellStyle name="Nota 2 2 8" xfId="4455" xr:uid="{00000000-0005-0000-0000-0000891E0000}"/>
    <cellStyle name="Nota 2 2 9" xfId="6453" xr:uid="{00000000-0005-0000-0000-00008A1E0000}"/>
    <cellStyle name="Nota 2 3" xfId="738" xr:uid="{00000000-0005-0000-0000-00008B1E0000}"/>
    <cellStyle name="Nota 2 3 2" xfId="1521" xr:uid="{00000000-0005-0000-0000-00008C1E0000}"/>
    <cellStyle name="Nota 2 3 2 2" xfId="5548" xr:uid="{00000000-0005-0000-0000-00008D1E0000}"/>
    <cellStyle name="Nota 2 3 2 3" xfId="6773" xr:uid="{00000000-0005-0000-0000-00008E1E0000}"/>
    <cellStyle name="Nota 2 3 3" xfId="1726" xr:uid="{00000000-0005-0000-0000-00008F1E0000}"/>
    <cellStyle name="Nota 2 3 3 2" xfId="5748" xr:uid="{00000000-0005-0000-0000-0000901E0000}"/>
    <cellStyle name="Nota 2 3 3 3" xfId="6973" xr:uid="{00000000-0005-0000-0000-0000911E0000}"/>
    <cellStyle name="Nota 2 3 4" xfId="1411" xr:uid="{00000000-0005-0000-0000-0000921E0000}"/>
    <cellStyle name="Nota 2 3 4 2" xfId="5441" xr:uid="{00000000-0005-0000-0000-0000931E0000}"/>
    <cellStyle name="Nota 2 3 4 3" xfId="6663" xr:uid="{00000000-0005-0000-0000-0000941E0000}"/>
    <cellStyle name="Nota 2 3 5" xfId="5288" xr:uid="{00000000-0005-0000-0000-0000951E0000}"/>
    <cellStyle name="Nota 2 3 6" xfId="6503" xr:uid="{00000000-0005-0000-0000-0000961E0000}"/>
    <cellStyle name="Nota 2 3 7" xfId="1251" xr:uid="{00000000-0005-0000-0000-0000971E0000}"/>
    <cellStyle name="Nota 2 4" xfId="739" xr:uid="{00000000-0005-0000-0000-0000981E0000}"/>
    <cellStyle name="Nota 2 4 2" xfId="1566" xr:uid="{00000000-0005-0000-0000-0000991E0000}"/>
    <cellStyle name="Nota 2 4 2 2" xfId="5592" xr:uid="{00000000-0005-0000-0000-00009A1E0000}"/>
    <cellStyle name="Nota 2 4 2 3" xfId="6817" xr:uid="{00000000-0005-0000-0000-00009B1E0000}"/>
    <cellStyle name="Nota 2 4 3" xfId="1770" xr:uid="{00000000-0005-0000-0000-00009C1E0000}"/>
    <cellStyle name="Nota 2 4 3 2" xfId="5791" xr:uid="{00000000-0005-0000-0000-00009D1E0000}"/>
    <cellStyle name="Nota 2 4 3 3" xfId="7017" xr:uid="{00000000-0005-0000-0000-00009E1E0000}"/>
    <cellStyle name="Nota 2 4 4" xfId="1962" xr:uid="{00000000-0005-0000-0000-00009F1E0000}"/>
    <cellStyle name="Nota 2 4 4 2" xfId="5982" xr:uid="{00000000-0005-0000-0000-0000A01E0000}"/>
    <cellStyle name="Nota 2 4 4 3" xfId="7209" xr:uid="{00000000-0005-0000-0000-0000A11E0000}"/>
    <cellStyle name="Nota 2 4 5" xfId="5334" xr:uid="{00000000-0005-0000-0000-0000A21E0000}"/>
    <cellStyle name="Nota 2 4 6" xfId="6550" xr:uid="{00000000-0005-0000-0000-0000A31E0000}"/>
    <cellStyle name="Nota 2 4 7" xfId="1298" xr:uid="{00000000-0005-0000-0000-0000A41E0000}"/>
    <cellStyle name="Nota 2 5" xfId="740" xr:uid="{00000000-0005-0000-0000-0000A51E0000}"/>
    <cellStyle name="Nota 2 5 2" xfId="5475" xr:uid="{00000000-0005-0000-0000-0000A61E0000}"/>
    <cellStyle name="Nota 2 5 3" xfId="6698" xr:uid="{00000000-0005-0000-0000-0000A71E0000}"/>
    <cellStyle name="Nota 2 5 4" xfId="1446" xr:uid="{00000000-0005-0000-0000-0000A81E0000}"/>
    <cellStyle name="Nota 2 6" xfId="741" xr:uid="{00000000-0005-0000-0000-0000A91E0000}"/>
    <cellStyle name="Nota 2 6 2" xfId="5439" xr:uid="{00000000-0005-0000-0000-0000AA1E0000}"/>
    <cellStyle name="Nota 2 6 3" xfId="6661" xr:uid="{00000000-0005-0000-0000-0000AB1E0000}"/>
    <cellStyle name="Nota 2 6 4" xfId="1409" xr:uid="{00000000-0005-0000-0000-0000AC1E0000}"/>
    <cellStyle name="Nota 2 7" xfId="742" xr:uid="{00000000-0005-0000-0000-0000AD1E0000}"/>
    <cellStyle name="Nota 2 7 2" xfId="6006" xr:uid="{00000000-0005-0000-0000-0000AE1E0000}"/>
    <cellStyle name="Nota 2 7 3" xfId="7234" xr:uid="{00000000-0005-0000-0000-0000AF1E0000}"/>
    <cellStyle name="Nota 2 7 4" xfId="1987" xr:uid="{00000000-0005-0000-0000-0000B01E0000}"/>
    <cellStyle name="Nota 2 8" xfId="743" xr:uid="{00000000-0005-0000-0000-0000B11E0000}"/>
    <cellStyle name="Nota 2 8 2" xfId="3607" xr:uid="{00000000-0005-0000-0000-0000B21E0000}"/>
    <cellStyle name="Nota 2 8 3" xfId="5219" xr:uid="{00000000-0005-0000-0000-0000B31E0000}"/>
    <cellStyle name="Nota 2 8 4" xfId="7749" xr:uid="{00000000-0005-0000-0000-0000B41E0000}"/>
    <cellStyle name="Nota 2 8 5" xfId="2525" xr:uid="{00000000-0005-0000-0000-0000B51E0000}"/>
    <cellStyle name="Nota 2 9" xfId="744" xr:uid="{00000000-0005-0000-0000-0000B61E0000}"/>
    <cellStyle name="Nota 2 9 2" xfId="4454" xr:uid="{00000000-0005-0000-0000-0000B71E0000}"/>
    <cellStyle name="Nota 3" xfId="745" xr:uid="{00000000-0005-0000-0000-0000B81E0000}"/>
    <cellStyle name="Nota 3 10" xfId="1184" xr:uid="{00000000-0005-0000-0000-0000B91E0000}"/>
    <cellStyle name="Nota 3 2" xfId="1257" xr:uid="{00000000-0005-0000-0000-0000BA1E0000}"/>
    <cellStyle name="Nota 3 2 2" xfId="1528" xr:uid="{00000000-0005-0000-0000-0000BB1E0000}"/>
    <cellStyle name="Nota 3 2 2 2" xfId="5555" xr:uid="{00000000-0005-0000-0000-0000BC1E0000}"/>
    <cellStyle name="Nota 3 2 2 3" xfId="6780" xr:uid="{00000000-0005-0000-0000-0000BD1E0000}"/>
    <cellStyle name="Nota 3 2 3" xfId="1733" xr:uid="{00000000-0005-0000-0000-0000BE1E0000}"/>
    <cellStyle name="Nota 3 2 3 2" xfId="5755" xr:uid="{00000000-0005-0000-0000-0000BF1E0000}"/>
    <cellStyle name="Nota 3 2 3 3" xfId="6980" xr:uid="{00000000-0005-0000-0000-0000C01E0000}"/>
    <cellStyle name="Nota 3 2 4" xfId="1470" xr:uid="{00000000-0005-0000-0000-0000C11E0000}"/>
    <cellStyle name="Nota 3 2 4 2" xfId="5498" xr:uid="{00000000-0005-0000-0000-0000C21E0000}"/>
    <cellStyle name="Nota 3 2 4 3" xfId="6722" xr:uid="{00000000-0005-0000-0000-0000C31E0000}"/>
    <cellStyle name="Nota 3 2 5" xfId="2528" xr:uid="{00000000-0005-0000-0000-0000C41E0000}"/>
    <cellStyle name="Nota 3 2 5 2" xfId="3636" xr:uid="{00000000-0005-0000-0000-0000C51E0000}"/>
    <cellStyle name="Nota 3 2 5 3" xfId="5294" xr:uid="{00000000-0005-0000-0000-0000C61E0000}"/>
    <cellStyle name="Nota 3 2 5 4" xfId="7752" xr:uid="{00000000-0005-0000-0000-0000C71E0000}"/>
    <cellStyle name="Nota 3 2 6" xfId="4457" xr:uid="{00000000-0005-0000-0000-0000C81E0000}"/>
    <cellStyle name="Nota 3 2 7" xfId="6509" xr:uid="{00000000-0005-0000-0000-0000C91E0000}"/>
    <cellStyle name="Nota 3 3" xfId="1304" xr:uid="{00000000-0005-0000-0000-0000CA1E0000}"/>
    <cellStyle name="Nota 3 3 2" xfId="1573" xr:uid="{00000000-0005-0000-0000-0000CB1E0000}"/>
    <cellStyle name="Nota 3 3 2 2" xfId="5599" xr:uid="{00000000-0005-0000-0000-0000CC1E0000}"/>
    <cellStyle name="Nota 3 3 2 3" xfId="6824" xr:uid="{00000000-0005-0000-0000-0000CD1E0000}"/>
    <cellStyle name="Nota 3 3 3" xfId="1777" xr:uid="{00000000-0005-0000-0000-0000CE1E0000}"/>
    <cellStyle name="Nota 3 3 3 2" xfId="5798" xr:uid="{00000000-0005-0000-0000-0000CF1E0000}"/>
    <cellStyle name="Nota 3 3 3 3" xfId="7024" xr:uid="{00000000-0005-0000-0000-0000D01E0000}"/>
    <cellStyle name="Nota 3 3 4" xfId="1902" xr:uid="{00000000-0005-0000-0000-0000D11E0000}"/>
    <cellStyle name="Nota 3 3 4 2" xfId="5922" xr:uid="{00000000-0005-0000-0000-0000D21E0000}"/>
    <cellStyle name="Nota 3 3 4 3" xfId="7149" xr:uid="{00000000-0005-0000-0000-0000D31E0000}"/>
    <cellStyle name="Nota 3 3 5" xfId="5340" xr:uid="{00000000-0005-0000-0000-0000D41E0000}"/>
    <cellStyle name="Nota 3 3 6" xfId="6556" xr:uid="{00000000-0005-0000-0000-0000D51E0000}"/>
    <cellStyle name="Nota 3 4" xfId="1453" xr:uid="{00000000-0005-0000-0000-0000D61E0000}"/>
    <cellStyle name="Nota 3 4 2" xfId="5481" xr:uid="{00000000-0005-0000-0000-0000D71E0000}"/>
    <cellStyle name="Nota 3 4 3" xfId="6705" xr:uid="{00000000-0005-0000-0000-0000D81E0000}"/>
    <cellStyle name="Nota 3 5" xfId="1431" xr:uid="{00000000-0005-0000-0000-0000D91E0000}"/>
    <cellStyle name="Nota 3 5 2" xfId="5461" xr:uid="{00000000-0005-0000-0000-0000DA1E0000}"/>
    <cellStyle name="Nota 3 5 3" xfId="6683" xr:uid="{00000000-0005-0000-0000-0000DB1E0000}"/>
    <cellStyle name="Nota 3 6" xfId="1686" xr:uid="{00000000-0005-0000-0000-0000DC1E0000}"/>
    <cellStyle name="Nota 3 6 2" xfId="5708" xr:uid="{00000000-0005-0000-0000-0000DD1E0000}"/>
    <cellStyle name="Nota 3 6 3" xfId="6933" xr:uid="{00000000-0005-0000-0000-0000DE1E0000}"/>
    <cellStyle name="Nota 3 7" xfId="2527" xr:uid="{00000000-0005-0000-0000-0000DF1E0000}"/>
    <cellStyle name="Nota 3 7 2" xfId="3613" xr:uid="{00000000-0005-0000-0000-0000E01E0000}"/>
    <cellStyle name="Nota 3 7 3" xfId="5227" xr:uid="{00000000-0005-0000-0000-0000E11E0000}"/>
    <cellStyle name="Nota 3 7 4" xfId="7751" xr:uid="{00000000-0005-0000-0000-0000E21E0000}"/>
    <cellStyle name="Nota 3 8" xfId="4456" xr:uid="{00000000-0005-0000-0000-0000E31E0000}"/>
    <cellStyle name="Nota 3 9" xfId="6436" xr:uid="{00000000-0005-0000-0000-0000E41E0000}"/>
    <cellStyle name="Nota 4" xfId="746" xr:uid="{00000000-0005-0000-0000-0000E51E0000}"/>
    <cellStyle name="Nota 4 2" xfId="1645" xr:uid="{00000000-0005-0000-0000-0000E61E0000}"/>
    <cellStyle name="Nota 4 2 2" xfId="2530" xr:uid="{00000000-0005-0000-0000-0000E71E0000}"/>
    <cellStyle name="Nota 4 2 2 2" xfId="3695" xr:uid="{00000000-0005-0000-0000-0000E81E0000}"/>
    <cellStyle name="Nota 4 2 2 3" xfId="5669" xr:uid="{00000000-0005-0000-0000-0000E91E0000}"/>
    <cellStyle name="Nota 4 2 2 4" xfId="7754" xr:uid="{00000000-0005-0000-0000-0000EA1E0000}"/>
    <cellStyle name="Nota 4 2 3" xfId="4459" xr:uid="{00000000-0005-0000-0000-0000EB1E0000}"/>
    <cellStyle name="Nota 4 2 4" xfId="6894" xr:uid="{00000000-0005-0000-0000-0000EC1E0000}"/>
    <cellStyle name="Nota 4 3" xfId="1841" xr:uid="{00000000-0005-0000-0000-0000ED1E0000}"/>
    <cellStyle name="Nota 4 3 2" xfId="5862" xr:uid="{00000000-0005-0000-0000-0000EE1E0000}"/>
    <cellStyle name="Nota 4 3 3" xfId="7088" xr:uid="{00000000-0005-0000-0000-0000EF1E0000}"/>
    <cellStyle name="Nota 4 4" xfId="2026" xr:uid="{00000000-0005-0000-0000-0000F01E0000}"/>
    <cellStyle name="Nota 4 4 2" xfId="6045" xr:uid="{00000000-0005-0000-0000-0000F11E0000}"/>
    <cellStyle name="Nota 4 4 3" xfId="7273" xr:uid="{00000000-0005-0000-0000-0000F21E0000}"/>
    <cellStyle name="Nota 4 5" xfId="2529" xr:uid="{00000000-0005-0000-0000-0000F31E0000}"/>
    <cellStyle name="Nota 4 5 2" xfId="3668" xr:uid="{00000000-0005-0000-0000-0000F41E0000}"/>
    <cellStyle name="Nota 4 5 3" xfId="5406" xr:uid="{00000000-0005-0000-0000-0000F51E0000}"/>
    <cellStyle name="Nota 4 5 4" xfId="7753" xr:uid="{00000000-0005-0000-0000-0000F61E0000}"/>
    <cellStyle name="Nota 4 6" xfId="4458" xr:uid="{00000000-0005-0000-0000-0000F71E0000}"/>
    <cellStyle name="Nota 4 7" xfId="6627" xr:uid="{00000000-0005-0000-0000-0000F81E0000}"/>
    <cellStyle name="Nota 4 8" xfId="1375" xr:uid="{00000000-0005-0000-0000-0000F91E0000}"/>
    <cellStyle name="Nota 5" xfId="747" xr:uid="{00000000-0005-0000-0000-0000FA1E0000}"/>
    <cellStyle name="Nota 5 2" xfId="1659" xr:uid="{00000000-0005-0000-0000-0000FB1E0000}"/>
    <cellStyle name="Nota 5 2 2" xfId="2533" xr:uid="{00000000-0005-0000-0000-0000FC1E0000}"/>
    <cellStyle name="Nota 5 2 2 2" xfId="4462" xr:uid="{00000000-0005-0000-0000-0000FD1E0000}"/>
    <cellStyle name="Nota 5 2 2 3" xfId="7757" xr:uid="{00000000-0005-0000-0000-0000FE1E0000}"/>
    <cellStyle name="Nota 5 2 3" xfId="2532" xr:uid="{00000000-0005-0000-0000-0000FF1E0000}"/>
    <cellStyle name="Nota 5 2 3 2" xfId="3696" xr:uid="{00000000-0005-0000-0000-0000001F0000}"/>
    <cellStyle name="Nota 5 2 3 3" xfId="5683" xr:uid="{00000000-0005-0000-0000-0000011F0000}"/>
    <cellStyle name="Nota 5 2 3 4" xfId="7756" xr:uid="{00000000-0005-0000-0000-0000021F0000}"/>
    <cellStyle name="Nota 5 2 4" xfId="4461" xr:uid="{00000000-0005-0000-0000-0000031F0000}"/>
    <cellStyle name="Nota 5 2 5" xfId="6908" xr:uid="{00000000-0005-0000-0000-0000041F0000}"/>
    <cellStyle name="Nota 5 3" xfId="1855" xr:uid="{00000000-0005-0000-0000-0000051F0000}"/>
    <cellStyle name="Nota 5 3 2" xfId="2535" xr:uid="{00000000-0005-0000-0000-0000061F0000}"/>
    <cellStyle name="Nota 5 3 2 2" xfId="4464" xr:uid="{00000000-0005-0000-0000-0000071F0000}"/>
    <cellStyle name="Nota 5 3 2 3" xfId="7759" xr:uid="{00000000-0005-0000-0000-0000081F0000}"/>
    <cellStyle name="Nota 5 3 3" xfId="2534" xr:uid="{00000000-0005-0000-0000-0000091F0000}"/>
    <cellStyle name="Nota 5 3 3 2" xfId="3704" xr:uid="{00000000-0005-0000-0000-00000A1F0000}"/>
    <cellStyle name="Nota 5 3 3 3" xfId="5876" xr:uid="{00000000-0005-0000-0000-00000B1F0000}"/>
    <cellStyle name="Nota 5 3 3 4" xfId="7758" xr:uid="{00000000-0005-0000-0000-00000C1F0000}"/>
    <cellStyle name="Nota 5 3 4" xfId="4463" xr:uid="{00000000-0005-0000-0000-00000D1F0000}"/>
    <cellStyle name="Nota 5 3 5" xfId="7102" xr:uid="{00000000-0005-0000-0000-00000E1F0000}"/>
    <cellStyle name="Nota 5 4" xfId="2040" xr:uid="{00000000-0005-0000-0000-00000F1F0000}"/>
    <cellStyle name="Nota 5 4 2" xfId="2537" xr:uid="{00000000-0005-0000-0000-0000101F0000}"/>
    <cellStyle name="Nota 5 4 2 2" xfId="4466" xr:uid="{00000000-0005-0000-0000-0000111F0000}"/>
    <cellStyle name="Nota 5 4 2 3" xfId="7761" xr:uid="{00000000-0005-0000-0000-0000121F0000}"/>
    <cellStyle name="Nota 5 4 3" xfId="2536" xr:uid="{00000000-0005-0000-0000-0000131F0000}"/>
    <cellStyle name="Nota 5 4 3 2" xfId="3709" xr:uid="{00000000-0005-0000-0000-0000141F0000}"/>
    <cellStyle name="Nota 5 4 3 3" xfId="6059" xr:uid="{00000000-0005-0000-0000-0000151F0000}"/>
    <cellStyle name="Nota 5 4 3 4" xfId="7760" xr:uid="{00000000-0005-0000-0000-0000161F0000}"/>
    <cellStyle name="Nota 5 4 4" xfId="4465" xr:uid="{00000000-0005-0000-0000-0000171F0000}"/>
    <cellStyle name="Nota 5 4 5" xfId="7287" xr:uid="{00000000-0005-0000-0000-0000181F0000}"/>
    <cellStyle name="Nota 5 5" xfId="2538" xr:uid="{00000000-0005-0000-0000-0000191F0000}"/>
    <cellStyle name="Nota 5 5 2" xfId="4467" xr:uid="{00000000-0005-0000-0000-00001A1F0000}"/>
    <cellStyle name="Nota 5 5 3" xfId="7762" xr:uid="{00000000-0005-0000-0000-00001B1F0000}"/>
    <cellStyle name="Nota 5 6" xfId="2531" xr:uid="{00000000-0005-0000-0000-00001C1F0000}"/>
    <cellStyle name="Nota 5 6 2" xfId="3670" xr:uid="{00000000-0005-0000-0000-00001D1F0000}"/>
    <cellStyle name="Nota 5 6 3" xfId="5420" xr:uid="{00000000-0005-0000-0000-00001E1F0000}"/>
    <cellStyle name="Nota 5 6 4" xfId="7755" xr:uid="{00000000-0005-0000-0000-00001F1F0000}"/>
    <cellStyle name="Nota 5 7" xfId="4460" xr:uid="{00000000-0005-0000-0000-0000201F0000}"/>
    <cellStyle name="Nota 5 8" xfId="6641" xr:uid="{00000000-0005-0000-0000-0000211F0000}"/>
    <cellStyle name="Nota 5 9" xfId="1389" xr:uid="{00000000-0005-0000-0000-0000221F0000}"/>
    <cellStyle name="Nota 6" xfId="748" xr:uid="{00000000-0005-0000-0000-0000231F0000}"/>
    <cellStyle name="Nota 6 2" xfId="2540" xr:uid="{00000000-0005-0000-0000-0000241F0000}"/>
    <cellStyle name="Nota 6 2 2" xfId="2541" xr:uid="{00000000-0005-0000-0000-0000251F0000}"/>
    <cellStyle name="Nota 6 2 2 2" xfId="4470" xr:uid="{00000000-0005-0000-0000-0000261F0000}"/>
    <cellStyle name="Nota 6 2 2 3" xfId="7765" xr:uid="{00000000-0005-0000-0000-0000271F0000}"/>
    <cellStyle name="Nota 6 2 3" xfId="4469" xr:uid="{00000000-0005-0000-0000-0000281F0000}"/>
    <cellStyle name="Nota 6 2 4" xfId="7764" xr:uid="{00000000-0005-0000-0000-0000291F0000}"/>
    <cellStyle name="Nota 6 3" xfId="2542" xr:uid="{00000000-0005-0000-0000-00002A1F0000}"/>
    <cellStyle name="Nota 6 3 2" xfId="2543" xr:uid="{00000000-0005-0000-0000-00002B1F0000}"/>
    <cellStyle name="Nota 6 3 2 2" xfId="4472" xr:uid="{00000000-0005-0000-0000-00002C1F0000}"/>
    <cellStyle name="Nota 6 3 2 3" xfId="7767" xr:uid="{00000000-0005-0000-0000-00002D1F0000}"/>
    <cellStyle name="Nota 6 3 3" xfId="4471" xr:uid="{00000000-0005-0000-0000-00002E1F0000}"/>
    <cellStyle name="Nota 6 3 4" xfId="7766" xr:uid="{00000000-0005-0000-0000-00002F1F0000}"/>
    <cellStyle name="Nota 6 4" xfId="2544" xr:uid="{00000000-0005-0000-0000-0000301F0000}"/>
    <cellStyle name="Nota 6 4 2" xfId="2545" xr:uid="{00000000-0005-0000-0000-0000311F0000}"/>
    <cellStyle name="Nota 6 4 2 2" xfId="4474" xr:uid="{00000000-0005-0000-0000-0000321F0000}"/>
    <cellStyle name="Nota 6 4 2 3" xfId="7769" xr:uid="{00000000-0005-0000-0000-0000331F0000}"/>
    <cellStyle name="Nota 6 4 3" xfId="4473" xr:uid="{00000000-0005-0000-0000-0000341F0000}"/>
    <cellStyle name="Nota 6 4 4" xfId="7768" xr:uid="{00000000-0005-0000-0000-0000351F0000}"/>
    <cellStyle name="Nota 6 5" xfId="2546" xr:uid="{00000000-0005-0000-0000-0000361F0000}"/>
    <cellStyle name="Nota 6 5 2" xfId="4475" xr:uid="{00000000-0005-0000-0000-0000371F0000}"/>
    <cellStyle name="Nota 6 5 3" xfId="7770" xr:uid="{00000000-0005-0000-0000-0000381F0000}"/>
    <cellStyle name="Nota 6 6" xfId="4468" xr:uid="{00000000-0005-0000-0000-0000391F0000}"/>
    <cellStyle name="Nota 6 7" xfId="7763" xr:uid="{00000000-0005-0000-0000-00003A1F0000}"/>
    <cellStyle name="Nota 6 8" xfId="2539" xr:uid="{00000000-0005-0000-0000-00003B1F0000}"/>
    <cellStyle name="Nota 7" xfId="749" xr:uid="{00000000-0005-0000-0000-00003C1F0000}"/>
    <cellStyle name="Nota 7 2" xfId="2548" xr:uid="{00000000-0005-0000-0000-00003D1F0000}"/>
    <cellStyle name="Nota 7 2 2" xfId="2549" xr:uid="{00000000-0005-0000-0000-00003E1F0000}"/>
    <cellStyle name="Nota 7 2 2 2" xfId="4478" xr:uid="{00000000-0005-0000-0000-00003F1F0000}"/>
    <cellStyle name="Nota 7 2 2 3" xfId="7773" xr:uid="{00000000-0005-0000-0000-0000401F0000}"/>
    <cellStyle name="Nota 7 2 3" xfId="4477" xr:uid="{00000000-0005-0000-0000-0000411F0000}"/>
    <cellStyle name="Nota 7 2 4" xfId="7772" xr:uid="{00000000-0005-0000-0000-0000421F0000}"/>
    <cellStyle name="Nota 7 3" xfId="2550" xr:uid="{00000000-0005-0000-0000-0000431F0000}"/>
    <cellStyle name="Nota 7 3 2" xfId="2551" xr:uid="{00000000-0005-0000-0000-0000441F0000}"/>
    <cellStyle name="Nota 7 3 2 2" xfId="4480" xr:uid="{00000000-0005-0000-0000-0000451F0000}"/>
    <cellStyle name="Nota 7 3 2 3" xfId="7775" xr:uid="{00000000-0005-0000-0000-0000461F0000}"/>
    <cellStyle name="Nota 7 3 3" xfId="4479" xr:uid="{00000000-0005-0000-0000-0000471F0000}"/>
    <cellStyle name="Nota 7 3 4" xfId="7774" xr:uid="{00000000-0005-0000-0000-0000481F0000}"/>
    <cellStyle name="Nota 7 4" xfId="2552" xr:uid="{00000000-0005-0000-0000-0000491F0000}"/>
    <cellStyle name="Nota 7 4 2" xfId="2553" xr:uid="{00000000-0005-0000-0000-00004A1F0000}"/>
    <cellStyle name="Nota 7 4 2 2" xfId="4482" xr:uid="{00000000-0005-0000-0000-00004B1F0000}"/>
    <cellStyle name="Nota 7 4 2 3" xfId="7777" xr:uid="{00000000-0005-0000-0000-00004C1F0000}"/>
    <cellStyle name="Nota 7 4 3" xfId="4481" xr:uid="{00000000-0005-0000-0000-00004D1F0000}"/>
    <cellStyle name="Nota 7 4 4" xfId="7776" xr:uid="{00000000-0005-0000-0000-00004E1F0000}"/>
    <cellStyle name="Nota 7 5" xfId="2554" xr:uid="{00000000-0005-0000-0000-00004F1F0000}"/>
    <cellStyle name="Nota 7 5 2" xfId="4483" xr:uid="{00000000-0005-0000-0000-0000501F0000}"/>
    <cellStyle name="Nota 7 5 3" xfId="7778" xr:uid="{00000000-0005-0000-0000-0000511F0000}"/>
    <cellStyle name="Nota 7 6" xfId="4476" xr:uid="{00000000-0005-0000-0000-0000521F0000}"/>
    <cellStyle name="Nota 7 7" xfId="7771" xr:uid="{00000000-0005-0000-0000-0000531F0000}"/>
    <cellStyle name="Nota 7 8" xfId="2547" xr:uid="{00000000-0005-0000-0000-0000541F0000}"/>
    <cellStyle name="Nota 8" xfId="750" xr:uid="{00000000-0005-0000-0000-0000551F0000}"/>
    <cellStyle name="Nota 8 2" xfId="6170" xr:uid="{00000000-0005-0000-0000-0000561F0000}"/>
    <cellStyle name="Nota 8 3" xfId="8687" xr:uid="{00000000-0005-0000-0000-0000571F0000}"/>
    <cellStyle name="Nota 8 4" xfId="3776" xr:uid="{00000000-0005-0000-0000-0000581F0000}"/>
    <cellStyle name="Nota 9" xfId="751" xr:uid="{00000000-0005-0000-0000-0000591F0000}"/>
    <cellStyle name="Nota 9 2" xfId="6293" xr:uid="{00000000-0005-0000-0000-00005A1F0000}"/>
    <cellStyle name="Note" xfId="752" xr:uid="{00000000-0005-0000-0000-00005B1F0000}"/>
    <cellStyle name="Note 10" xfId="3415" xr:uid="{00000000-0005-0000-0000-00005C1F0000}"/>
    <cellStyle name="Note 10 2" xfId="5052" xr:uid="{00000000-0005-0000-0000-00005D1F0000}"/>
    <cellStyle name="Note 10 3" xfId="8426" xr:uid="{00000000-0005-0000-0000-00005E1F0000}"/>
    <cellStyle name="Note 11" xfId="3416" xr:uid="{00000000-0005-0000-0000-00005F1F0000}"/>
    <cellStyle name="Note 11 2" xfId="5053" xr:uid="{00000000-0005-0000-0000-0000601F0000}"/>
    <cellStyle name="Note 11 3" xfId="8427" xr:uid="{00000000-0005-0000-0000-0000611F0000}"/>
    <cellStyle name="Note 12" xfId="3414" xr:uid="{00000000-0005-0000-0000-0000621F0000}"/>
    <cellStyle name="Note 12 2" xfId="5051" xr:uid="{00000000-0005-0000-0000-0000631F0000}"/>
    <cellStyle name="Note 12 3" xfId="8425" xr:uid="{00000000-0005-0000-0000-0000641F0000}"/>
    <cellStyle name="Note 13" xfId="3833" xr:uid="{00000000-0005-0000-0000-0000651F0000}"/>
    <cellStyle name="Note 13 2" xfId="6214" xr:uid="{00000000-0005-0000-0000-0000661F0000}"/>
    <cellStyle name="Note 13 3" xfId="8744" xr:uid="{00000000-0005-0000-0000-0000671F0000}"/>
    <cellStyle name="Note 14" xfId="2795" xr:uid="{00000000-0005-0000-0000-0000681F0000}"/>
    <cellStyle name="Note 15" xfId="4484" xr:uid="{00000000-0005-0000-0000-0000691F0000}"/>
    <cellStyle name="Note 16" xfId="7367" xr:uid="{00000000-0005-0000-0000-00006A1F0000}"/>
    <cellStyle name="Note 17" xfId="2126" xr:uid="{00000000-0005-0000-0000-00006B1F0000}"/>
    <cellStyle name="Note 2" xfId="753" xr:uid="{00000000-0005-0000-0000-00006C1F0000}"/>
    <cellStyle name="Note 2 10" xfId="6402" xr:uid="{00000000-0005-0000-0000-00006D1F0000}"/>
    <cellStyle name="Note 2 11" xfId="1132" xr:uid="{00000000-0005-0000-0000-00006E1F0000}"/>
    <cellStyle name="Note 2 2" xfId="2910" xr:uid="{00000000-0005-0000-0000-00006F1F0000}"/>
    <cellStyle name="Note 2 2 2" xfId="3419" xr:uid="{00000000-0005-0000-0000-0000701F0000}"/>
    <cellStyle name="Note 2 2 2 2" xfId="5056" xr:uid="{00000000-0005-0000-0000-0000711F0000}"/>
    <cellStyle name="Note 2 2 2 3" xfId="8430" xr:uid="{00000000-0005-0000-0000-0000721F0000}"/>
    <cellStyle name="Note 2 2 3" xfId="3420" xr:uid="{00000000-0005-0000-0000-0000731F0000}"/>
    <cellStyle name="Note 2 2 3 2" xfId="5057" xr:uid="{00000000-0005-0000-0000-0000741F0000}"/>
    <cellStyle name="Note 2 2 3 3" xfId="8431" xr:uid="{00000000-0005-0000-0000-0000751F0000}"/>
    <cellStyle name="Note 2 2 4" xfId="3421" xr:uid="{00000000-0005-0000-0000-0000761F0000}"/>
    <cellStyle name="Note 2 2 4 2" xfId="5058" xr:uid="{00000000-0005-0000-0000-0000771F0000}"/>
    <cellStyle name="Note 2 2 4 3" xfId="8432" xr:uid="{00000000-0005-0000-0000-0000781F0000}"/>
    <cellStyle name="Note 2 2 5" xfId="3418" xr:uid="{00000000-0005-0000-0000-0000791F0000}"/>
    <cellStyle name="Note 2 2 5 2" xfId="5055" xr:uid="{00000000-0005-0000-0000-00007A1F0000}"/>
    <cellStyle name="Note 2 2 5 3" xfId="8429" xr:uid="{00000000-0005-0000-0000-00007B1F0000}"/>
    <cellStyle name="Note 2 2 6" xfId="3781" xr:uid="{00000000-0005-0000-0000-00007C1F0000}"/>
    <cellStyle name="Note 2 2 6 2" xfId="6174" xr:uid="{00000000-0005-0000-0000-00007D1F0000}"/>
    <cellStyle name="Note 2 2 6 3" xfId="8692" xr:uid="{00000000-0005-0000-0000-00007E1F0000}"/>
    <cellStyle name="Note 2 2 7" xfId="4577" xr:uid="{00000000-0005-0000-0000-00007F1F0000}"/>
    <cellStyle name="Note 2 2 8" xfId="7968" xr:uid="{00000000-0005-0000-0000-0000801F0000}"/>
    <cellStyle name="Note 2 3" xfId="3000" xr:uid="{00000000-0005-0000-0000-0000811F0000}"/>
    <cellStyle name="Note 2 3 2" xfId="3422" xr:uid="{00000000-0005-0000-0000-0000821F0000}"/>
    <cellStyle name="Note 2 3 2 2" xfId="5059" xr:uid="{00000000-0005-0000-0000-0000831F0000}"/>
    <cellStyle name="Note 2 3 2 3" xfId="8433" xr:uid="{00000000-0005-0000-0000-0000841F0000}"/>
    <cellStyle name="Note 2 3 3" xfId="4662" xr:uid="{00000000-0005-0000-0000-0000851F0000}"/>
    <cellStyle name="Note 2 3 4" xfId="8056" xr:uid="{00000000-0005-0000-0000-0000861F0000}"/>
    <cellStyle name="Note 2 4" xfId="3423" xr:uid="{00000000-0005-0000-0000-0000871F0000}"/>
    <cellStyle name="Note 2 4 2" xfId="5060" xr:uid="{00000000-0005-0000-0000-0000881F0000}"/>
    <cellStyle name="Note 2 4 3" xfId="8434" xr:uid="{00000000-0005-0000-0000-0000891F0000}"/>
    <cellStyle name="Note 2 5" xfId="3424" xr:uid="{00000000-0005-0000-0000-00008A1F0000}"/>
    <cellStyle name="Note 2 5 2" xfId="5061" xr:uid="{00000000-0005-0000-0000-00008B1F0000}"/>
    <cellStyle name="Note 2 5 3" xfId="8435" xr:uid="{00000000-0005-0000-0000-00008C1F0000}"/>
    <cellStyle name="Note 2 6" xfId="3417" xr:uid="{00000000-0005-0000-0000-00008D1F0000}"/>
    <cellStyle name="Note 2 6 2" xfId="5054" xr:uid="{00000000-0005-0000-0000-00008E1F0000}"/>
    <cellStyle name="Note 2 6 3" xfId="8428" xr:uid="{00000000-0005-0000-0000-00008F1F0000}"/>
    <cellStyle name="Note 2 7" xfId="3749" xr:uid="{00000000-0005-0000-0000-0000901F0000}"/>
    <cellStyle name="Note 2 7 2" xfId="6146" xr:uid="{00000000-0005-0000-0000-0000911F0000}"/>
    <cellStyle name="Note 2 7 3" xfId="8662" xr:uid="{00000000-0005-0000-0000-0000921F0000}"/>
    <cellStyle name="Note 2 8" xfId="2796" xr:uid="{00000000-0005-0000-0000-0000931F0000}"/>
    <cellStyle name="Note 2 9" xfId="4485" xr:uid="{00000000-0005-0000-0000-0000941F0000}"/>
    <cellStyle name="Note 3" xfId="2909" xr:uid="{00000000-0005-0000-0000-0000951F0000}"/>
    <cellStyle name="Note 3 2" xfId="3426" xr:uid="{00000000-0005-0000-0000-0000961F0000}"/>
    <cellStyle name="Note 3 2 2" xfId="3427" xr:uid="{00000000-0005-0000-0000-0000971F0000}"/>
    <cellStyle name="Note 3 2 2 2" xfId="5064" xr:uid="{00000000-0005-0000-0000-0000981F0000}"/>
    <cellStyle name="Note 3 2 2 3" xfId="8438" xr:uid="{00000000-0005-0000-0000-0000991F0000}"/>
    <cellStyle name="Note 3 2 3" xfId="3428" xr:uid="{00000000-0005-0000-0000-00009A1F0000}"/>
    <cellStyle name="Note 3 2 3 2" xfId="5065" xr:uid="{00000000-0005-0000-0000-00009B1F0000}"/>
    <cellStyle name="Note 3 2 3 3" xfId="8439" xr:uid="{00000000-0005-0000-0000-00009C1F0000}"/>
    <cellStyle name="Note 3 2 4" xfId="3429" xr:uid="{00000000-0005-0000-0000-00009D1F0000}"/>
    <cellStyle name="Note 3 2 4 2" xfId="5066" xr:uid="{00000000-0005-0000-0000-00009E1F0000}"/>
    <cellStyle name="Note 3 2 4 3" xfId="8440" xr:uid="{00000000-0005-0000-0000-00009F1F0000}"/>
    <cellStyle name="Note 3 2 5" xfId="5063" xr:uid="{00000000-0005-0000-0000-0000A01F0000}"/>
    <cellStyle name="Note 3 2 6" xfId="8437" xr:uid="{00000000-0005-0000-0000-0000A11F0000}"/>
    <cellStyle name="Note 3 3" xfId="3430" xr:uid="{00000000-0005-0000-0000-0000A21F0000}"/>
    <cellStyle name="Note 3 3 2" xfId="5067" xr:uid="{00000000-0005-0000-0000-0000A31F0000}"/>
    <cellStyle name="Note 3 3 3" xfId="8441" xr:uid="{00000000-0005-0000-0000-0000A41F0000}"/>
    <cellStyle name="Note 3 4" xfId="3431" xr:uid="{00000000-0005-0000-0000-0000A51F0000}"/>
    <cellStyle name="Note 3 4 2" xfId="5068" xr:uid="{00000000-0005-0000-0000-0000A61F0000}"/>
    <cellStyle name="Note 3 4 3" xfId="8442" xr:uid="{00000000-0005-0000-0000-0000A71F0000}"/>
    <cellStyle name="Note 3 5" xfId="3432" xr:uid="{00000000-0005-0000-0000-0000A81F0000}"/>
    <cellStyle name="Note 3 5 2" xfId="5069" xr:uid="{00000000-0005-0000-0000-0000A91F0000}"/>
    <cellStyle name="Note 3 5 3" xfId="8443" xr:uid="{00000000-0005-0000-0000-0000AA1F0000}"/>
    <cellStyle name="Note 3 6" xfId="3425" xr:uid="{00000000-0005-0000-0000-0000AB1F0000}"/>
    <cellStyle name="Note 3 6 2" xfId="5062" xr:uid="{00000000-0005-0000-0000-0000AC1F0000}"/>
    <cellStyle name="Note 3 6 3" xfId="8436" xr:uid="{00000000-0005-0000-0000-0000AD1F0000}"/>
    <cellStyle name="Note 3 7" xfId="3812" xr:uid="{00000000-0005-0000-0000-0000AE1F0000}"/>
    <cellStyle name="Note 3 7 2" xfId="6199" xr:uid="{00000000-0005-0000-0000-0000AF1F0000}"/>
    <cellStyle name="Note 3 7 3" xfId="8723" xr:uid="{00000000-0005-0000-0000-0000B01F0000}"/>
    <cellStyle name="Note 3 8" xfId="4576" xr:uid="{00000000-0005-0000-0000-0000B11F0000}"/>
    <cellStyle name="Note 3 9" xfId="7967" xr:uid="{00000000-0005-0000-0000-0000B21F0000}"/>
    <cellStyle name="Note 4" xfId="2999" xr:uid="{00000000-0005-0000-0000-0000B31F0000}"/>
    <cellStyle name="Note 4 2" xfId="3434" xr:uid="{00000000-0005-0000-0000-0000B41F0000}"/>
    <cellStyle name="Note 4 2 2" xfId="3435" xr:uid="{00000000-0005-0000-0000-0000B51F0000}"/>
    <cellStyle name="Note 4 2 2 2" xfId="5072" xr:uid="{00000000-0005-0000-0000-0000B61F0000}"/>
    <cellStyle name="Note 4 2 2 3" xfId="8446" xr:uid="{00000000-0005-0000-0000-0000B71F0000}"/>
    <cellStyle name="Note 4 2 3" xfId="3436" xr:uid="{00000000-0005-0000-0000-0000B81F0000}"/>
    <cellStyle name="Note 4 2 3 2" xfId="5073" xr:uid="{00000000-0005-0000-0000-0000B91F0000}"/>
    <cellStyle name="Note 4 2 3 3" xfId="8447" xr:uid="{00000000-0005-0000-0000-0000BA1F0000}"/>
    <cellStyle name="Note 4 2 4" xfId="3437" xr:uid="{00000000-0005-0000-0000-0000BB1F0000}"/>
    <cellStyle name="Note 4 2 4 2" xfId="5074" xr:uid="{00000000-0005-0000-0000-0000BC1F0000}"/>
    <cellStyle name="Note 4 2 4 3" xfId="8448" xr:uid="{00000000-0005-0000-0000-0000BD1F0000}"/>
    <cellStyle name="Note 4 2 5" xfId="5071" xr:uid="{00000000-0005-0000-0000-0000BE1F0000}"/>
    <cellStyle name="Note 4 2 6" xfId="8445" xr:uid="{00000000-0005-0000-0000-0000BF1F0000}"/>
    <cellStyle name="Note 4 3" xfId="3438" xr:uid="{00000000-0005-0000-0000-0000C01F0000}"/>
    <cellStyle name="Note 4 3 2" xfId="5075" xr:uid="{00000000-0005-0000-0000-0000C11F0000}"/>
    <cellStyle name="Note 4 3 3" xfId="8449" xr:uid="{00000000-0005-0000-0000-0000C21F0000}"/>
    <cellStyle name="Note 4 4" xfId="3439" xr:uid="{00000000-0005-0000-0000-0000C31F0000}"/>
    <cellStyle name="Note 4 4 2" xfId="5076" xr:uid="{00000000-0005-0000-0000-0000C41F0000}"/>
    <cellStyle name="Note 4 4 3" xfId="8450" xr:uid="{00000000-0005-0000-0000-0000C51F0000}"/>
    <cellStyle name="Note 4 5" xfId="3440" xr:uid="{00000000-0005-0000-0000-0000C61F0000}"/>
    <cellStyle name="Note 4 5 2" xfId="5077" xr:uid="{00000000-0005-0000-0000-0000C71F0000}"/>
    <cellStyle name="Note 4 5 3" xfId="8451" xr:uid="{00000000-0005-0000-0000-0000C81F0000}"/>
    <cellStyle name="Note 4 6" xfId="3433" xr:uid="{00000000-0005-0000-0000-0000C91F0000}"/>
    <cellStyle name="Note 4 6 2" xfId="5070" xr:uid="{00000000-0005-0000-0000-0000CA1F0000}"/>
    <cellStyle name="Note 4 6 3" xfId="8444" xr:uid="{00000000-0005-0000-0000-0000CB1F0000}"/>
    <cellStyle name="Note 4 7" xfId="4661" xr:uid="{00000000-0005-0000-0000-0000CC1F0000}"/>
    <cellStyle name="Note 4 8" xfId="8055" xr:uid="{00000000-0005-0000-0000-0000CD1F0000}"/>
    <cellStyle name="Note 5" xfId="3441" xr:uid="{00000000-0005-0000-0000-0000CE1F0000}"/>
    <cellStyle name="Note 5 2" xfId="3442" xr:uid="{00000000-0005-0000-0000-0000CF1F0000}"/>
    <cellStyle name="Note 5 2 2" xfId="3443" xr:uid="{00000000-0005-0000-0000-0000D01F0000}"/>
    <cellStyle name="Note 5 2 2 2" xfId="5080" xr:uid="{00000000-0005-0000-0000-0000D11F0000}"/>
    <cellStyle name="Note 5 2 2 3" xfId="8454" xr:uid="{00000000-0005-0000-0000-0000D21F0000}"/>
    <cellStyle name="Note 5 2 3" xfId="3444" xr:uid="{00000000-0005-0000-0000-0000D31F0000}"/>
    <cellStyle name="Note 5 2 3 2" xfId="5081" xr:uid="{00000000-0005-0000-0000-0000D41F0000}"/>
    <cellStyle name="Note 5 2 3 3" xfId="8455" xr:uid="{00000000-0005-0000-0000-0000D51F0000}"/>
    <cellStyle name="Note 5 2 4" xfId="3445" xr:uid="{00000000-0005-0000-0000-0000D61F0000}"/>
    <cellStyle name="Note 5 2 4 2" xfId="5082" xr:uid="{00000000-0005-0000-0000-0000D71F0000}"/>
    <cellStyle name="Note 5 2 4 3" xfId="8456" xr:uid="{00000000-0005-0000-0000-0000D81F0000}"/>
    <cellStyle name="Note 5 2 5" xfId="5079" xr:uid="{00000000-0005-0000-0000-0000D91F0000}"/>
    <cellStyle name="Note 5 2 6" xfId="8453" xr:uid="{00000000-0005-0000-0000-0000DA1F0000}"/>
    <cellStyle name="Note 5 3" xfId="3446" xr:uid="{00000000-0005-0000-0000-0000DB1F0000}"/>
    <cellStyle name="Note 5 3 2" xfId="5083" xr:uid="{00000000-0005-0000-0000-0000DC1F0000}"/>
    <cellStyle name="Note 5 3 3" xfId="8457" xr:uid="{00000000-0005-0000-0000-0000DD1F0000}"/>
    <cellStyle name="Note 5 4" xfId="3447" xr:uid="{00000000-0005-0000-0000-0000DE1F0000}"/>
    <cellStyle name="Note 5 4 2" xfId="5084" xr:uid="{00000000-0005-0000-0000-0000DF1F0000}"/>
    <cellStyle name="Note 5 4 3" xfId="8458" xr:uid="{00000000-0005-0000-0000-0000E01F0000}"/>
    <cellStyle name="Note 5 5" xfId="3448" xr:uid="{00000000-0005-0000-0000-0000E11F0000}"/>
    <cellStyle name="Note 5 5 2" xfId="5085" xr:uid="{00000000-0005-0000-0000-0000E21F0000}"/>
    <cellStyle name="Note 5 5 3" xfId="8459" xr:uid="{00000000-0005-0000-0000-0000E31F0000}"/>
    <cellStyle name="Note 5 6" xfId="5078" xr:uid="{00000000-0005-0000-0000-0000E41F0000}"/>
    <cellStyle name="Note 5 7" xfId="8452" xr:uid="{00000000-0005-0000-0000-0000E51F0000}"/>
    <cellStyle name="Note 6" xfId="3449" xr:uid="{00000000-0005-0000-0000-0000E61F0000}"/>
    <cellStyle name="Note 6 2" xfId="3450" xr:uid="{00000000-0005-0000-0000-0000E71F0000}"/>
    <cellStyle name="Note 6 2 2" xfId="5087" xr:uid="{00000000-0005-0000-0000-0000E81F0000}"/>
    <cellStyle name="Note 6 2 3" xfId="8461" xr:uid="{00000000-0005-0000-0000-0000E91F0000}"/>
    <cellStyle name="Note 6 3" xfId="3451" xr:uid="{00000000-0005-0000-0000-0000EA1F0000}"/>
    <cellStyle name="Note 6 3 2" xfId="5088" xr:uid="{00000000-0005-0000-0000-0000EB1F0000}"/>
    <cellStyle name="Note 6 3 3" xfId="8462" xr:uid="{00000000-0005-0000-0000-0000EC1F0000}"/>
    <cellStyle name="Note 6 4" xfId="3452" xr:uid="{00000000-0005-0000-0000-0000ED1F0000}"/>
    <cellStyle name="Note 6 4 2" xfId="5089" xr:uid="{00000000-0005-0000-0000-0000EE1F0000}"/>
    <cellStyle name="Note 6 4 3" xfId="8463" xr:uid="{00000000-0005-0000-0000-0000EF1F0000}"/>
    <cellStyle name="Note 6 5" xfId="5086" xr:uid="{00000000-0005-0000-0000-0000F01F0000}"/>
    <cellStyle name="Note 6 6" xfId="8460" xr:uid="{00000000-0005-0000-0000-0000F11F0000}"/>
    <cellStyle name="Note 7" xfId="3453" xr:uid="{00000000-0005-0000-0000-0000F21F0000}"/>
    <cellStyle name="Note 7 2" xfId="3454" xr:uid="{00000000-0005-0000-0000-0000F31F0000}"/>
    <cellStyle name="Note 7 2 2" xfId="5091" xr:uid="{00000000-0005-0000-0000-0000F41F0000}"/>
    <cellStyle name="Note 7 2 3" xfId="8465" xr:uid="{00000000-0005-0000-0000-0000F51F0000}"/>
    <cellStyle name="Note 7 3" xfId="3455" xr:uid="{00000000-0005-0000-0000-0000F61F0000}"/>
    <cellStyle name="Note 7 3 2" xfId="5092" xr:uid="{00000000-0005-0000-0000-0000F71F0000}"/>
    <cellStyle name="Note 7 3 3" xfId="8466" xr:uid="{00000000-0005-0000-0000-0000F81F0000}"/>
    <cellStyle name="Note 7 4" xfId="3456" xr:uid="{00000000-0005-0000-0000-0000F91F0000}"/>
    <cellStyle name="Note 7 4 2" xfId="5093" xr:uid="{00000000-0005-0000-0000-0000FA1F0000}"/>
    <cellStyle name="Note 7 4 3" xfId="8467" xr:uid="{00000000-0005-0000-0000-0000FB1F0000}"/>
    <cellStyle name="Note 7 5" xfId="5090" xr:uid="{00000000-0005-0000-0000-0000FC1F0000}"/>
    <cellStyle name="Note 7 6" xfId="8464" xr:uid="{00000000-0005-0000-0000-0000FD1F0000}"/>
    <cellStyle name="Note 8" xfId="3457" xr:uid="{00000000-0005-0000-0000-0000FE1F0000}"/>
    <cellStyle name="Note 8 2" xfId="3458" xr:uid="{00000000-0005-0000-0000-0000FF1F0000}"/>
    <cellStyle name="Note 8 2 2" xfId="5095" xr:uid="{00000000-0005-0000-0000-000000200000}"/>
    <cellStyle name="Note 8 2 3" xfId="8469" xr:uid="{00000000-0005-0000-0000-000001200000}"/>
    <cellStyle name="Note 8 3" xfId="3459" xr:uid="{00000000-0005-0000-0000-000002200000}"/>
    <cellStyle name="Note 8 3 2" xfId="5096" xr:uid="{00000000-0005-0000-0000-000003200000}"/>
    <cellStyle name="Note 8 3 3" xfId="8470" xr:uid="{00000000-0005-0000-0000-000004200000}"/>
    <cellStyle name="Note 8 4" xfId="3460" xr:uid="{00000000-0005-0000-0000-000005200000}"/>
    <cellStyle name="Note 8 4 2" xfId="5097" xr:uid="{00000000-0005-0000-0000-000006200000}"/>
    <cellStyle name="Note 8 4 3" xfId="8471" xr:uid="{00000000-0005-0000-0000-000007200000}"/>
    <cellStyle name="Note 8 5" xfId="5094" xr:uid="{00000000-0005-0000-0000-000008200000}"/>
    <cellStyle name="Note 8 6" xfId="8468" xr:uid="{00000000-0005-0000-0000-000009200000}"/>
    <cellStyle name="Note 9" xfId="3461" xr:uid="{00000000-0005-0000-0000-00000A200000}"/>
    <cellStyle name="Note 9 2" xfId="5098" xr:uid="{00000000-0005-0000-0000-00000B200000}"/>
    <cellStyle name="Note 9 3" xfId="8472"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Numero" xfId="760" xr:uid="{00000000-0005-0000-0000-000014200000}"/>
    <cellStyle name="OE_Fonte_limite" xfId="761" xr:uid="{00000000-0005-0000-0000-000015200000}"/>
    <cellStyle name="OE_LegQuadro" xfId="762" xr:uid="{00000000-0005-0000-0000-000016200000}"/>
    <cellStyle name="OE_TituloIndice" xfId="763" xr:uid="{00000000-0005-0000-0000-000017200000}"/>
    <cellStyle name="OE_unidades" xfId="764" xr:uid="{00000000-0005-0000-0000-000018200000}"/>
    <cellStyle name="Opis" xfId="765" xr:uid="{00000000-0005-0000-0000-000019200000}"/>
    <cellStyle name="Output" xfId="766" xr:uid="{00000000-0005-0000-0000-00001A200000}"/>
    <cellStyle name="Output 10" xfId="3463" xr:uid="{00000000-0005-0000-0000-00001B200000}"/>
    <cellStyle name="Output 10 2" xfId="5100" xr:uid="{00000000-0005-0000-0000-00001C200000}"/>
    <cellStyle name="Output 10 3" xfId="8474" xr:uid="{00000000-0005-0000-0000-00001D200000}"/>
    <cellStyle name="Output 11" xfId="3464" xr:uid="{00000000-0005-0000-0000-00001E200000}"/>
    <cellStyle name="Output 11 2" xfId="5101" xr:uid="{00000000-0005-0000-0000-00001F200000}"/>
    <cellStyle name="Output 11 3" xfId="8475" xr:uid="{00000000-0005-0000-0000-000020200000}"/>
    <cellStyle name="Output 12" xfId="3465" xr:uid="{00000000-0005-0000-0000-000021200000}"/>
    <cellStyle name="Output 12 2" xfId="5102" xr:uid="{00000000-0005-0000-0000-000022200000}"/>
    <cellStyle name="Output 12 3" xfId="8476" xr:uid="{00000000-0005-0000-0000-000023200000}"/>
    <cellStyle name="Output 13" xfId="3462" xr:uid="{00000000-0005-0000-0000-000024200000}"/>
    <cellStyle name="Output 13 2" xfId="5099" xr:uid="{00000000-0005-0000-0000-000025200000}"/>
    <cellStyle name="Output 13 3" xfId="8473" xr:uid="{00000000-0005-0000-0000-000026200000}"/>
    <cellStyle name="Output 14" xfId="4486" xr:uid="{00000000-0005-0000-0000-000027200000}"/>
    <cellStyle name="Output 15" xfId="7374" xr:uid="{00000000-0005-0000-0000-000028200000}"/>
    <cellStyle name="Output 16" xfId="2134" xr:uid="{00000000-0005-0000-0000-000029200000}"/>
    <cellStyle name="Output 2" xfId="767" xr:uid="{00000000-0005-0000-0000-00002A200000}"/>
    <cellStyle name="Output 2 10" xfId="1133" xr:uid="{00000000-0005-0000-0000-00002B200000}"/>
    <cellStyle name="Output 2 2" xfId="3467" xr:uid="{00000000-0005-0000-0000-00002C200000}"/>
    <cellStyle name="Output 2 2 2" xfId="3468" xr:uid="{00000000-0005-0000-0000-00002D200000}"/>
    <cellStyle name="Output 2 2 2 2" xfId="5105" xr:uid="{00000000-0005-0000-0000-00002E200000}"/>
    <cellStyle name="Output 2 2 2 3" xfId="8479" xr:uid="{00000000-0005-0000-0000-00002F200000}"/>
    <cellStyle name="Output 2 2 3" xfId="3469" xr:uid="{00000000-0005-0000-0000-000030200000}"/>
    <cellStyle name="Output 2 2 3 2" xfId="5106" xr:uid="{00000000-0005-0000-0000-000031200000}"/>
    <cellStyle name="Output 2 2 3 3" xfId="8480" xr:uid="{00000000-0005-0000-0000-000032200000}"/>
    <cellStyle name="Output 2 2 4" xfId="3470" xr:uid="{00000000-0005-0000-0000-000033200000}"/>
    <cellStyle name="Output 2 2 4 2" xfId="5107" xr:uid="{00000000-0005-0000-0000-000034200000}"/>
    <cellStyle name="Output 2 2 4 3" xfId="8481" xr:uid="{00000000-0005-0000-0000-000035200000}"/>
    <cellStyle name="Output 2 2 5" xfId="5104" xr:uid="{00000000-0005-0000-0000-000036200000}"/>
    <cellStyle name="Output 2 2 6" xfId="8478" xr:uid="{00000000-0005-0000-0000-000037200000}"/>
    <cellStyle name="Output 2 3" xfId="3471" xr:uid="{00000000-0005-0000-0000-000038200000}"/>
    <cellStyle name="Output 2 3 2" xfId="5108" xr:uid="{00000000-0005-0000-0000-000039200000}"/>
    <cellStyle name="Output 2 3 3" xfId="8482" xr:uid="{00000000-0005-0000-0000-00003A200000}"/>
    <cellStyle name="Output 2 4" xfId="3472" xr:uid="{00000000-0005-0000-0000-00003B200000}"/>
    <cellStyle name="Output 2 4 2" xfId="5109" xr:uid="{00000000-0005-0000-0000-00003C200000}"/>
    <cellStyle name="Output 2 4 3" xfId="8483" xr:uid="{00000000-0005-0000-0000-00003D200000}"/>
    <cellStyle name="Output 2 5" xfId="3473" xr:uid="{00000000-0005-0000-0000-00003E200000}"/>
    <cellStyle name="Output 2 5 2" xfId="5110" xr:uid="{00000000-0005-0000-0000-00003F200000}"/>
    <cellStyle name="Output 2 5 3" xfId="8484" xr:uid="{00000000-0005-0000-0000-000040200000}"/>
    <cellStyle name="Output 2 6" xfId="3578" xr:uid="{00000000-0005-0000-0000-000041200000}"/>
    <cellStyle name="Output 2 6 2" xfId="5190" xr:uid="{00000000-0005-0000-0000-000042200000}"/>
    <cellStyle name="Output 2 6 3" xfId="8562" xr:uid="{00000000-0005-0000-0000-000043200000}"/>
    <cellStyle name="Output 2 7" xfId="3466" xr:uid="{00000000-0005-0000-0000-000044200000}"/>
    <cellStyle name="Output 2 7 2" xfId="5103" xr:uid="{00000000-0005-0000-0000-000045200000}"/>
    <cellStyle name="Output 2 7 3" xfId="8477" xr:uid="{00000000-0005-0000-0000-000046200000}"/>
    <cellStyle name="Output 2 8" xfId="4487" xr:uid="{00000000-0005-0000-0000-000047200000}"/>
    <cellStyle name="Output 2 9" xfId="6403" xr:uid="{00000000-0005-0000-0000-000048200000}"/>
    <cellStyle name="Output 3" xfId="3474" xr:uid="{00000000-0005-0000-0000-000049200000}"/>
    <cellStyle name="Output 3 2" xfId="3475" xr:uid="{00000000-0005-0000-0000-00004A200000}"/>
    <cellStyle name="Output 3 2 2" xfId="3476" xr:uid="{00000000-0005-0000-0000-00004B200000}"/>
    <cellStyle name="Output 3 2 2 2" xfId="5113" xr:uid="{00000000-0005-0000-0000-00004C200000}"/>
    <cellStyle name="Output 3 2 2 3" xfId="8487" xr:uid="{00000000-0005-0000-0000-00004D200000}"/>
    <cellStyle name="Output 3 2 3" xfId="3477" xr:uid="{00000000-0005-0000-0000-00004E200000}"/>
    <cellStyle name="Output 3 2 3 2" xfId="5114" xr:uid="{00000000-0005-0000-0000-00004F200000}"/>
    <cellStyle name="Output 3 2 3 3" xfId="8488" xr:uid="{00000000-0005-0000-0000-000050200000}"/>
    <cellStyle name="Output 3 2 4" xfId="3478" xr:uid="{00000000-0005-0000-0000-000051200000}"/>
    <cellStyle name="Output 3 2 4 2" xfId="5115" xr:uid="{00000000-0005-0000-0000-000052200000}"/>
    <cellStyle name="Output 3 2 4 3" xfId="8489" xr:uid="{00000000-0005-0000-0000-000053200000}"/>
    <cellStyle name="Output 3 2 5" xfId="5112" xr:uid="{00000000-0005-0000-0000-000054200000}"/>
    <cellStyle name="Output 3 2 6" xfId="8486" xr:uid="{00000000-0005-0000-0000-000055200000}"/>
    <cellStyle name="Output 3 3" xfId="3479" xr:uid="{00000000-0005-0000-0000-000056200000}"/>
    <cellStyle name="Output 3 3 2" xfId="5116" xr:uid="{00000000-0005-0000-0000-000057200000}"/>
    <cellStyle name="Output 3 3 3" xfId="8490" xr:uid="{00000000-0005-0000-0000-000058200000}"/>
    <cellStyle name="Output 3 4" xfId="3480" xr:uid="{00000000-0005-0000-0000-000059200000}"/>
    <cellStyle name="Output 3 4 2" xfId="5117" xr:uid="{00000000-0005-0000-0000-00005A200000}"/>
    <cellStyle name="Output 3 4 3" xfId="8491" xr:uid="{00000000-0005-0000-0000-00005B200000}"/>
    <cellStyle name="Output 3 5" xfId="3481" xr:uid="{00000000-0005-0000-0000-00005C200000}"/>
    <cellStyle name="Output 3 5 2" xfId="5118" xr:uid="{00000000-0005-0000-0000-00005D200000}"/>
    <cellStyle name="Output 3 5 3" xfId="8492" xr:uid="{00000000-0005-0000-0000-00005E200000}"/>
    <cellStyle name="Output 3 6" xfId="5111" xr:uid="{00000000-0005-0000-0000-00005F200000}"/>
    <cellStyle name="Output 3 7" xfId="8485" xr:uid="{00000000-0005-0000-0000-000060200000}"/>
    <cellStyle name="Output 4" xfId="3482" xr:uid="{00000000-0005-0000-0000-000061200000}"/>
    <cellStyle name="Output 4 2" xfId="3483" xr:uid="{00000000-0005-0000-0000-000062200000}"/>
    <cellStyle name="Output 4 2 2" xfId="3484" xr:uid="{00000000-0005-0000-0000-000063200000}"/>
    <cellStyle name="Output 4 2 2 2" xfId="5121" xr:uid="{00000000-0005-0000-0000-000064200000}"/>
    <cellStyle name="Output 4 2 2 3" xfId="8495" xr:uid="{00000000-0005-0000-0000-000065200000}"/>
    <cellStyle name="Output 4 2 3" xfId="3485" xr:uid="{00000000-0005-0000-0000-000066200000}"/>
    <cellStyle name="Output 4 2 3 2" xfId="5122" xr:uid="{00000000-0005-0000-0000-000067200000}"/>
    <cellStyle name="Output 4 2 3 3" xfId="8496" xr:uid="{00000000-0005-0000-0000-000068200000}"/>
    <cellStyle name="Output 4 2 4" xfId="3486" xr:uid="{00000000-0005-0000-0000-000069200000}"/>
    <cellStyle name="Output 4 2 4 2" xfId="5123" xr:uid="{00000000-0005-0000-0000-00006A200000}"/>
    <cellStyle name="Output 4 2 4 3" xfId="8497" xr:uid="{00000000-0005-0000-0000-00006B200000}"/>
    <cellStyle name="Output 4 2 5" xfId="5120" xr:uid="{00000000-0005-0000-0000-00006C200000}"/>
    <cellStyle name="Output 4 2 6" xfId="8494" xr:uid="{00000000-0005-0000-0000-00006D200000}"/>
    <cellStyle name="Output 4 3" xfId="3487" xr:uid="{00000000-0005-0000-0000-00006E200000}"/>
    <cellStyle name="Output 4 3 2" xfId="5124" xr:uid="{00000000-0005-0000-0000-00006F200000}"/>
    <cellStyle name="Output 4 3 3" xfId="8498" xr:uid="{00000000-0005-0000-0000-000070200000}"/>
    <cellStyle name="Output 4 4" xfId="3488" xr:uid="{00000000-0005-0000-0000-000071200000}"/>
    <cellStyle name="Output 4 4 2" xfId="5125" xr:uid="{00000000-0005-0000-0000-000072200000}"/>
    <cellStyle name="Output 4 4 3" xfId="8499" xr:uid="{00000000-0005-0000-0000-000073200000}"/>
    <cellStyle name="Output 4 5" xfId="3489" xr:uid="{00000000-0005-0000-0000-000074200000}"/>
    <cellStyle name="Output 4 5 2" xfId="5126" xr:uid="{00000000-0005-0000-0000-000075200000}"/>
    <cellStyle name="Output 4 5 3" xfId="8500" xr:uid="{00000000-0005-0000-0000-000076200000}"/>
    <cellStyle name="Output 4 6" xfId="5119" xr:uid="{00000000-0005-0000-0000-000077200000}"/>
    <cellStyle name="Output 4 7" xfId="8493" xr:uid="{00000000-0005-0000-0000-000078200000}"/>
    <cellStyle name="Output 5" xfId="3490" xr:uid="{00000000-0005-0000-0000-000079200000}"/>
    <cellStyle name="Output 5 2" xfId="3491" xr:uid="{00000000-0005-0000-0000-00007A200000}"/>
    <cellStyle name="Output 5 2 2" xfId="5128" xr:uid="{00000000-0005-0000-0000-00007B200000}"/>
    <cellStyle name="Output 5 2 3" xfId="8502" xr:uid="{00000000-0005-0000-0000-00007C200000}"/>
    <cellStyle name="Output 5 3" xfId="3492" xr:uid="{00000000-0005-0000-0000-00007D200000}"/>
    <cellStyle name="Output 5 3 2" xfId="5129" xr:uid="{00000000-0005-0000-0000-00007E200000}"/>
    <cellStyle name="Output 5 3 3" xfId="8503" xr:uid="{00000000-0005-0000-0000-00007F200000}"/>
    <cellStyle name="Output 5 4" xfId="3493" xr:uid="{00000000-0005-0000-0000-000080200000}"/>
    <cellStyle name="Output 5 4 2" xfId="5130" xr:uid="{00000000-0005-0000-0000-000081200000}"/>
    <cellStyle name="Output 5 4 3" xfId="8504" xr:uid="{00000000-0005-0000-0000-000082200000}"/>
    <cellStyle name="Output 5 5" xfId="5127" xr:uid="{00000000-0005-0000-0000-000083200000}"/>
    <cellStyle name="Output 5 6" xfId="8501" xr:uid="{00000000-0005-0000-0000-000084200000}"/>
    <cellStyle name="Output 6" xfId="3494" xr:uid="{00000000-0005-0000-0000-000085200000}"/>
    <cellStyle name="Output 6 2" xfId="3495" xr:uid="{00000000-0005-0000-0000-000086200000}"/>
    <cellStyle name="Output 6 2 2" xfId="5132" xr:uid="{00000000-0005-0000-0000-000087200000}"/>
    <cellStyle name="Output 6 2 3" xfId="8506" xr:uid="{00000000-0005-0000-0000-000088200000}"/>
    <cellStyle name="Output 6 3" xfId="3496" xr:uid="{00000000-0005-0000-0000-000089200000}"/>
    <cellStyle name="Output 6 3 2" xfId="5133" xr:uid="{00000000-0005-0000-0000-00008A200000}"/>
    <cellStyle name="Output 6 3 3" xfId="8507" xr:uid="{00000000-0005-0000-0000-00008B200000}"/>
    <cellStyle name="Output 6 4" xfId="3497" xr:uid="{00000000-0005-0000-0000-00008C200000}"/>
    <cellStyle name="Output 6 4 2" xfId="5134" xr:uid="{00000000-0005-0000-0000-00008D200000}"/>
    <cellStyle name="Output 6 4 3" xfId="8508" xr:uid="{00000000-0005-0000-0000-00008E200000}"/>
    <cellStyle name="Output 6 5" xfId="5131" xr:uid="{00000000-0005-0000-0000-00008F200000}"/>
    <cellStyle name="Output 6 6" xfId="8505" xr:uid="{00000000-0005-0000-0000-000090200000}"/>
    <cellStyle name="Output 7" xfId="3498" xr:uid="{00000000-0005-0000-0000-000091200000}"/>
    <cellStyle name="Output 7 2" xfId="3499" xr:uid="{00000000-0005-0000-0000-000092200000}"/>
    <cellStyle name="Output 7 2 2" xfId="5136" xr:uid="{00000000-0005-0000-0000-000093200000}"/>
    <cellStyle name="Output 7 2 3" xfId="8510" xr:uid="{00000000-0005-0000-0000-000094200000}"/>
    <cellStyle name="Output 7 3" xfId="3500" xr:uid="{00000000-0005-0000-0000-000095200000}"/>
    <cellStyle name="Output 7 3 2" xfId="5137" xr:uid="{00000000-0005-0000-0000-000096200000}"/>
    <cellStyle name="Output 7 3 3" xfId="8511" xr:uid="{00000000-0005-0000-0000-000097200000}"/>
    <cellStyle name="Output 7 4" xfId="3501" xr:uid="{00000000-0005-0000-0000-000098200000}"/>
    <cellStyle name="Output 7 4 2" xfId="5138" xr:uid="{00000000-0005-0000-0000-000099200000}"/>
    <cellStyle name="Output 7 4 3" xfId="8512" xr:uid="{00000000-0005-0000-0000-00009A200000}"/>
    <cellStyle name="Output 7 5" xfId="5135" xr:uid="{00000000-0005-0000-0000-00009B200000}"/>
    <cellStyle name="Output 7 6" xfId="8509" xr:uid="{00000000-0005-0000-0000-00009C200000}"/>
    <cellStyle name="Output 8" xfId="3502" xr:uid="{00000000-0005-0000-0000-00009D200000}"/>
    <cellStyle name="Output 8 2" xfId="3503" xr:uid="{00000000-0005-0000-0000-00009E200000}"/>
    <cellStyle name="Output 8 2 2" xfId="5140" xr:uid="{00000000-0005-0000-0000-00009F200000}"/>
    <cellStyle name="Output 8 2 3" xfId="8514" xr:uid="{00000000-0005-0000-0000-0000A0200000}"/>
    <cellStyle name="Output 8 3" xfId="3504" xr:uid="{00000000-0005-0000-0000-0000A1200000}"/>
    <cellStyle name="Output 8 3 2" xfId="5141" xr:uid="{00000000-0005-0000-0000-0000A2200000}"/>
    <cellStyle name="Output 8 3 3" xfId="8515" xr:uid="{00000000-0005-0000-0000-0000A3200000}"/>
    <cellStyle name="Output 8 4" xfId="3505" xr:uid="{00000000-0005-0000-0000-0000A4200000}"/>
    <cellStyle name="Output 8 4 2" xfId="5142" xr:uid="{00000000-0005-0000-0000-0000A5200000}"/>
    <cellStyle name="Output 8 4 3" xfId="8516" xr:uid="{00000000-0005-0000-0000-0000A6200000}"/>
    <cellStyle name="Output 8 5" xfId="5139" xr:uid="{00000000-0005-0000-0000-0000A7200000}"/>
    <cellStyle name="Output 8 6" xfId="8513" xr:uid="{00000000-0005-0000-0000-0000A8200000}"/>
    <cellStyle name="Output 9" xfId="3506" xr:uid="{00000000-0005-0000-0000-0000A9200000}"/>
    <cellStyle name="Output 9 2" xfId="3507" xr:uid="{00000000-0005-0000-0000-0000AA200000}"/>
    <cellStyle name="Output 9 2 2" xfId="5144" xr:uid="{00000000-0005-0000-0000-0000AB200000}"/>
    <cellStyle name="Output 9 2 3" xfId="8518" xr:uid="{00000000-0005-0000-0000-0000AC200000}"/>
    <cellStyle name="Output 9 3" xfId="3508" xr:uid="{00000000-0005-0000-0000-0000AD200000}"/>
    <cellStyle name="Output 9 3 2" xfId="5145" xr:uid="{00000000-0005-0000-0000-0000AE200000}"/>
    <cellStyle name="Output 9 3 3" xfId="8519" xr:uid="{00000000-0005-0000-0000-0000AF200000}"/>
    <cellStyle name="Output 9 4" xfId="3509" xr:uid="{00000000-0005-0000-0000-0000B0200000}"/>
    <cellStyle name="Output 9 4 2" xfId="5146" xr:uid="{00000000-0005-0000-0000-0000B1200000}"/>
    <cellStyle name="Output 9 4 3" xfId="8520" xr:uid="{00000000-0005-0000-0000-0000B2200000}"/>
    <cellStyle name="Output 9 5" xfId="5143" xr:uid="{00000000-0005-0000-0000-0000B3200000}"/>
    <cellStyle name="Output 9 6" xfId="8517" xr:uid="{00000000-0005-0000-0000-0000B4200000}"/>
    <cellStyle name="pequeno" xfId="768" xr:uid="{00000000-0005-0000-0000-0000B5200000}"/>
    <cellStyle name="PERCENT" xfId="769" xr:uid="{00000000-0005-0000-0000-0000B6200000}"/>
    <cellStyle name="Percent [2]" xfId="770" xr:uid="{00000000-0005-0000-0000-0000B7200000}"/>
    <cellStyle name="Percent 2" xfId="771" xr:uid="{00000000-0005-0000-0000-0000B8200000}"/>
    <cellStyle name="Percent 2 10" xfId="772" xr:uid="{00000000-0005-0000-0000-0000B9200000}"/>
    <cellStyle name="Percent 2 10 2" xfId="8786" xr:uid="{00000000-0005-0000-0000-0000BA200000}"/>
    <cellStyle name="Percent 2 11" xfId="773" xr:uid="{00000000-0005-0000-0000-0000BB200000}"/>
    <cellStyle name="Percent 2 11 2" xfId="3510" xr:uid="{00000000-0005-0000-0000-0000BC200000}"/>
    <cellStyle name="Percent 2 12" xfId="774" xr:uid="{00000000-0005-0000-0000-0000BD200000}"/>
    <cellStyle name="Percent 2 13" xfId="775" xr:uid="{00000000-0005-0000-0000-0000BE200000}"/>
    <cellStyle name="Percent 2 14" xfId="776" xr:uid="{00000000-0005-0000-0000-0000BF200000}"/>
    <cellStyle name="Percent 2 15" xfId="777" xr:uid="{00000000-0005-0000-0000-0000C0200000}"/>
    <cellStyle name="Percent 2 16" xfId="778" xr:uid="{00000000-0005-0000-0000-0000C1200000}"/>
    <cellStyle name="Percent 2 17" xfId="779" xr:uid="{00000000-0005-0000-0000-0000C2200000}"/>
    <cellStyle name="Percent 2 18" xfId="780" xr:uid="{00000000-0005-0000-0000-0000C3200000}"/>
    <cellStyle name="Percent 2 2" xfId="781" xr:uid="{00000000-0005-0000-0000-0000C4200000}"/>
    <cellStyle name="Percent 2 2 2" xfId="782" xr:uid="{00000000-0005-0000-0000-0000C5200000}"/>
    <cellStyle name="Percent 2 2 2 2" xfId="8787" xr:uid="{00000000-0005-0000-0000-0000C6200000}"/>
    <cellStyle name="Percent 2 2 2 3" xfId="3512" xr:uid="{00000000-0005-0000-0000-0000C7200000}"/>
    <cellStyle name="Percent 2 2 3" xfId="8788" xr:uid="{00000000-0005-0000-0000-0000C8200000}"/>
    <cellStyle name="Percent 2 2 4" xfId="3511" xr:uid="{00000000-0005-0000-0000-0000C9200000}"/>
    <cellStyle name="Percent 2 3" xfId="783" xr:uid="{00000000-0005-0000-0000-0000CA200000}"/>
    <cellStyle name="Percent 2 3 2" xfId="784" xr:uid="{00000000-0005-0000-0000-0000CB200000}"/>
    <cellStyle name="Percent 2 3 2 2" xfId="8789" xr:uid="{00000000-0005-0000-0000-0000CC200000}"/>
    <cellStyle name="Percent 2 3 2 3" xfId="3514" xr:uid="{00000000-0005-0000-0000-0000CD200000}"/>
    <cellStyle name="Percent 2 3 3" xfId="3513" xr:uid="{00000000-0005-0000-0000-0000CE200000}"/>
    <cellStyle name="Percent 2 4" xfId="785" xr:uid="{00000000-0005-0000-0000-0000CF200000}"/>
    <cellStyle name="Percent 2 4 2" xfId="3516" xr:uid="{00000000-0005-0000-0000-0000D0200000}"/>
    <cellStyle name="Percent 2 4 2 2" xfId="8790" xr:uid="{00000000-0005-0000-0000-0000D1200000}"/>
    <cellStyle name="Percent 2 4 3" xfId="8791" xr:uid="{00000000-0005-0000-0000-0000D2200000}"/>
    <cellStyle name="Percent 2 4 4" xfId="3515" xr:uid="{00000000-0005-0000-0000-0000D3200000}"/>
    <cellStyle name="Percent 2 5" xfId="786" xr:uid="{00000000-0005-0000-0000-0000D4200000}"/>
    <cellStyle name="Percent 2 5 2" xfId="8792" xr:uid="{00000000-0005-0000-0000-0000D5200000}"/>
    <cellStyle name="Percent 2 5 3" xfId="3517" xr:uid="{00000000-0005-0000-0000-0000D6200000}"/>
    <cellStyle name="Percent 2 6" xfId="787" xr:uid="{00000000-0005-0000-0000-0000D7200000}"/>
    <cellStyle name="Percent 2 6 2" xfId="8793" xr:uid="{00000000-0005-0000-0000-0000D8200000}"/>
    <cellStyle name="Percent 2 6 3" xfId="3518" xr:uid="{00000000-0005-0000-0000-0000D9200000}"/>
    <cellStyle name="Percent 2 7" xfId="788" xr:uid="{00000000-0005-0000-0000-0000DA200000}"/>
    <cellStyle name="Percent 2 7 2" xfId="789" xr:uid="{00000000-0005-0000-0000-0000DB200000}"/>
    <cellStyle name="Percent 2 7 2 2" xfId="790" xr:uid="{00000000-0005-0000-0000-0000DC200000}"/>
    <cellStyle name="Percent 2 7 2 3" xfId="791" xr:uid="{00000000-0005-0000-0000-0000DD200000}"/>
    <cellStyle name="Percent 2 7 2 4" xfId="792" xr:uid="{00000000-0005-0000-0000-0000DE200000}"/>
    <cellStyle name="Percent 2 7 3" xfId="793" xr:uid="{00000000-0005-0000-0000-0000DF200000}"/>
    <cellStyle name="Percent 2 7 4" xfId="794" xr:uid="{00000000-0005-0000-0000-0000E0200000}"/>
    <cellStyle name="Percent 2 8" xfId="795" xr:uid="{00000000-0005-0000-0000-0000E1200000}"/>
    <cellStyle name="Percent 2 8 2" xfId="8794" xr:uid="{00000000-0005-0000-0000-0000E2200000}"/>
    <cellStyle name="Percent 2 8 3" xfId="3519" xr:uid="{00000000-0005-0000-0000-0000E3200000}"/>
    <cellStyle name="Percent 2 9" xfId="796" xr:uid="{00000000-0005-0000-0000-0000E4200000}"/>
    <cellStyle name="Percent 2 9 2" xfId="8795" xr:uid="{00000000-0005-0000-0000-0000E5200000}"/>
    <cellStyle name="Percent 3" xfId="797" xr:uid="{00000000-0005-0000-0000-0000E6200000}"/>
    <cellStyle name="Percent 3 2" xfId="798" xr:uid="{00000000-0005-0000-0000-0000E7200000}"/>
    <cellStyle name="Percent 3 3" xfId="3520" xr:uid="{00000000-0005-0000-0000-0000E8200000}"/>
    <cellStyle name="Percent 4" xfId="799" xr:uid="{00000000-0005-0000-0000-0000E9200000}"/>
    <cellStyle name="Percent 4 2" xfId="3521" xr:uid="{00000000-0005-0000-0000-0000EA200000}"/>
    <cellStyle name="Percent 5" xfId="800" xr:uid="{00000000-0005-0000-0000-0000EB200000}"/>
    <cellStyle name="Percent 5 2" xfId="8552" xr:uid="{00000000-0005-0000-0000-0000EC200000}"/>
    <cellStyle name="Percent 5 3" xfId="3564" xr:uid="{00000000-0005-0000-0000-0000ED200000}"/>
    <cellStyle name="Percent 56" xfId="2555" xr:uid="{00000000-0005-0000-0000-0000EE200000}"/>
    <cellStyle name="Percent 6" xfId="801" xr:uid="{00000000-0005-0000-0000-0000EF200000}"/>
    <cellStyle name="Percent 6 2" xfId="8130" xr:uid="{00000000-0005-0000-0000-0000F0200000}"/>
    <cellStyle name="Percent 7" xfId="802" xr:uid="{00000000-0005-0000-0000-0000F1200000}"/>
    <cellStyle name="Percent 8" xfId="803" xr:uid="{00000000-0005-0000-0000-0000F2200000}"/>
    <cellStyle name="Percent 9" xfId="3074" xr:uid="{00000000-0005-0000-0000-0000F3200000}"/>
    <cellStyle name="Percentagem" xfId="804" builtinId="5"/>
    <cellStyle name="Percentagem 10" xfId="805" xr:uid="{00000000-0005-0000-0000-0000F5200000}"/>
    <cellStyle name="Percentagem 11" xfId="806" xr:uid="{00000000-0005-0000-0000-0000F6200000}"/>
    <cellStyle name="Percentagem 11 2" xfId="807" xr:uid="{00000000-0005-0000-0000-0000F7200000}"/>
    <cellStyle name="Percentagem 13" xfId="808" xr:uid="{00000000-0005-0000-0000-0000F8200000}"/>
    <cellStyle name="Percentagem 2" xfId="809" xr:uid="{00000000-0005-0000-0000-0000F9200000}"/>
    <cellStyle name="Percentagem 2 10" xfId="810" xr:uid="{00000000-0005-0000-0000-0000FA200000}"/>
    <cellStyle name="Percentagem 2 11" xfId="811" xr:uid="{00000000-0005-0000-0000-0000FB200000}"/>
    <cellStyle name="Percentagem 2 12" xfId="1134" xr:uid="{00000000-0005-0000-0000-0000FC200000}"/>
    <cellStyle name="Percentagem 2 2" xfId="812" xr:uid="{00000000-0005-0000-0000-0000FD200000}"/>
    <cellStyle name="Percentagem 2 2 2" xfId="1637" xr:uid="{00000000-0005-0000-0000-0000FE200000}"/>
    <cellStyle name="Percentagem 2 2 3" xfId="3522" xr:uid="{00000000-0005-0000-0000-0000FF200000}"/>
    <cellStyle name="Percentagem 2 2 4" xfId="1135" xr:uid="{00000000-0005-0000-0000-000000210000}"/>
    <cellStyle name="Percentagem 2 3" xfId="813" xr:uid="{00000000-0005-0000-0000-000001210000}"/>
    <cellStyle name="Percentagem 2 3 2" xfId="1137" xr:uid="{00000000-0005-0000-0000-000002210000}"/>
    <cellStyle name="Percentagem 2 3 2 2" xfId="1138" xr:uid="{00000000-0005-0000-0000-000003210000}"/>
    <cellStyle name="Percentagem 2 3 2 3" xfId="1139" xr:uid="{00000000-0005-0000-0000-000004210000}"/>
    <cellStyle name="Percentagem 2 3 2 4" xfId="1140" xr:uid="{00000000-0005-0000-0000-000005210000}"/>
    <cellStyle name="Percentagem 2 3 2 4 2" xfId="1141" xr:uid="{00000000-0005-0000-0000-000006210000}"/>
    <cellStyle name="Percentagem 2 3 2 4 2 2" xfId="2733" xr:uid="{00000000-0005-0000-0000-000007210000}"/>
    <cellStyle name="Percentagem 2 3 2 4 3" xfId="1142" xr:uid="{00000000-0005-0000-0000-000008210000}"/>
    <cellStyle name="Percentagem 2 3 3" xfId="1143" xr:uid="{00000000-0005-0000-0000-000009210000}"/>
    <cellStyle name="Percentagem 2 3 3 2" xfId="1144" xr:uid="{00000000-0005-0000-0000-00000A210000}"/>
    <cellStyle name="Percentagem 2 3 3 3" xfId="1145" xr:uid="{00000000-0005-0000-0000-00000B210000}"/>
    <cellStyle name="Percentagem 2 3 3 3 2" xfId="2734" xr:uid="{00000000-0005-0000-0000-00000C210000}"/>
    <cellStyle name="Percentagem 2 3 4" xfId="1146" xr:uid="{00000000-0005-0000-0000-00000D210000}"/>
    <cellStyle name="Percentagem 2 3 4 2" xfId="2735" xr:uid="{00000000-0005-0000-0000-00000E210000}"/>
    <cellStyle name="Percentagem 2 3 5" xfId="1678" xr:uid="{00000000-0005-0000-0000-00000F210000}"/>
    <cellStyle name="Percentagem 2 3 6" xfId="1136" xr:uid="{00000000-0005-0000-0000-000010210000}"/>
    <cellStyle name="Percentagem 2 4" xfId="814" xr:uid="{00000000-0005-0000-0000-000011210000}"/>
    <cellStyle name="Percentagem 2 4 2" xfId="1874" xr:uid="{00000000-0005-0000-0000-000012210000}"/>
    <cellStyle name="Percentagem 2 4 2 2" xfId="2737" xr:uid="{00000000-0005-0000-0000-000013210000}"/>
    <cellStyle name="Percentagem 2 4 2 3" xfId="7121" xr:uid="{00000000-0005-0000-0000-000014210000}"/>
    <cellStyle name="Percentagem 2 4 3" xfId="2736" xr:uid="{00000000-0005-0000-0000-000015210000}"/>
    <cellStyle name="Percentagem 2 4 3 2" xfId="3764" xr:uid="{00000000-0005-0000-0000-000016210000}"/>
    <cellStyle name="Percentagem 2 4 3 3" xfId="7923" xr:uid="{00000000-0005-0000-0000-000017210000}"/>
    <cellStyle name="Percentagem 2 4 4" xfId="3014" xr:uid="{00000000-0005-0000-0000-000018210000}"/>
    <cellStyle name="Percentagem 2 4 4 2" xfId="8070" xr:uid="{00000000-0005-0000-0000-000019210000}"/>
    <cellStyle name="Percentagem 2 4 5" xfId="3705" xr:uid="{00000000-0005-0000-0000-00001A210000}"/>
    <cellStyle name="Percentagem 2 4 6" xfId="3784" xr:uid="{00000000-0005-0000-0000-00001B210000}"/>
    <cellStyle name="Percentagem 2 4 6 2" xfId="8695" xr:uid="{00000000-0005-0000-0000-00001C210000}"/>
    <cellStyle name="Percentagem 2 4 7" xfId="2813" xr:uid="{00000000-0005-0000-0000-00001D210000}"/>
    <cellStyle name="Percentagem 2 4 8" xfId="6410" xr:uid="{00000000-0005-0000-0000-00001E210000}"/>
    <cellStyle name="Percentagem 2 4 9" xfId="1155" xr:uid="{00000000-0005-0000-0000-00001F210000}"/>
    <cellStyle name="Percentagem 2 5" xfId="815" xr:uid="{00000000-0005-0000-0000-000020210000}"/>
    <cellStyle name="Percentagem 2 5 2" xfId="2739" xr:uid="{00000000-0005-0000-0000-000021210000}"/>
    <cellStyle name="Percentagem 2 5 3" xfId="2738" xr:uid="{00000000-0005-0000-0000-000022210000}"/>
    <cellStyle name="Percentagem 2 5 3 2" xfId="7924" xr:uid="{00000000-0005-0000-0000-000023210000}"/>
    <cellStyle name="Percentagem 2 5 4" xfId="3071" xr:uid="{00000000-0005-0000-0000-000024210000}"/>
    <cellStyle name="Percentagem 2 5 4 2" xfId="8127" xr:uid="{00000000-0005-0000-0000-000025210000}"/>
    <cellStyle name="Percentagem 2 5 5" xfId="3804" xr:uid="{00000000-0005-0000-0000-000026210000}"/>
    <cellStyle name="Percentagem 2 5 5 2" xfId="8715" xr:uid="{00000000-0005-0000-0000-000027210000}"/>
    <cellStyle name="Percentagem 2 5 6" xfId="2878" xr:uid="{00000000-0005-0000-0000-000028210000}"/>
    <cellStyle name="Percentagem 2 5 7" xfId="2090" xr:uid="{00000000-0005-0000-0000-000029210000}"/>
    <cellStyle name="Percentagem 2 6" xfId="816" xr:uid="{00000000-0005-0000-0000-00002A210000}"/>
    <cellStyle name="Percentagem 2 6 2" xfId="2740" xr:uid="{00000000-0005-0000-0000-00002B210000}"/>
    <cellStyle name="Percentagem 2 6 2 2" xfId="2942" xr:uid="{00000000-0005-0000-0000-00002C210000}"/>
    <cellStyle name="Percentagem 2 6 2 2 2" xfId="7998" xr:uid="{00000000-0005-0000-0000-00002D210000}"/>
    <cellStyle name="Percentagem 2 6 2 3" xfId="3037" xr:uid="{00000000-0005-0000-0000-00002E210000}"/>
    <cellStyle name="Percentagem 2 6 2 3 2" xfId="8093" xr:uid="{00000000-0005-0000-0000-00002F210000}"/>
    <cellStyle name="Percentagem 2 6 2 4" xfId="3850" xr:uid="{00000000-0005-0000-0000-000030210000}"/>
    <cellStyle name="Percentagem 2 6 2 4 2" xfId="8761" xr:uid="{00000000-0005-0000-0000-000031210000}"/>
    <cellStyle name="Percentagem 2 6 2 5" xfId="2840" xr:uid="{00000000-0005-0000-0000-000032210000}"/>
    <cellStyle name="Percentagem 2 6 2 6" xfId="7925" xr:uid="{00000000-0005-0000-0000-000033210000}"/>
    <cellStyle name="Percentagem 2 6 3" xfId="2943" xr:uid="{00000000-0005-0000-0000-000034210000}"/>
    <cellStyle name="Percentagem 2 6 3 2" xfId="7999" xr:uid="{00000000-0005-0000-0000-000035210000}"/>
    <cellStyle name="Percentagem 2 6 4" xfId="3038" xr:uid="{00000000-0005-0000-0000-000036210000}"/>
    <cellStyle name="Percentagem 2 6 4 2" xfId="8094" xr:uid="{00000000-0005-0000-0000-000037210000}"/>
    <cellStyle name="Percentagem 2 6 5" xfId="3843" xr:uid="{00000000-0005-0000-0000-000038210000}"/>
    <cellStyle name="Percentagem 2 6 5 2" xfId="8754" xr:uid="{00000000-0005-0000-0000-000039210000}"/>
    <cellStyle name="Percentagem 2 6 6" xfId="2841" xr:uid="{00000000-0005-0000-0000-00003A210000}"/>
    <cellStyle name="Percentagem 2 6 7" xfId="7779" xr:uid="{00000000-0005-0000-0000-00003B210000}"/>
    <cellStyle name="Percentagem 2 6 8" xfId="2556" xr:uid="{00000000-0005-0000-0000-00003C210000}"/>
    <cellStyle name="Percentagem 2 7" xfId="817" xr:uid="{00000000-0005-0000-0000-00003D210000}"/>
    <cellStyle name="Percentagem 2 7 2" xfId="2763" xr:uid="{00000000-0005-0000-0000-00003E210000}"/>
    <cellStyle name="Percentagem 2 7 3" xfId="7361" xr:uid="{00000000-0005-0000-0000-00003F210000}"/>
    <cellStyle name="Percentagem 2 7 4" xfId="2118" xr:uid="{00000000-0005-0000-0000-000040210000}"/>
    <cellStyle name="Percentagem 2 8" xfId="818" xr:uid="{00000000-0005-0000-0000-000041210000}"/>
    <cellStyle name="Percentagem 2 9" xfId="819" xr:uid="{00000000-0005-0000-0000-000042210000}"/>
    <cellStyle name="Percentagem 3" xfId="820" xr:uid="{00000000-0005-0000-0000-000043210000}"/>
    <cellStyle name="Percentagem 3 2" xfId="821" xr:uid="{00000000-0005-0000-0000-000044210000}"/>
    <cellStyle name="Percentagem 3 2 2" xfId="2741" xr:uid="{00000000-0005-0000-0000-000045210000}"/>
    <cellStyle name="Percentagem 3 2 3" xfId="8796" xr:uid="{00000000-0005-0000-0000-000046210000}"/>
    <cellStyle name="Percentagem 3 2 4" xfId="1148" xr:uid="{00000000-0005-0000-0000-000047210000}"/>
    <cellStyle name="Percentagem 3 3" xfId="2401" xr:uid="{00000000-0005-0000-0000-000048210000}"/>
    <cellStyle name="Percentagem 3 3 2" xfId="2742" xr:uid="{00000000-0005-0000-0000-000049210000}"/>
    <cellStyle name="Percentagem 3 3 3" xfId="7631" xr:uid="{00000000-0005-0000-0000-00004A210000}"/>
    <cellStyle name="Percentagem 3 4" xfId="2764" xr:uid="{00000000-0005-0000-0000-00004B210000}"/>
    <cellStyle name="Percentagem 3 4 2" xfId="7940" xr:uid="{00000000-0005-0000-0000-00004C210000}"/>
    <cellStyle name="Percentagem 3 5" xfId="2759" xr:uid="{00000000-0005-0000-0000-00004D210000}"/>
    <cellStyle name="Percentagem 3 6" xfId="2755" xr:uid="{00000000-0005-0000-0000-00004E210000}"/>
    <cellStyle name="Percentagem 3 7" xfId="1147" xr:uid="{00000000-0005-0000-0000-00004F210000}"/>
    <cellStyle name="Percentagem 4" xfId="822" xr:uid="{00000000-0005-0000-0000-000050210000}"/>
    <cellStyle name="Percentagem 4 10" xfId="823" xr:uid="{00000000-0005-0000-0000-000051210000}"/>
    <cellStyle name="Percentagem 4 2" xfId="824" xr:uid="{00000000-0005-0000-0000-000052210000}"/>
    <cellStyle name="Percentagem 4 2 2" xfId="2744" xr:uid="{00000000-0005-0000-0000-000053210000}"/>
    <cellStyle name="Percentagem 4 2 2 2" xfId="2941" xr:uid="{00000000-0005-0000-0000-000054210000}"/>
    <cellStyle name="Percentagem 4 2 2 2 2" xfId="7997" xr:uid="{00000000-0005-0000-0000-000055210000}"/>
    <cellStyle name="Percentagem 4 2 2 3" xfId="3034" xr:uid="{00000000-0005-0000-0000-000056210000}"/>
    <cellStyle name="Percentagem 4 2 2 3 2" xfId="8090" xr:uid="{00000000-0005-0000-0000-000057210000}"/>
    <cellStyle name="Percentagem 4 2 2 4" xfId="3774" xr:uid="{00000000-0005-0000-0000-000058210000}"/>
    <cellStyle name="Percentagem 4 2 2 4 2" xfId="8685" xr:uid="{00000000-0005-0000-0000-000059210000}"/>
    <cellStyle name="Percentagem 4 2 2 5" xfId="2836" xr:uid="{00000000-0005-0000-0000-00005A210000}"/>
    <cellStyle name="Percentagem 4 2 2 6" xfId="7927" xr:uid="{00000000-0005-0000-0000-00005B210000}"/>
    <cellStyle name="Percentagem 4 2 3" xfId="2743" xr:uid="{00000000-0005-0000-0000-00005C210000}"/>
    <cellStyle name="Percentagem 4 2 3 2" xfId="7926" xr:uid="{00000000-0005-0000-0000-00005D210000}"/>
    <cellStyle name="Percentagem 4 2 4" xfId="3035" xr:uid="{00000000-0005-0000-0000-00005E210000}"/>
    <cellStyle name="Percentagem 4 2 4 2" xfId="8091" xr:uid="{00000000-0005-0000-0000-00005F210000}"/>
    <cellStyle name="Percentagem 4 2 5" xfId="3742" xr:uid="{00000000-0005-0000-0000-000060210000}"/>
    <cellStyle name="Percentagem 4 2 5 2" xfId="8656" xr:uid="{00000000-0005-0000-0000-000061210000}"/>
    <cellStyle name="Percentagem 4 2 6" xfId="2837" xr:uid="{00000000-0005-0000-0000-000062210000}"/>
    <cellStyle name="Percentagem 4 2 7" xfId="7519" xr:uid="{00000000-0005-0000-0000-000063210000}"/>
    <cellStyle name="Percentagem 4 2 8" xfId="2286" xr:uid="{00000000-0005-0000-0000-000064210000}"/>
    <cellStyle name="Percentagem 4 3" xfId="825" xr:uid="{00000000-0005-0000-0000-000065210000}"/>
    <cellStyle name="Percentagem 4 3 2" xfId="2940" xr:uid="{00000000-0005-0000-0000-000066210000}"/>
    <cellStyle name="Percentagem 4 3 2 2" xfId="7996" xr:uid="{00000000-0005-0000-0000-000067210000}"/>
    <cellStyle name="Percentagem 4 3 3" xfId="3033" xr:uid="{00000000-0005-0000-0000-000068210000}"/>
    <cellStyle name="Percentagem 4 3 3 2" xfId="8089" xr:uid="{00000000-0005-0000-0000-000069210000}"/>
    <cellStyle name="Percentagem 4 3 4" xfId="3830" xr:uid="{00000000-0005-0000-0000-00006A210000}"/>
    <cellStyle name="Percentagem 4 3 4 2" xfId="8741" xr:uid="{00000000-0005-0000-0000-00006B210000}"/>
    <cellStyle name="Percentagem 4 3 5" xfId="2835" xr:uid="{00000000-0005-0000-0000-00006C210000}"/>
    <cellStyle name="Percentagem 4 3 6" xfId="7928" xr:uid="{00000000-0005-0000-0000-00006D210000}"/>
    <cellStyle name="Percentagem 4 3 7" xfId="2745" xr:uid="{00000000-0005-0000-0000-00006E210000}"/>
    <cellStyle name="Percentagem 4 4" xfId="826" xr:uid="{00000000-0005-0000-0000-00006F210000}"/>
    <cellStyle name="Percentagem 4 5" xfId="827" xr:uid="{00000000-0005-0000-0000-000070210000}"/>
    <cellStyle name="Percentagem 4 5 2" xfId="7830" xr:uid="{00000000-0005-0000-0000-000071210000}"/>
    <cellStyle name="Percentagem 4 5 3" xfId="2613" xr:uid="{00000000-0005-0000-0000-000072210000}"/>
    <cellStyle name="Percentagem 4 6" xfId="828" xr:uid="{00000000-0005-0000-0000-000073210000}"/>
    <cellStyle name="Percentagem 4 6 2" xfId="8092" xr:uid="{00000000-0005-0000-0000-000074210000}"/>
    <cellStyle name="Percentagem 4 6 3" xfId="3036" xr:uid="{00000000-0005-0000-0000-000075210000}"/>
    <cellStyle name="Percentagem 4 7" xfId="829" xr:uid="{00000000-0005-0000-0000-000076210000}"/>
    <cellStyle name="Percentagem 4 7 2" xfId="8678" xr:uid="{00000000-0005-0000-0000-000077210000}"/>
    <cellStyle name="Percentagem 4 7 3" xfId="3766" xr:uid="{00000000-0005-0000-0000-000078210000}"/>
    <cellStyle name="Percentagem 4 8" xfId="830" xr:uid="{00000000-0005-0000-0000-000079210000}"/>
    <cellStyle name="Percentagem 4 8 2" xfId="2838" xr:uid="{00000000-0005-0000-0000-00007A210000}"/>
    <cellStyle name="Percentagem 4 9" xfId="831" xr:uid="{00000000-0005-0000-0000-00007B210000}"/>
    <cellStyle name="Percentagem 5" xfId="832" xr:uid="{00000000-0005-0000-0000-00007C210000}"/>
    <cellStyle name="Percentagem 5 10" xfId="833" xr:uid="{00000000-0005-0000-0000-00007D210000}"/>
    <cellStyle name="Percentagem 5 11" xfId="834" xr:uid="{00000000-0005-0000-0000-00007E210000}"/>
    <cellStyle name="Percentagem 5 12" xfId="835" xr:uid="{00000000-0005-0000-0000-00007F210000}"/>
    <cellStyle name="Percentagem 5 13" xfId="2659" xr:uid="{00000000-0005-0000-0000-000080210000}"/>
    <cellStyle name="Percentagem 5 2" xfId="836" xr:uid="{00000000-0005-0000-0000-000081210000}"/>
    <cellStyle name="Percentagem 5 2 2" xfId="2939" xr:uid="{00000000-0005-0000-0000-000082210000}"/>
    <cellStyle name="Percentagem 5 2 2 2" xfId="7995" xr:uid="{00000000-0005-0000-0000-000083210000}"/>
    <cellStyle name="Percentagem 5 2 3" xfId="3032" xr:uid="{00000000-0005-0000-0000-000084210000}"/>
    <cellStyle name="Percentagem 5 2 3 2" xfId="8088" xr:uid="{00000000-0005-0000-0000-000085210000}"/>
    <cellStyle name="Percentagem 5 2 4" xfId="3723" xr:uid="{00000000-0005-0000-0000-000086210000}"/>
    <cellStyle name="Percentagem 5 2 4 2" xfId="8637" xr:uid="{00000000-0005-0000-0000-000087210000}"/>
    <cellStyle name="Percentagem 5 2 5" xfId="2834" xr:uid="{00000000-0005-0000-0000-000088210000}"/>
    <cellStyle name="Percentagem 5 2 6" xfId="7929" xr:uid="{00000000-0005-0000-0000-000089210000}"/>
    <cellStyle name="Percentagem 5 3" xfId="837" xr:uid="{00000000-0005-0000-0000-00008A210000}"/>
    <cellStyle name="Percentagem 5 3 2" xfId="3523" xr:uid="{00000000-0005-0000-0000-00008B210000}"/>
    <cellStyle name="Percentagem 5 3 3" xfId="7829" xr:uid="{00000000-0005-0000-0000-00008C210000}"/>
    <cellStyle name="Percentagem 5 3 4" xfId="2612" xr:uid="{00000000-0005-0000-0000-00008D210000}"/>
    <cellStyle name="Percentagem 5 4" xfId="838" xr:uid="{00000000-0005-0000-0000-00008E210000}"/>
    <cellStyle name="Percentagem 5 4 2" xfId="2756" xr:uid="{00000000-0005-0000-0000-00008F210000}"/>
    <cellStyle name="Percentagem 5 5" xfId="839" xr:uid="{00000000-0005-0000-0000-000090210000}"/>
    <cellStyle name="Percentagem 5 5 2" xfId="7869" xr:uid="{00000000-0005-0000-0000-000091210000}"/>
    <cellStyle name="Percentagem 5 6" xfId="840" xr:uid="{00000000-0005-0000-0000-000092210000}"/>
    <cellStyle name="Percentagem 5 7" xfId="841" xr:uid="{00000000-0005-0000-0000-000093210000}"/>
    <cellStyle name="Percentagem 5 8" xfId="842" xr:uid="{00000000-0005-0000-0000-000094210000}"/>
    <cellStyle name="Percentagem 5 9" xfId="843" xr:uid="{00000000-0005-0000-0000-000095210000}"/>
    <cellStyle name="Percentagem 6" xfId="844" xr:uid="{00000000-0005-0000-0000-000096210000}"/>
    <cellStyle name="Percentagem 6 10" xfId="7842" xr:uid="{00000000-0005-0000-0000-000097210000}"/>
    <cellStyle name="Percentagem 6 11" xfId="2625" xr:uid="{00000000-0005-0000-0000-000098210000}"/>
    <cellStyle name="Percentagem 6 2" xfId="845" xr:uid="{00000000-0005-0000-0000-000099210000}"/>
    <cellStyle name="Percentagem 6 2 2" xfId="2747" xr:uid="{00000000-0005-0000-0000-00009A210000}"/>
    <cellStyle name="Percentagem 6 2 2 2" xfId="2936" xr:uid="{00000000-0005-0000-0000-00009B210000}"/>
    <cellStyle name="Percentagem 6 2 2 2 2" xfId="7992" xr:uid="{00000000-0005-0000-0000-00009C210000}"/>
    <cellStyle name="Percentagem 6 2 2 3" xfId="3029" xr:uid="{00000000-0005-0000-0000-00009D210000}"/>
    <cellStyle name="Percentagem 6 2 2 3 2" xfId="8085" xr:uid="{00000000-0005-0000-0000-00009E210000}"/>
    <cellStyle name="Percentagem 6 2 2 4" xfId="3831" xr:uid="{00000000-0005-0000-0000-00009F210000}"/>
    <cellStyle name="Percentagem 6 2 2 4 2" xfId="8742" xr:uid="{00000000-0005-0000-0000-0000A0210000}"/>
    <cellStyle name="Percentagem 6 2 2 5" xfId="2831" xr:uid="{00000000-0005-0000-0000-0000A1210000}"/>
    <cellStyle name="Percentagem 6 2 2 6" xfId="7931" xr:uid="{00000000-0005-0000-0000-0000A2210000}"/>
    <cellStyle name="Percentagem 6 2 3" xfId="2937" xr:uid="{00000000-0005-0000-0000-0000A3210000}"/>
    <cellStyle name="Percentagem 6 2 3 2" xfId="7993" xr:uid="{00000000-0005-0000-0000-0000A4210000}"/>
    <cellStyle name="Percentagem 6 2 4" xfId="3030" xr:uid="{00000000-0005-0000-0000-0000A5210000}"/>
    <cellStyle name="Percentagem 6 2 4 2" xfId="8086" xr:uid="{00000000-0005-0000-0000-0000A6210000}"/>
    <cellStyle name="Percentagem 6 2 5" xfId="3741" xr:uid="{00000000-0005-0000-0000-0000A7210000}"/>
    <cellStyle name="Percentagem 6 2 5 2" xfId="8655" xr:uid="{00000000-0005-0000-0000-0000A8210000}"/>
    <cellStyle name="Percentagem 6 2 6" xfId="2832" xr:uid="{00000000-0005-0000-0000-0000A9210000}"/>
    <cellStyle name="Percentagem 6 2 7" xfId="7930" xr:uid="{00000000-0005-0000-0000-0000AA210000}"/>
    <cellStyle name="Percentagem 6 2 8" xfId="2746" xr:uid="{00000000-0005-0000-0000-0000AB210000}"/>
    <cellStyle name="Percentagem 6 3" xfId="2748" xr:uid="{00000000-0005-0000-0000-0000AC210000}"/>
    <cellStyle name="Percentagem 6 3 2" xfId="2935" xr:uid="{00000000-0005-0000-0000-0000AD210000}"/>
    <cellStyle name="Percentagem 6 3 2 2" xfId="7991" xr:uid="{00000000-0005-0000-0000-0000AE210000}"/>
    <cellStyle name="Percentagem 6 3 3" xfId="3028" xr:uid="{00000000-0005-0000-0000-0000AF210000}"/>
    <cellStyle name="Percentagem 6 3 3 2" xfId="8084" xr:uid="{00000000-0005-0000-0000-0000B0210000}"/>
    <cellStyle name="Percentagem 6 3 4" xfId="3816" xr:uid="{00000000-0005-0000-0000-0000B1210000}"/>
    <cellStyle name="Percentagem 6 3 4 2" xfId="8727" xr:uid="{00000000-0005-0000-0000-0000B2210000}"/>
    <cellStyle name="Percentagem 6 3 5" xfId="2830" xr:uid="{00000000-0005-0000-0000-0000B3210000}"/>
    <cellStyle name="Percentagem 6 3 6" xfId="7932" xr:uid="{00000000-0005-0000-0000-0000B4210000}"/>
    <cellStyle name="Percentagem 6 4" xfId="2938" xr:uid="{00000000-0005-0000-0000-0000B5210000}"/>
    <cellStyle name="Percentagem 6 4 2" xfId="7994" xr:uid="{00000000-0005-0000-0000-0000B6210000}"/>
    <cellStyle name="Percentagem 6 5" xfId="3031" xr:uid="{00000000-0005-0000-0000-0000B7210000}"/>
    <cellStyle name="Percentagem 6 5 2" xfId="8087" xr:uid="{00000000-0005-0000-0000-0000B8210000}"/>
    <cellStyle name="Percentagem 6 6" xfId="3524" xr:uid="{00000000-0005-0000-0000-0000B9210000}"/>
    <cellStyle name="Percentagem 6 7" xfId="3840" xr:uid="{00000000-0005-0000-0000-0000BA210000}"/>
    <cellStyle name="Percentagem 6 7 2" xfId="8751" xr:uid="{00000000-0005-0000-0000-0000BB210000}"/>
    <cellStyle name="Percentagem 6 8" xfId="2833" xr:uid="{00000000-0005-0000-0000-0000BC210000}"/>
    <cellStyle name="Percentagem 6 9" xfId="2880" xr:uid="{00000000-0005-0000-0000-0000BD210000}"/>
    <cellStyle name="Percentagem 7" xfId="846" xr:uid="{00000000-0005-0000-0000-0000BE210000}"/>
    <cellStyle name="Percentagem 7 2" xfId="2749" xr:uid="{00000000-0005-0000-0000-0000BF210000}"/>
    <cellStyle name="Percentagem 7 2 2" xfId="2933" xr:uid="{00000000-0005-0000-0000-0000C0210000}"/>
    <cellStyle name="Percentagem 7 2 2 2" xfId="7989" xr:uid="{00000000-0005-0000-0000-0000C1210000}"/>
    <cellStyle name="Percentagem 7 2 3" xfId="3026" xr:uid="{00000000-0005-0000-0000-0000C2210000}"/>
    <cellStyle name="Percentagem 7 2 3 2" xfId="8082" xr:uid="{00000000-0005-0000-0000-0000C3210000}"/>
    <cellStyle name="Percentagem 7 2 4" xfId="3728" xr:uid="{00000000-0005-0000-0000-0000C4210000}"/>
    <cellStyle name="Percentagem 7 2 4 2" xfId="8642" xr:uid="{00000000-0005-0000-0000-0000C5210000}"/>
    <cellStyle name="Percentagem 7 2 5" xfId="2828" xr:uid="{00000000-0005-0000-0000-0000C6210000}"/>
    <cellStyle name="Percentagem 7 2 6" xfId="7934" xr:uid="{00000000-0005-0000-0000-0000C7210000}"/>
    <cellStyle name="Percentagem 7 3" xfId="2934" xr:uid="{00000000-0005-0000-0000-0000C8210000}"/>
    <cellStyle name="Percentagem 7 3 2" xfId="7990" xr:uid="{00000000-0005-0000-0000-0000C9210000}"/>
    <cellStyle name="Percentagem 7 4" xfId="3027" xr:uid="{00000000-0005-0000-0000-0000CA210000}"/>
    <cellStyle name="Percentagem 7 4 2" xfId="8083" xr:uid="{00000000-0005-0000-0000-0000CB210000}"/>
    <cellStyle name="Percentagem 7 5" xfId="3787" xr:uid="{00000000-0005-0000-0000-0000CC210000}"/>
    <cellStyle name="Percentagem 7 5 2" xfId="8698" xr:uid="{00000000-0005-0000-0000-0000CD210000}"/>
    <cellStyle name="Percentagem 7 6" xfId="2829" xr:uid="{00000000-0005-0000-0000-0000CE210000}"/>
    <cellStyle name="Percentagem 7 7" xfId="7933" xr:uid="{00000000-0005-0000-0000-0000CF210000}"/>
    <cellStyle name="Percentagem 8" xfId="847" xr:uid="{00000000-0005-0000-0000-0000D0210000}"/>
    <cellStyle name="Percentagem 8 2" xfId="2932" xr:uid="{00000000-0005-0000-0000-0000D1210000}"/>
    <cellStyle name="Percentagem 8 2 2" xfId="7988" xr:uid="{00000000-0005-0000-0000-0000D2210000}"/>
    <cellStyle name="Percentagem 8 3" xfId="3025" xr:uid="{00000000-0005-0000-0000-0000D3210000}"/>
    <cellStyle name="Percentagem 8 3 2" xfId="8081" xr:uid="{00000000-0005-0000-0000-0000D4210000}"/>
    <cellStyle name="Percentagem 8 4" xfId="3807" xr:uid="{00000000-0005-0000-0000-0000D5210000}"/>
    <cellStyle name="Percentagem 8 4 2" xfId="8718" xr:uid="{00000000-0005-0000-0000-0000D6210000}"/>
    <cellStyle name="Percentagem 8 5" xfId="2827" xr:uid="{00000000-0005-0000-0000-0000D7210000}"/>
    <cellStyle name="Percentagem 8 6" xfId="7935" xr:uid="{00000000-0005-0000-0000-0000D8210000}"/>
    <cellStyle name="Percentagem 9" xfId="848" xr:uid="{00000000-0005-0000-0000-0000D9210000}"/>
    <cellStyle name="Percentagem 9 2" xfId="849" xr:uid="{00000000-0005-0000-0000-0000DA210000}"/>
    <cellStyle name="PercentSales" xfId="850" xr:uid="{00000000-0005-0000-0000-0000DB210000}"/>
    <cellStyle name="Ratio" xfId="851" xr:uid="{00000000-0005-0000-0000-0000DC210000}"/>
    <cellStyle name="Red font" xfId="852" xr:uid="{00000000-0005-0000-0000-0000DD210000}"/>
    <cellStyle name="Result" xfId="2662" xr:uid="{00000000-0005-0000-0000-0000DE210000}"/>
    <cellStyle name="Result 2" xfId="8875" xr:uid="{00000000-0005-0000-0000-0000DF210000}"/>
    <cellStyle name="Result2" xfId="2495" xr:uid="{00000000-0005-0000-0000-0000E0210000}"/>
    <cellStyle name="Result2 2" xfId="8873" xr:uid="{00000000-0005-0000-0000-0000E1210000}"/>
    <cellStyle name="RInfo" xfId="853" xr:uid="{00000000-0005-0000-0000-0000E2210000}"/>
    <cellStyle name="Saída 2" xfId="854" xr:uid="{00000000-0005-0000-0000-0000E3210000}"/>
    <cellStyle name="Saída 2 2" xfId="6288" xr:uid="{00000000-0005-0000-0000-0000E4210000}"/>
    <cellStyle name="Saída 3" xfId="855" xr:uid="{00000000-0005-0000-0000-0000E5210000}"/>
    <cellStyle name="Saída 3 2" xfId="1006" xr:uid="{00000000-0005-0000-0000-0000E6210000}"/>
    <cellStyle name="Saída 4" xfId="856" xr:uid="{00000000-0005-0000-0000-0000E7210000}"/>
    <cellStyle name="SAPBEXaggData" xfId="6232" xr:uid="{00000000-0005-0000-0000-0000E8210000}"/>
    <cellStyle name="SAPBEXaggData 2" xfId="8797" xr:uid="{00000000-0005-0000-0000-0000E9210000}"/>
    <cellStyle name="SAPBEXaggData 2 2" xfId="8798" xr:uid="{00000000-0005-0000-0000-0000EA210000}"/>
    <cellStyle name="SAPBEXaggDataEmph" xfId="6233" xr:uid="{00000000-0005-0000-0000-0000EB210000}"/>
    <cellStyle name="SAPBEXaggDataEmph 2" xfId="8799" xr:uid="{00000000-0005-0000-0000-0000EC210000}"/>
    <cellStyle name="SAPBEXaggDataEmph 2 2" xfId="8800" xr:uid="{00000000-0005-0000-0000-0000ED210000}"/>
    <cellStyle name="SAPBEXaggItem" xfId="6234" xr:uid="{00000000-0005-0000-0000-0000EE210000}"/>
    <cellStyle name="SAPBEXaggItem 2" xfId="8801" xr:uid="{00000000-0005-0000-0000-0000EF210000}"/>
    <cellStyle name="SAPBEXaggItem 2 2" xfId="8802" xr:uid="{00000000-0005-0000-0000-0000F0210000}"/>
    <cellStyle name="SAPBEXaggItemX" xfId="6235" xr:uid="{00000000-0005-0000-0000-0000F1210000}"/>
    <cellStyle name="SAPBEXaggItemX 2" xfId="8803" xr:uid="{00000000-0005-0000-0000-0000F2210000}"/>
    <cellStyle name="SAPBEXaggItemX 2 2" xfId="8804" xr:uid="{00000000-0005-0000-0000-0000F3210000}"/>
    <cellStyle name="SAPBEXchaText" xfId="6236" xr:uid="{00000000-0005-0000-0000-0000F4210000}"/>
    <cellStyle name="SAPBEXchaText 2" xfId="8805" xr:uid="{00000000-0005-0000-0000-0000F5210000}"/>
    <cellStyle name="SAPBEXchaText 2 2" xfId="8806" xr:uid="{00000000-0005-0000-0000-0000F6210000}"/>
    <cellStyle name="SAPBEXexcBad7" xfId="6237" xr:uid="{00000000-0005-0000-0000-0000F7210000}"/>
    <cellStyle name="SAPBEXexcBad7 2" xfId="8807" xr:uid="{00000000-0005-0000-0000-0000F8210000}"/>
    <cellStyle name="SAPBEXexcBad7 2 2" xfId="8808" xr:uid="{00000000-0005-0000-0000-0000F9210000}"/>
    <cellStyle name="SAPBEXexcBad8" xfId="6238" xr:uid="{00000000-0005-0000-0000-0000FA210000}"/>
    <cellStyle name="SAPBEXexcBad8 2" xfId="8809" xr:uid="{00000000-0005-0000-0000-0000FB210000}"/>
    <cellStyle name="SAPBEXexcBad8 2 2" xfId="8810" xr:uid="{00000000-0005-0000-0000-0000FC210000}"/>
    <cellStyle name="SAPBEXexcBad9" xfId="6239" xr:uid="{00000000-0005-0000-0000-0000FD210000}"/>
    <cellStyle name="SAPBEXexcBad9 2" xfId="8811" xr:uid="{00000000-0005-0000-0000-0000FE210000}"/>
    <cellStyle name="SAPBEXexcBad9 2 2" xfId="8812" xr:uid="{00000000-0005-0000-0000-0000FF210000}"/>
    <cellStyle name="SAPBEXexcCritical4" xfId="6240" xr:uid="{00000000-0005-0000-0000-000000220000}"/>
    <cellStyle name="SAPBEXexcCritical4 2" xfId="8813" xr:uid="{00000000-0005-0000-0000-000001220000}"/>
    <cellStyle name="SAPBEXexcCritical4 2 2" xfId="8814" xr:uid="{00000000-0005-0000-0000-000002220000}"/>
    <cellStyle name="SAPBEXexcCritical5" xfId="6241" xr:uid="{00000000-0005-0000-0000-000003220000}"/>
    <cellStyle name="SAPBEXexcCritical5 2" xfId="8815" xr:uid="{00000000-0005-0000-0000-000004220000}"/>
    <cellStyle name="SAPBEXexcCritical5 2 2" xfId="8816" xr:uid="{00000000-0005-0000-0000-000005220000}"/>
    <cellStyle name="SAPBEXexcCritical6" xfId="6242" xr:uid="{00000000-0005-0000-0000-000006220000}"/>
    <cellStyle name="SAPBEXexcCritical6 2" xfId="8817" xr:uid="{00000000-0005-0000-0000-000007220000}"/>
    <cellStyle name="SAPBEXexcCritical6 2 2" xfId="8818" xr:uid="{00000000-0005-0000-0000-000008220000}"/>
    <cellStyle name="SAPBEXexcGood1" xfId="6243" xr:uid="{00000000-0005-0000-0000-000009220000}"/>
    <cellStyle name="SAPBEXexcGood1 2" xfId="8819" xr:uid="{00000000-0005-0000-0000-00000A220000}"/>
    <cellStyle name="SAPBEXexcGood1 2 2" xfId="8820" xr:uid="{00000000-0005-0000-0000-00000B220000}"/>
    <cellStyle name="SAPBEXexcGood2" xfId="6244" xr:uid="{00000000-0005-0000-0000-00000C220000}"/>
    <cellStyle name="SAPBEXexcGood2 2" xfId="8821" xr:uid="{00000000-0005-0000-0000-00000D220000}"/>
    <cellStyle name="SAPBEXexcGood2 2 2" xfId="8822" xr:uid="{00000000-0005-0000-0000-00000E220000}"/>
    <cellStyle name="SAPBEXexcGood3" xfId="6245" xr:uid="{00000000-0005-0000-0000-00000F220000}"/>
    <cellStyle name="SAPBEXexcGood3 2" xfId="8823" xr:uid="{00000000-0005-0000-0000-000010220000}"/>
    <cellStyle name="SAPBEXexcGood3 2 2" xfId="8824" xr:uid="{00000000-0005-0000-0000-000011220000}"/>
    <cellStyle name="SAPBEXfilterDrill" xfId="6246" xr:uid="{00000000-0005-0000-0000-000012220000}"/>
    <cellStyle name="SAPBEXfilterDrill 2" xfId="8825" xr:uid="{00000000-0005-0000-0000-000013220000}"/>
    <cellStyle name="SAPBEXfilterDrill 2 2" xfId="8826" xr:uid="{00000000-0005-0000-0000-000014220000}"/>
    <cellStyle name="SAPBEXfilterItem" xfId="6247" xr:uid="{00000000-0005-0000-0000-000015220000}"/>
    <cellStyle name="SAPBEXfilterItem 2" xfId="8827" xr:uid="{00000000-0005-0000-0000-000016220000}"/>
    <cellStyle name="SAPBEXfilterText" xfId="6248" xr:uid="{00000000-0005-0000-0000-000017220000}"/>
    <cellStyle name="SAPBEXfilterText 2" xfId="8828" xr:uid="{00000000-0005-0000-0000-000018220000}"/>
    <cellStyle name="SAPBEXformats" xfId="6249" xr:uid="{00000000-0005-0000-0000-000019220000}"/>
    <cellStyle name="SAPBEXformats 2" xfId="8829" xr:uid="{00000000-0005-0000-0000-00001A220000}"/>
    <cellStyle name="SAPBEXformats 2 2" xfId="8830" xr:uid="{00000000-0005-0000-0000-00001B220000}"/>
    <cellStyle name="SAPBEXheaderItem" xfId="6250" xr:uid="{00000000-0005-0000-0000-00001C220000}"/>
    <cellStyle name="SAPBEXheaderItem 2" xfId="8831" xr:uid="{00000000-0005-0000-0000-00001D220000}"/>
    <cellStyle name="SAPBEXheaderItem 2 2" xfId="8832" xr:uid="{00000000-0005-0000-0000-00001E220000}"/>
    <cellStyle name="SAPBEXheaderText" xfId="6251" xr:uid="{00000000-0005-0000-0000-00001F220000}"/>
    <cellStyle name="SAPBEXheaderText 2" xfId="8833" xr:uid="{00000000-0005-0000-0000-000020220000}"/>
    <cellStyle name="SAPBEXheaderText 2 2" xfId="8834" xr:uid="{00000000-0005-0000-0000-000021220000}"/>
    <cellStyle name="SAPBEXHLevel0" xfId="989" xr:uid="{00000000-0005-0000-0000-000022220000}"/>
    <cellStyle name="SAPBEXHLevel0 2" xfId="8835" xr:uid="{00000000-0005-0000-0000-000023220000}"/>
    <cellStyle name="SAPBEXHLevel0 2 2" xfId="8836" xr:uid="{00000000-0005-0000-0000-000024220000}"/>
    <cellStyle name="SAPBEXHLevel0 2 3" xfId="8837" xr:uid="{00000000-0005-0000-0000-000025220000}"/>
    <cellStyle name="SAPBEXHLevel0X" xfId="6252" xr:uid="{00000000-0005-0000-0000-000026220000}"/>
    <cellStyle name="SAPBEXHLevel0X 2" xfId="8838" xr:uid="{00000000-0005-0000-0000-000027220000}"/>
    <cellStyle name="SAPBEXHLevel0X 2 2" xfId="8839" xr:uid="{00000000-0005-0000-0000-000028220000}"/>
    <cellStyle name="SAPBEXHLevel1" xfId="981" xr:uid="{00000000-0005-0000-0000-000029220000}"/>
    <cellStyle name="SAPBEXHLevel1 2" xfId="8840" xr:uid="{00000000-0005-0000-0000-00002A220000}"/>
    <cellStyle name="SAPBEXHLevel1 2 2" xfId="8841" xr:uid="{00000000-0005-0000-0000-00002B220000}"/>
    <cellStyle name="SAPBEXHLevel1 2 3" xfId="8842" xr:uid="{00000000-0005-0000-0000-00002C220000}"/>
    <cellStyle name="SAPBEXHLevel1X" xfId="1163" xr:uid="{00000000-0005-0000-0000-00002D220000}"/>
    <cellStyle name="SAPBEXHLevel1X 2" xfId="4488" xr:uid="{00000000-0005-0000-0000-00002E220000}"/>
    <cellStyle name="SAPBEXHLevel1X 3" xfId="6417" xr:uid="{00000000-0005-0000-0000-00002F220000}"/>
    <cellStyle name="SAPBEXHLevel2" xfId="6253" xr:uid="{00000000-0005-0000-0000-000030220000}"/>
    <cellStyle name="SAPBEXHLevel2 2" xfId="8843" xr:uid="{00000000-0005-0000-0000-000031220000}"/>
    <cellStyle name="SAPBEXHLevel2 2 2" xfId="8844" xr:uid="{00000000-0005-0000-0000-000032220000}"/>
    <cellStyle name="SAPBEXHLevel2X" xfId="1164" xr:uid="{00000000-0005-0000-0000-000033220000}"/>
    <cellStyle name="SAPBEXHLevel2X 2" xfId="4489" xr:uid="{00000000-0005-0000-0000-000034220000}"/>
    <cellStyle name="SAPBEXHLevel2X 3" xfId="6418" xr:uid="{00000000-0005-0000-0000-000035220000}"/>
    <cellStyle name="SAPBEXHLevel3" xfId="6254" xr:uid="{00000000-0005-0000-0000-000036220000}"/>
    <cellStyle name="SAPBEXHLevel3 2" xfId="8845" xr:uid="{00000000-0005-0000-0000-000037220000}"/>
    <cellStyle name="SAPBEXHLevel3 2 2" xfId="8846" xr:uid="{00000000-0005-0000-0000-000038220000}"/>
    <cellStyle name="SAPBEXHLevel3X" xfId="6255" xr:uid="{00000000-0005-0000-0000-000039220000}"/>
    <cellStyle name="SAPBEXHLevel3X 2" xfId="8847" xr:uid="{00000000-0005-0000-0000-00003A220000}"/>
    <cellStyle name="SAPBEXHLevel3X 2 2" xfId="8848" xr:uid="{00000000-0005-0000-0000-00003B220000}"/>
    <cellStyle name="SAPBEXresData" xfId="6256" xr:uid="{00000000-0005-0000-0000-00003C220000}"/>
    <cellStyle name="SAPBEXresData 2" xfId="8849" xr:uid="{00000000-0005-0000-0000-00003D220000}"/>
    <cellStyle name="SAPBEXresData 2 2" xfId="8850" xr:uid="{00000000-0005-0000-0000-00003E220000}"/>
    <cellStyle name="SAPBEXresDataEmph" xfId="6257" xr:uid="{00000000-0005-0000-0000-00003F220000}"/>
    <cellStyle name="SAPBEXresDataEmph 2" xfId="8851" xr:uid="{00000000-0005-0000-0000-000040220000}"/>
    <cellStyle name="SAPBEXresDataEmph 2 2" xfId="8852" xr:uid="{00000000-0005-0000-0000-000041220000}"/>
    <cellStyle name="SAPBEXresItem" xfId="6258" xr:uid="{00000000-0005-0000-0000-000042220000}"/>
    <cellStyle name="SAPBEXresItem 2" xfId="8853" xr:uid="{00000000-0005-0000-0000-000043220000}"/>
    <cellStyle name="SAPBEXresItem 2 2" xfId="8854" xr:uid="{00000000-0005-0000-0000-000044220000}"/>
    <cellStyle name="SAPBEXresItemX" xfId="6259" xr:uid="{00000000-0005-0000-0000-000045220000}"/>
    <cellStyle name="SAPBEXresItemX 2" xfId="8855" xr:uid="{00000000-0005-0000-0000-000046220000}"/>
    <cellStyle name="SAPBEXresItemX 2 2" xfId="8856" xr:uid="{00000000-0005-0000-0000-000047220000}"/>
    <cellStyle name="SAPBEXstdData" xfId="857" xr:uid="{00000000-0005-0000-0000-000048220000}"/>
    <cellStyle name="SAPBEXstdData 2" xfId="1369" xr:uid="{00000000-0005-0000-0000-000049220000}"/>
    <cellStyle name="SAPBEXstdData 2 2" xfId="2750" xr:uid="{00000000-0005-0000-0000-00004A220000}"/>
    <cellStyle name="SAPBEXstdData 2 2 2" xfId="3666" xr:uid="{00000000-0005-0000-0000-00004B220000}"/>
    <cellStyle name="SAPBEXstdData 2 2 3" xfId="7936" xr:uid="{00000000-0005-0000-0000-00004C220000}"/>
    <cellStyle name="SAPBEXstdData 2 3" xfId="6621" xr:uid="{00000000-0005-0000-0000-00004D220000}"/>
    <cellStyle name="SAPBEXstdData 2 4" xfId="8869" xr:uid="{00000000-0005-0000-0000-00004E220000}"/>
    <cellStyle name="SAPBEXstdData 3" xfId="3563" xr:uid="{00000000-0005-0000-0000-00004F220000}"/>
    <cellStyle name="SAPBEXstdData 3 2" xfId="8551" xr:uid="{00000000-0005-0000-0000-000050220000}"/>
    <cellStyle name="SAPBEXstdData 4" xfId="6419" xr:uid="{00000000-0005-0000-0000-000051220000}"/>
    <cellStyle name="SAPBEXstdData 5" xfId="1165" xr:uid="{00000000-0005-0000-0000-000052220000}"/>
    <cellStyle name="SAPBEXstdDataEmph" xfId="990" xr:uid="{00000000-0005-0000-0000-000053220000}"/>
    <cellStyle name="SAPBEXstdDataEmph 2" xfId="8857" xr:uid="{00000000-0005-0000-0000-000054220000}"/>
    <cellStyle name="SAPBEXstdDataEmph 2 2" xfId="8858" xr:uid="{00000000-0005-0000-0000-000055220000}"/>
    <cellStyle name="SAPBEXstdItem" xfId="6260" xr:uid="{00000000-0005-0000-0000-000056220000}"/>
    <cellStyle name="SAPBEXstdItem 2" xfId="8859" xr:uid="{00000000-0005-0000-0000-000057220000}"/>
    <cellStyle name="SAPBEXstdItem 2 2" xfId="8860" xr:uid="{00000000-0005-0000-0000-000058220000}"/>
    <cellStyle name="SAPBEXstdItemX" xfId="6261" xr:uid="{00000000-0005-0000-0000-000059220000}"/>
    <cellStyle name="SAPBEXstdItemX 2" xfId="8861" xr:uid="{00000000-0005-0000-0000-00005A220000}"/>
    <cellStyle name="SAPBEXstdItemX 2 2" xfId="8862" xr:uid="{00000000-0005-0000-0000-00005B220000}"/>
    <cellStyle name="SAPBEXtitle" xfId="6262" xr:uid="{00000000-0005-0000-0000-00005C220000}"/>
    <cellStyle name="SAPBEXtitle 2" xfId="8863" xr:uid="{00000000-0005-0000-0000-00005D220000}"/>
    <cellStyle name="SAPBEXundefined" xfId="6263" xr:uid="{00000000-0005-0000-0000-00005E220000}"/>
    <cellStyle name="SAPBEXundefined 2" xfId="8864" xr:uid="{00000000-0005-0000-0000-00005F220000}"/>
    <cellStyle name="SAPBEXundefined 2 2" xfId="8865" xr:uid="{00000000-0005-0000-0000-000060220000}"/>
    <cellStyle name="Separador de milhares [0] 2" xfId="3525" xr:uid="{00000000-0005-0000-0000-000061220000}"/>
    <cellStyle name="Sheet Title" xfId="858" xr:uid="{00000000-0005-0000-0000-000062220000}"/>
    <cellStyle name="Sheet Title 2" xfId="5148" xr:uid="{00000000-0005-0000-0000-000063220000}"/>
    <cellStyle name="Sheet Title 3" xfId="8521" xr:uid="{00000000-0005-0000-0000-000064220000}"/>
    <cellStyle name="Sheet Title 4" xfId="3526" xr:uid="{00000000-0005-0000-0000-000065220000}"/>
    <cellStyle name="sombreado" xfId="859" xr:uid="{00000000-0005-0000-0000-000066220000}"/>
    <cellStyle name="Style 1" xfId="860" xr:uid="{00000000-0005-0000-0000-000067220000}"/>
    <cellStyle name="Style 1 2" xfId="861" xr:uid="{00000000-0005-0000-0000-000068220000}"/>
    <cellStyle name="Style 1 2 2" xfId="862" xr:uid="{00000000-0005-0000-0000-000069220000}"/>
    <cellStyle name="Style 1 2 2 2" xfId="5150" xr:uid="{00000000-0005-0000-0000-00006A220000}"/>
    <cellStyle name="Style 1 2 3" xfId="863" xr:uid="{00000000-0005-0000-0000-00006B220000}"/>
    <cellStyle name="Style 1 2 3 2" xfId="8523" xr:uid="{00000000-0005-0000-0000-00006C220000}"/>
    <cellStyle name="Style 1 2 4" xfId="864" xr:uid="{00000000-0005-0000-0000-00006D220000}"/>
    <cellStyle name="Style 1 2 5" xfId="3528" xr:uid="{00000000-0005-0000-0000-00006E220000}"/>
    <cellStyle name="Style 1 3" xfId="865" xr:uid="{00000000-0005-0000-0000-00006F220000}"/>
    <cellStyle name="Style 1 3 2" xfId="5151" xr:uid="{00000000-0005-0000-0000-000070220000}"/>
    <cellStyle name="Style 1 3 3" xfId="8524" xr:uid="{00000000-0005-0000-0000-000071220000}"/>
    <cellStyle name="Style 1 3 4" xfId="3529" xr:uid="{00000000-0005-0000-0000-000072220000}"/>
    <cellStyle name="Style 1 4" xfId="866" xr:uid="{00000000-0005-0000-0000-000073220000}"/>
    <cellStyle name="Style 1 4 2" xfId="5152" xr:uid="{00000000-0005-0000-0000-000074220000}"/>
    <cellStyle name="Style 1 4 3" xfId="8525" xr:uid="{00000000-0005-0000-0000-000075220000}"/>
    <cellStyle name="Style 1 4 4" xfId="3530" xr:uid="{00000000-0005-0000-0000-000076220000}"/>
    <cellStyle name="Style 1 5" xfId="3531" xr:uid="{00000000-0005-0000-0000-000077220000}"/>
    <cellStyle name="Style 1 5 2" xfId="5153" xr:uid="{00000000-0005-0000-0000-000078220000}"/>
    <cellStyle name="Style 1 5 3" xfId="8526" xr:uid="{00000000-0005-0000-0000-000079220000}"/>
    <cellStyle name="Style 1 6" xfId="5149" xr:uid="{00000000-0005-0000-0000-00007A220000}"/>
    <cellStyle name="Style 1 7" xfId="8522" xr:uid="{00000000-0005-0000-0000-00007B220000}"/>
    <cellStyle name="Style 1 8" xfId="3527" xr:uid="{00000000-0005-0000-0000-00007C220000}"/>
    <cellStyle name="TableStyleLight1" xfId="991" xr:uid="{00000000-0005-0000-0000-00007D220000}"/>
    <cellStyle name="TableStyleLight1 2" xfId="1043" xr:uid="{00000000-0005-0000-0000-00007E220000}"/>
    <cellStyle name="TableStyleLight1 3" xfId="2661" xr:uid="{00000000-0005-0000-0000-00007F220000}"/>
    <cellStyle name="TableStyleLight1 4" xfId="4490" xr:uid="{00000000-0005-0000-0000-000080220000}"/>
    <cellStyle name="TableStyleLight1 5" xfId="6323" xr:uid="{00000000-0005-0000-0000-000081220000}"/>
    <cellStyle name="TableStyleLight1 6" xfId="1041" xr:uid="{00000000-0005-0000-0000-000082220000}"/>
    <cellStyle name="Texto de Aviso 10" xfId="867" xr:uid="{00000000-0005-0000-0000-000083220000}"/>
    <cellStyle name="Texto de Aviso 11" xfId="868" xr:uid="{00000000-0005-0000-0000-000084220000}"/>
    <cellStyle name="Texto de Aviso 2" xfId="869" xr:uid="{00000000-0005-0000-0000-000085220000}"/>
    <cellStyle name="Texto de Aviso 2 10" xfId="870" xr:uid="{00000000-0005-0000-0000-000086220000}"/>
    <cellStyle name="Texto de Aviso 2 11" xfId="871" xr:uid="{00000000-0005-0000-0000-000087220000}"/>
    <cellStyle name="Texto de Aviso 2 12" xfId="2558" xr:uid="{00000000-0005-0000-0000-000088220000}"/>
    <cellStyle name="Texto de Aviso 2 2" xfId="872" xr:uid="{00000000-0005-0000-0000-000089220000}"/>
    <cellStyle name="Texto de Aviso 2 2 2" xfId="4491" xr:uid="{00000000-0005-0000-0000-00008A220000}"/>
    <cellStyle name="Texto de Aviso 2 3" xfId="873" xr:uid="{00000000-0005-0000-0000-00008B220000}"/>
    <cellStyle name="Texto de Aviso 2 3 2" xfId="7781" xr:uid="{00000000-0005-0000-0000-00008C220000}"/>
    <cellStyle name="Texto de Aviso 2 4" xfId="874" xr:uid="{00000000-0005-0000-0000-00008D220000}"/>
    <cellStyle name="Texto de Aviso 2 5" xfId="875" xr:uid="{00000000-0005-0000-0000-00008E220000}"/>
    <cellStyle name="Texto de Aviso 2 6" xfId="876" xr:uid="{00000000-0005-0000-0000-00008F220000}"/>
    <cellStyle name="Texto de Aviso 2 7" xfId="877" xr:uid="{00000000-0005-0000-0000-000090220000}"/>
    <cellStyle name="Texto de Aviso 2 8" xfId="878" xr:uid="{00000000-0005-0000-0000-000091220000}"/>
    <cellStyle name="Texto de Aviso 2 9" xfId="879" xr:uid="{00000000-0005-0000-0000-000092220000}"/>
    <cellStyle name="Texto de Aviso 3" xfId="880" xr:uid="{00000000-0005-0000-0000-000093220000}"/>
    <cellStyle name="Texto de Aviso 3 2" xfId="4723" xr:uid="{00000000-0005-0000-0000-000094220000}"/>
    <cellStyle name="Texto de Aviso 4" xfId="881" xr:uid="{00000000-0005-0000-0000-000095220000}"/>
    <cellStyle name="Texto de Aviso 4 2" xfId="6292" xr:uid="{00000000-0005-0000-0000-000096220000}"/>
    <cellStyle name="Texto de Aviso 5" xfId="882" xr:uid="{00000000-0005-0000-0000-000097220000}"/>
    <cellStyle name="Texto de Aviso 5 2" xfId="1010" xr:uid="{00000000-0005-0000-0000-000098220000}"/>
    <cellStyle name="Texto de Aviso 6" xfId="883" xr:uid="{00000000-0005-0000-0000-000099220000}"/>
    <cellStyle name="Texto de Aviso 7" xfId="884" xr:uid="{00000000-0005-0000-0000-00009A220000}"/>
    <cellStyle name="Texto de Aviso 8" xfId="885" xr:uid="{00000000-0005-0000-0000-00009B220000}"/>
    <cellStyle name="Texto de Aviso 9" xfId="886" xr:uid="{00000000-0005-0000-0000-00009C220000}"/>
    <cellStyle name="Texto Explicativo 2" xfId="887" xr:uid="{00000000-0005-0000-0000-00009D220000}"/>
    <cellStyle name="Texto Explicativo 2 2" xfId="6294" xr:uid="{00000000-0005-0000-0000-00009E220000}"/>
    <cellStyle name="Texto Explicativo 3" xfId="888" xr:uid="{00000000-0005-0000-0000-00009F220000}"/>
    <cellStyle name="Texto Explicativo 3 2" xfId="1012" xr:uid="{00000000-0005-0000-0000-0000A0220000}"/>
    <cellStyle name="Texto Explicativo 4" xfId="889" xr:uid="{00000000-0005-0000-0000-0000A1220000}"/>
    <cellStyle name="Title" xfId="890" xr:uid="{00000000-0005-0000-0000-0000A2220000}"/>
    <cellStyle name="Title 1" xfId="891" xr:uid="{00000000-0005-0000-0000-0000A3220000}"/>
    <cellStyle name="Title 2" xfId="1149" xr:uid="{00000000-0005-0000-0000-0000A4220000}"/>
    <cellStyle name="Title 2 2" xfId="3532" xr:uid="{00000000-0005-0000-0000-0000A5220000}"/>
    <cellStyle name="Title 2 2 2" xfId="5154" xr:uid="{00000000-0005-0000-0000-0000A6220000}"/>
    <cellStyle name="Title 2 2 3" xfId="8527" xr:uid="{00000000-0005-0000-0000-0000A7220000}"/>
    <cellStyle name="Title 2 3" xfId="4493" xr:uid="{00000000-0005-0000-0000-0000A8220000}"/>
    <cellStyle name="Title 2 4" xfId="6404" xr:uid="{00000000-0005-0000-0000-0000A9220000}"/>
    <cellStyle name="Title 3" xfId="892" xr:uid="{00000000-0005-0000-0000-0000AA220000}"/>
    <cellStyle name="Title 3 2" xfId="5155" xr:uid="{00000000-0005-0000-0000-0000AB220000}"/>
    <cellStyle name="Title 3 3" xfId="8528" xr:uid="{00000000-0005-0000-0000-0000AC220000}"/>
    <cellStyle name="Title 3 4" xfId="3533" xr:uid="{00000000-0005-0000-0000-0000AD220000}"/>
    <cellStyle name="Title 4" xfId="893" xr:uid="{00000000-0005-0000-0000-0000AE220000}"/>
    <cellStyle name="Title 4 2" xfId="5156" xr:uid="{00000000-0005-0000-0000-0000AF220000}"/>
    <cellStyle name="Title 4 3" xfId="8529" xr:uid="{00000000-0005-0000-0000-0000B0220000}"/>
    <cellStyle name="Title 4 4" xfId="3534" xr:uid="{00000000-0005-0000-0000-0000B1220000}"/>
    <cellStyle name="Title 5" xfId="3535" xr:uid="{00000000-0005-0000-0000-0000B2220000}"/>
    <cellStyle name="Title 5 2" xfId="5157" xr:uid="{00000000-0005-0000-0000-0000B3220000}"/>
    <cellStyle name="Title 5 3" xfId="8530" xr:uid="{00000000-0005-0000-0000-0000B4220000}"/>
    <cellStyle name="Title 6" xfId="3536" xr:uid="{00000000-0005-0000-0000-0000B5220000}"/>
    <cellStyle name="Title 6 2" xfId="5158" xr:uid="{00000000-0005-0000-0000-0000B6220000}"/>
    <cellStyle name="Title 6 3" xfId="8531" xr:uid="{00000000-0005-0000-0000-0000B7220000}"/>
    <cellStyle name="Title 7" xfId="4492" xr:uid="{00000000-0005-0000-0000-0000B8220000}"/>
    <cellStyle name="Title 8" xfId="7357" xr:uid="{00000000-0005-0000-0000-0000B9220000}"/>
    <cellStyle name="Title 9" xfId="2112" xr:uid="{00000000-0005-0000-0000-0000BA220000}"/>
    <cellStyle name="Titulo" xfId="894" xr:uid="{00000000-0005-0000-0000-0000BB220000}"/>
    <cellStyle name="Título 2" xfId="895" xr:uid="{00000000-0005-0000-0000-0000BC220000}"/>
    <cellStyle name="Título 2 2" xfId="4715" xr:uid="{00000000-0005-0000-0000-0000BD220000}"/>
    <cellStyle name="Título 3" xfId="896" xr:uid="{00000000-0005-0000-0000-0000BE220000}"/>
    <cellStyle name="Título 3 2" xfId="6279" xr:uid="{00000000-0005-0000-0000-0000BF220000}"/>
    <cellStyle name="Título 4" xfId="897" xr:uid="{00000000-0005-0000-0000-0000C0220000}"/>
    <cellStyle name="Título 4 2" xfId="997" xr:uid="{00000000-0005-0000-0000-0000C1220000}"/>
    <cellStyle name="Total 10" xfId="898" xr:uid="{00000000-0005-0000-0000-0000C2220000}"/>
    <cellStyle name="Total 10 2" xfId="5159" xr:uid="{00000000-0005-0000-0000-0000C3220000}"/>
    <cellStyle name="Total 10 3" xfId="8532" xr:uid="{00000000-0005-0000-0000-0000C4220000}"/>
    <cellStyle name="Total 10 4" xfId="3537" xr:uid="{00000000-0005-0000-0000-0000C5220000}"/>
    <cellStyle name="Total 11" xfId="899" xr:uid="{00000000-0005-0000-0000-0000C6220000}"/>
    <cellStyle name="Total 11 2" xfId="5160" xr:uid="{00000000-0005-0000-0000-0000C7220000}"/>
    <cellStyle name="Total 11 3" xfId="8533" xr:uid="{00000000-0005-0000-0000-0000C8220000}"/>
    <cellStyle name="Total 11 4" xfId="3538" xr:uid="{00000000-0005-0000-0000-0000C9220000}"/>
    <cellStyle name="Total 12" xfId="900" xr:uid="{00000000-0005-0000-0000-0000CA220000}"/>
    <cellStyle name="Total 12 2" xfId="5161" xr:uid="{00000000-0005-0000-0000-0000CB220000}"/>
    <cellStyle name="Total 12 3" xfId="8534" xr:uid="{00000000-0005-0000-0000-0000CC220000}"/>
    <cellStyle name="Total 12 4" xfId="3539" xr:uid="{00000000-0005-0000-0000-0000CD220000}"/>
    <cellStyle name="Total 13" xfId="901" xr:uid="{00000000-0005-0000-0000-0000CE220000}"/>
    <cellStyle name="Total 13 2" xfId="5162" xr:uid="{00000000-0005-0000-0000-0000CF220000}"/>
    <cellStyle name="Total 13 3" xfId="8535" xr:uid="{00000000-0005-0000-0000-0000D0220000}"/>
    <cellStyle name="Total 13 4" xfId="3540" xr:uid="{00000000-0005-0000-0000-0000D1220000}"/>
    <cellStyle name="Total 14" xfId="902" xr:uid="{00000000-0005-0000-0000-0000D2220000}"/>
    <cellStyle name="Total 14 2" xfId="4724" xr:uid="{00000000-0005-0000-0000-0000D3220000}"/>
    <cellStyle name="Total 15" xfId="903" xr:uid="{00000000-0005-0000-0000-0000D4220000}"/>
    <cellStyle name="Total 15 2" xfId="6295" xr:uid="{00000000-0005-0000-0000-0000D5220000}"/>
    <cellStyle name="Total 16" xfId="904" xr:uid="{00000000-0005-0000-0000-0000D6220000}"/>
    <cellStyle name="Total 16 2" xfId="1013" xr:uid="{00000000-0005-0000-0000-0000D7220000}"/>
    <cellStyle name="Total 17" xfId="905" xr:uid="{00000000-0005-0000-0000-0000D8220000}"/>
    <cellStyle name="Total 18" xfId="906" xr:uid="{00000000-0005-0000-0000-0000D9220000}"/>
    <cellStyle name="Total 2" xfId="907" xr:uid="{00000000-0005-0000-0000-0000DA220000}"/>
    <cellStyle name="Total 2 10" xfId="908" xr:uid="{00000000-0005-0000-0000-0000DB220000}"/>
    <cellStyle name="Total 2 11" xfId="909" xr:uid="{00000000-0005-0000-0000-0000DC220000}"/>
    <cellStyle name="Total 2 12" xfId="1177" xr:uid="{00000000-0005-0000-0000-0000DD220000}"/>
    <cellStyle name="Total 2 2" xfId="910" xr:uid="{00000000-0005-0000-0000-0000DE220000}"/>
    <cellStyle name="Total 2 2 2" xfId="911" xr:uid="{00000000-0005-0000-0000-0000DF220000}"/>
    <cellStyle name="Total 2 2 2 2" xfId="4495" xr:uid="{00000000-0005-0000-0000-0000E0220000}"/>
    <cellStyle name="Total 2 2 2 3" xfId="7783" xr:uid="{00000000-0005-0000-0000-0000E1220000}"/>
    <cellStyle name="Total 2 2 2 4" xfId="2560" xr:uid="{00000000-0005-0000-0000-0000E2220000}"/>
    <cellStyle name="Total 2 2 3" xfId="912" xr:uid="{00000000-0005-0000-0000-0000E3220000}"/>
    <cellStyle name="Total 2 2 3 2" xfId="5164" xr:uid="{00000000-0005-0000-0000-0000E4220000}"/>
    <cellStyle name="Total 2 2 3 3" xfId="8537" xr:uid="{00000000-0005-0000-0000-0000E5220000}"/>
    <cellStyle name="Total 2 2 3 4" xfId="3542" xr:uid="{00000000-0005-0000-0000-0000E6220000}"/>
    <cellStyle name="Total 2 2 4" xfId="4494" xr:uid="{00000000-0005-0000-0000-0000E7220000}"/>
    <cellStyle name="Total 2 2 5" xfId="7782" xr:uid="{00000000-0005-0000-0000-0000E8220000}"/>
    <cellStyle name="Total 2 2 6" xfId="2559" xr:uid="{00000000-0005-0000-0000-0000E9220000}"/>
    <cellStyle name="Total 2 3" xfId="913" xr:uid="{00000000-0005-0000-0000-0000EA220000}"/>
    <cellStyle name="Total 2 3 2" xfId="2562" xr:uid="{00000000-0005-0000-0000-0000EB220000}"/>
    <cellStyle name="Total 2 3 2 2" xfId="4497" xr:uid="{00000000-0005-0000-0000-0000EC220000}"/>
    <cellStyle name="Total 2 3 2 3" xfId="7785" xr:uid="{00000000-0005-0000-0000-0000ED220000}"/>
    <cellStyle name="Total 2 3 3" xfId="3584" xr:uid="{00000000-0005-0000-0000-0000EE220000}"/>
    <cellStyle name="Total 2 3 3 2" xfId="5196" xr:uid="{00000000-0005-0000-0000-0000EF220000}"/>
    <cellStyle name="Total 2 3 3 3" xfId="8568" xr:uid="{00000000-0005-0000-0000-0000F0220000}"/>
    <cellStyle name="Total 2 3 4" xfId="4496" xr:uid="{00000000-0005-0000-0000-0000F1220000}"/>
    <cellStyle name="Total 2 3 5" xfId="7784" xr:uid="{00000000-0005-0000-0000-0000F2220000}"/>
    <cellStyle name="Total 2 3 6" xfId="2561" xr:uid="{00000000-0005-0000-0000-0000F3220000}"/>
    <cellStyle name="Total 2 4" xfId="914" xr:uid="{00000000-0005-0000-0000-0000F4220000}"/>
    <cellStyle name="Total 2 4 2" xfId="2564" xr:uid="{00000000-0005-0000-0000-0000F5220000}"/>
    <cellStyle name="Total 2 4 2 2" xfId="4499" xr:uid="{00000000-0005-0000-0000-0000F6220000}"/>
    <cellStyle name="Total 2 4 2 3" xfId="7787" xr:uid="{00000000-0005-0000-0000-0000F7220000}"/>
    <cellStyle name="Total 2 4 3" xfId="4498" xr:uid="{00000000-0005-0000-0000-0000F8220000}"/>
    <cellStyle name="Total 2 4 4" xfId="7786" xr:uid="{00000000-0005-0000-0000-0000F9220000}"/>
    <cellStyle name="Total 2 4 5" xfId="2563" xr:uid="{00000000-0005-0000-0000-0000FA220000}"/>
    <cellStyle name="Total 2 5" xfId="915" xr:uid="{00000000-0005-0000-0000-0000FB220000}"/>
    <cellStyle name="Total 2 5 2" xfId="3541" xr:uid="{00000000-0005-0000-0000-0000FC220000}"/>
    <cellStyle name="Total 2 6" xfId="916" xr:uid="{00000000-0005-0000-0000-0000FD220000}"/>
    <cellStyle name="Total 2 6 2" xfId="5163" xr:uid="{00000000-0005-0000-0000-0000FE220000}"/>
    <cellStyle name="Total 2 7" xfId="917" xr:uid="{00000000-0005-0000-0000-0000FF220000}"/>
    <cellStyle name="Total 2 7 2" xfId="6429" xr:uid="{00000000-0005-0000-0000-000000230000}"/>
    <cellStyle name="Total 2 8" xfId="918" xr:uid="{00000000-0005-0000-0000-000001230000}"/>
    <cellStyle name="Total 2 9" xfId="919" xr:uid="{00000000-0005-0000-0000-000002230000}"/>
    <cellStyle name="Total 3" xfId="920" xr:uid="{00000000-0005-0000-0000-000003230000}"/>
    <cellStyle name="Total 3 2" xfId="2565" xr:uid="{00000000-0005-0000-0000-000004230000}"/>
    <cellStyle name="Total 3 2 2" xfId="2566" xr:uid="{00000000-0005-0000-0000-000005230000}"/>
    <cellStyle name="Total 3 2 2 2" xfId="4501" xr:uid="{00000000-0005-0000-0000-000006230000}"/>
    <cellStyle name="Total 3 2 2 3" xfId="7789" xr:uid="{00000000-0005-0000-0000-000007230000}"/>
    <cellStyle name="Total 3 2 3" xfId="4500" xr:uid="{00000000-0005-0000-0000-000008230000}"/>
    <cellStyle name="Total 3 2 4" xfId="7788" xr:uid="{00000000-0005-0000-0000-000009230000}"/>
    <cellStyle name="Total 3 3" xfId="2567" xr:uid="{00000000-0005-0000-0000-00000A230000}"/>
    <cellStyle name="Total 3 3 2" xfId="2568" xr:uid="{00000000-0005-0000-0000-00000B230000}"/>
    <cellStyle name="Total 3 3 2 2" xfId="4503" xr:uid="{00000000-0005-0000-0000-00000C230000}"/>
    <cellStyle name="Total 3 3 2 3" xfId="7791" xr:uid="{00000000-0005-0000-0000-00000D230000}"/>
    <cellStyle name="Total 3 3 3" xfId="4502" xr:uid="{00000000-0005-0000-0000-00000E230000}"/>
    <cellStyle name="Total 3 3 4" xfId="7790" xr:uid="{00000000-0005-0000-0000-00000F230000}"/>
    <cellStyle name="Total 3 4" xfId="2569" xr:uid="{00000000-0005-0000-0000-000010230000}"/>
    <cellStyle name="Total 3 4 2" xfId="2570" xr:uid="{00000000-0005-0000-0000-000011230000}"/>
    <cellStyle name="Total 3 4 2 2" xfId="4505" xr:uid="{00000000-0005-0000-0000-000012230000}"/>
    <cellStyle name="Total 3 4 2 3" xfId="7793" xr:uid="{00000000-0005-0000-0000-000013230000}"/>
    <cellStyle name="Total 3 4 3" xfId="4504" xr:uid="{00000000-0005-0000-0000-000014230000}"/>
    <cellStyle name="Total 3 4 4" xfId="7792" xr:uid="{00000000-0005-0000-0000-000015230000}"/>
    <cellStyle name="Total 3 5" xfId="5165" xr:uid="{00000000-0005-0000-0000-000016230000}"/>
    <cellStyle name="Total 3 6" xfId="8538" xr:uid="{00000000-0005-0000-0000-000017230000}"/>
    <cellStyle name="Total 3 7" xfId="3543" xr:uid="{00000000-0005-0000-0000-000018230000}"/>
    <cellStyle name="Total 4" xfId="921" xr:uid="{00000000-0005-0000-0000-000019230000}"/>
    <cellStyle name="Total 4 2" xfId="2571" xr:uid="{00000000-0005-0000-0000-00001A230000}"/>
    <cellStyle name="Total 4 2 2" xfId="2572" xr:uid="{00000000-0005-0000-0000-00001B230000}"/>
    <cellStyle name="Total 4 2 2 2" xfId="4507" xr:uid="{00000000-0005-0000-0000-00001C230000}"/>
    <cellStyle name="Total 4 2 2 3" xfId="7795" xr:uid="{00000000-0005-0000-0000-00001D230000}"/>
    <cellStyle name="Total 4 2 3" xfId="4506" xr:uid="{00000000-0005-0000-0000-00001E230000}"/>
    <cellStyle name="Total 4 2 4" xfId="7794" xr:uid="{00000000-0005-0000-0000-00001F230000}"/>
    <cellStyle name="Total 4 3" xfId="2573" xr:uid="{00000000-0005-0000-0000-000020230000}"/>
    <cellStyle name="Total 4 3 2" xfId="2574" xr:uid="{00000000-0005-0000-0000-000021230000}"/>
    <cellStyle name="Total 4 3 2 2" xfId="4509" xr:uid="{00000000-0005-0000-0000-000022230000}"/>
    <cellStyle name="Total 4 3 2 3" xfId="7797" xr:uid="{00000000-0005-0000-0000-000023230000}"/>
    <cellStyle name="Total 4 3 3" xfId="4508" xr:uid="{00000000-0005-0000-0000-000024230000}"/>
    <cellStyle name="Total 4 3 4" xfId="7796" xr:uid="{00000000-0005-0000-0000-000025230000}"/>
    <cellStyle name="Total 4 4" xfId="2575" xr:uid="{00000000-0005-0000-0000-000026230000}"/>
    <cellStyle name="Total 4 4 2" xfId="2576" xr:uid="{00000000-0005-0000-0000-000027230000}"/>
    <cellStyle name="Total 4 4 2 2" xfId="4511" xr:uid="{00000000-0005-0000-0000-000028230000}"/>
    <cellStyle name="Total 4 4 2 3" xfId="7799" xr:uid="{00000000-0005-0000-0000-000029230000}"/>
    <cellStyle name="Total 4 4 3" xfId="4510" xr:uid="{00000000-0005-0000-0000-00002A230000}"/>
    <cellStyle name="Total 4 4 4" xfId="7798" xr:uid="{00000000-0005-0000-0000-00002B230000}"/>
    <cellStyle name="Total 4 5" xfId="5166" xr:uid="{00000000-0005-0000-0000-00002C230000}"/>
    <cellStyle name="Total 4 6" xfId="8539" xr:uid="{00000000-0005-0000-0000-00002D230000}"/>
    <cellStyle name="Total 4 7" xfId="3544" xr:uid="{00000000-0005-0000-0000-00002E230000}"/>
    <cellStyle name="Total 5" xfId="922" xr:uid="{00000000-0005-0000-0000-00002F230000}"/>
    <cellStyle name="Total 5 2" xfId="5167" xr:uid="{00000000-0005-0000-0000-000030230000}"/>
    <cellStyle name="Total 5 3" xfId="8540" xr:uid="{00000000-0005-0000-0000-000031230000}"/>
    <cellStyle name="Total 5 4" xfId="3545" xr:uid="{00000000-0005-0000-0000-000032230000}"/>
    <cellStyle name="Total 6" xfId="923" xr:uid="{00000000-0005-0000-0000-000033230000}"/>
    <cellStyle name="Total 6 2" xfId="5168" xr:uid="{00000000-0005-0000-0000-000034230000}"/>
    <cellStyle name="Total 6 3" xfId="8541" xr:uid="{00000000-0005-0000-0000-000035230000}"/>
    <cellStyle name="Total 6 4" xfId="3546" xr:uid="{00000000-0005-0000-0000-000036230000}"/>
    <cellStyle name="Total 7" xfId="924" xr:uid="{00000000-0005-0000-0000-000037230000}"/>
    <cellStyle name="Total 7 2" xfId="5169" xr:uid="{00000000-0005-0000-0000-000038230000}"/>
    <cellStyle name="Total 7 3" xfId="8542" xr:uid="{00000000-0005-0000-0000-000039230000}"/>
    <cellStyle name="Total 7 4" xfId="3547" xr:uid="{00000000-0005-0000-0000-00003A230000}"/>
    <cellStyle name="Total 8" xfId="925" xr:uid="{00000000-0005-0000-0000-00003B230000}"/>
    <cellStyle name="Total 8 2" xfId="5170" xr:uid="{00000000-0005-0000-0000-00003C230000}"/>
    <cellStyle name="Total 8 3" xfId="8543" xr:uid="{00000000-0005-0000-0000-00003D230000}"/>
    <cellStyle name="Total 8 4" xfId="3548" xr:uid="{00000000-0005-0000-0000-00003E230000}"/>
    <cellStyle name="Total 9" xfId="926" xr:uid="{00000000-0005-0000-0000-00003F230000}"/>
    <cellStyle name="Total 9 2" xfId="5171" xr:uid="{00000000-0005-0000-0000-000040230000}"/>
    <cellStyle name="Total 9 3" xfId="8544" xr:uid="{00000000-0005-0000-0000-000041230000}"/>
    <cellStyle name="Total 9 4" xfId="3549" xr:uid="{00000000-0005-0000-0000-000042230000}"/>
    <cellStyle name="Verificar Célula 2" xfId="927" xr:uid="{00000000-0005-0000-0000-000043230000}"/>
    <cellStyle name="Verificar Célula 2 2" xfId="6291" xr:uid="{00000000-0005-0000-0000-000044230000}"/>
    <cellStyle name="Verificar Célula 3" xfId="928" xr:uid="{00000000-0005-0000-0000-000045230000}"/>
    <cellStyle name="Verificar Célula 3 2" xfId="1009" xr:uid="{00000000-0005-0000-0000-000046230000}"/>
    <cellStyle name="Verificar Célula 4" xfId="929" xr:uid="{00000000-0005-0000-0000-000047230000}"/>
    <cellStyle name="Vírgula" xfId="930" builtinId="3"/>
    <cellStyle name="Vírgula 10" xfId="931" xr:uid="{00000000-0005-0000-0000-000049230000}"/>
    <cellStyle name="Vírgula 10 2" xfId="932" xr:uid="{00000000-0005-0000-0000-00004A230000}"/>
    <cellStyle name="Vírgula 10 2 2" xfId="9128" xr:uid="{00000000-0005-0000-0000-00004B230000}"/>
    <cellStyle name="Vírgula 10 2 2 2" xfId="9501" xr:uid="{9FE0D70A-19F7-4BC5-98C5-9673393C93E8}"/>
    <cellStyle name="Vírgula 10 2 2 3" xfId="9837" xr:uid="{95F67B04-577F-4C9C-88AD-4F4EFC457115}"/>
    <cellStyle name="Vírgula 10 3" xfId="8969" xr:uid="{00000000-0005-0000-0000-00004C230000}"/>
    <cellStyle name="Vírgula 10 3 2" xfId="9347" xr:uid="{36D547E3-CE25-404E-806A-8E55EECD54EB}"/>
    <cellStyle name="Vírgula 10 3 3" xfId="9683" xr:uid="{C8EE7FD5-77B8-4E7F-A3D3-078C30751C5E}"/>
    <cellStyle name="Vírgula 11" xfId="933" xr:uid="{00000000-0005-0000-0000-00004D230000}"/>
    <cellStyle name="Vírgula 11 2" xfId="934" xr:uid="{00000000-0005-0000-0000-00004E230000}"/>
    <cellStyle name="Vírgula 11 3" xfId="9138" xr:uid="{00000000-0005-0000-0000-00004F230000}"/>
    <cellStyle name="Vírgula 11 3 2" xfId="9502" xr:uid="{C010F315-6E3E-4A34-951D-326F976A172B}"/>
    <cellStyle name="Vírgula 11 3 3" xfId="9838" xr:uid="{0F9F87D5-B206-4390-A77D-9B10AC659FDF}"/>
    <cellStyle name="Vírgula 12" xfId="935" xr:uid="{00000000-0005-0000-0000-000050230000}"/>
    <cellStyle name="Vírgula 12 2" xfId="936" xr:uid="{00000000-0005-0000-0000-000051230000}"/>
    <cellStyle name="Vírgula 12 2 2" xfId="9167" xr:uid="{00000000-0005-0000-0000-000052230000}"/>
    <cellStyle name="Vírgula 12 2 2 2" xfId="9507" xr:uid="{40B63FC6-DCFD-4BC6-A361-E2A02EF15E8E}"/>
    <cellStyle name="Vírgula 12 2 2 3" xfId="9843" xr:uid="{332B0235-A18F-48A3-9774-1F24934A9944}"/>
    <cellStyle name="Vírgula 12 3" xfId="983" xr:uid="{00000000-0005-0000-0000-000053230000}"/>
    <cellStyle name="Vírgula 12 3 2" xfId="9188" xr:uid="{57050B08-10DE-45BF-8CEE-63B9D65AFEA0}"/>
    <cellStyle name="Vírgula 12 3 3" xfId="9524" xr:uid="{36F3B695-91D0-4594-B8FA-DF0297BDDBAA}"/>
    <cellStyle name="Vírgula 12 4" xfId="985" xr:uid="{00000000-0005-0000-0000-000054230000}"/>
    <cellStyle name="Vírgula 12 4 2" xfId="9190" xr:uid="{442FA5E5-8DF4-40C3-B4B2-6EA7CD57DE8D}"/>
    <cellStyle name="Vírgula 12 4 3" xfId="9526" xr:uid="{0729A315-512D-4BD4-802C-24B7EAFAA9FE}"/>
    <cellStyle name="Vírgula 12 5" xfId="9164" xr:uid="{00000000-0005-0000-0000-000055230000}"/>
    <cellStyle name="Vírgula 12 5 2" xfId="9506" xr:uid="{AD30F3E3-E948-48DA-B167-27FAA2217427}"/>
    <cellStyle name="Vírgula 12 5 3" xfId="9842" xr:uid="{7A27187F-42C2-4D51-BB21-874DED4CBB25}"/>
    <cellStyle name="Vírgula 13" xfId="937" xr:uid="{00000000-0005-0000-0000-000056230000}"/>
    <cellStyle name="Vírgula 13 2" xfId="938" xr:uid="{00000000-0005-0000-0000-000057230000}"/>
    <cellStyle name="Vírgula 13 3" xfId="8876" xr:uid="{00000000-0005-0000-0000-000058230000}"/>
    <cellStyle name="Vírgula 14" xfId="984" xr:uid="{00000000-0005-0000-0000-000059230000}"/>
    <cellStyle name="Vírgula 14 2" xfId="9189" xr:uid="{B6AB9F91-AF45-4756-9B22-B9B6A04F4FC0}"/>
    <cellStyle name="Vírgula 14 3" xfId="9525" xr:uid="{83CA3629-8845-447E-A348-CDB7539852A7}"/>
    <cellStyle name="Vírgula 2" xfId="939" xr:uid="{00000000-0005-0000-0000-00005A230000}"/>
    <cellStyle name="Vírgula 2 10" xfId="940" xr:uid="{00000000-0005-0000-0000-00005B230000}"/>
    <cellStyle name="Vírgula 2 11" xfId="941" xr:uid="{00000000-0005-0000-0000-00005C230000}"/>
    <cellStyle name="Vírgula 2 12" xfId="942" xr:uid="{00000000-0005-0000-0000-00005D230000}"/>
    <cellStyle name="Vírgula 2 2" xfId="943" xr:uid="{00000000-0005-0000-0000-00005E230000}"/>
    <cellStyle name="Vírgula 2 2 2" xfId="2624" xr:uid="{00000000-0005-0000-0000-00005F230000}"/>
    <cellStyle name="Vírgula 2 2 2 2" xfId="3693" xr:uid="{00000000-0005-0000-0000-000060230000}"/>
    <cellStyle name="Vírgula 2 2 2 3" xfId="7841" xr:uid="{00000000-0005-0000-0000-000061230000}"/>
    <cellStyle name="Vírgula 2 2 3" xfId="2799" xr:uid="{00000000-0005-0000-0000-000062230000}"/>
    <cellStyle name="Vírgula 2 2 4" xfId="3550" xr:uid="{00000000-0005-0000-0000-000063230000}"/>
    <cellStyle name="Vírgula 2 2 5" xfId="3885" xr:uid="{00000000-0005-0000-0000-000064230000}"/>
    <cellStyle name="Vírgula 2 2 6" xfId="1639" xr:uid="{00000000-0005-0000-0000-000065230000}"/>
    <cellStyle name="Vírgula 2 3" xfId="944" xr:uid="{00000000-0005-0000-0000-000066230000}"/>
    <cellStyle name="Vírgula 2 3 2" xfId="8866" xr:uid="{00000000-0005-0000-0000-000067230000}"/>
    <cellStyle name="Vírgula 2 3 2 2" xfId="8961" xr:uid="{00000000-0005-0000-0000-000068230000}"/>
    <cellStyle name="Vírgula 2 3 2 2 2" xfId="9125" xr:uid="{00000000-0005-0000-0000-000069230000}"/>
    <cellStyle name="Vírgula 2 3 2 2 2 2" xfId="9498" xr:uid="{FC496CEB-C093-4696-83BD-3EE4C24B531D}"/>
    <cellStyle name="Vírgula 2 3 2 2 2 3" xfId="9834" xr:uid="{ABB804C5-B48E-4715-BBD3-99C3C078B76B}"/>
    <cellStyle name="Vírgula 2 3 2 2 3" xfId="9344" xr:uid="{4962E957-5050-475B-B99E-207038F3A28A}"/>
    <cellStyle name="Vírgula 2 3 2 2 4" xfId="9680" xr:uid="{DDA0FB33-2CA2-4ACB-AE56-18C7816ED3C9}"/>
    <cellStyle name="Vírgula 2 3 2 3" xfId="9266" xr:uid="{01505FD1-0020-47AA-B623-A528B69FF4EE}"/>
    <cellStyle name="Vírgula 2 3 2 4" xfId="9602" xr:uid="{AF07DE9B-00D0-44A4-9D40-9DCB21AA55DC}"/>
    <cellStyle name="Vírgula 2 3 3" xfId="1679" xr:uid="{00000000-0005-0000-0000-00006A230000}"/>
    <cellStyle name="Vírgula 2 4" xfId="945" xr:uid="{00000000-0005-0000-0000-00006B230000}"/>
    <cellStyle name="Vírgula 2 4 2" xfId="1554" xr:uid="{00000000-0005-0000-0000-00006C230000}"/>
    <cellStyle name="Vírgula 2 5" xfId="946" xr:uid="{00000000-0005-0000-0000-00006D230000}"/>
    <cellStyle name="Vírgula 2 5 2" xfId="2091" xr:uid="{00000000-0005-0000-0000-00006E230000}"/>
    <cellStyle name="Vírgula 2 6" xfId="947" xr:uid="{00000000-0005-0000-0000-00006F230000}"/>
    <cellStyle name="Vírgula 2 6 2" xfId="2814" xr:uid="{00000000-0005-0000-0000-000070230000}"/>
    <cellStyle name="Vírgula 2 6 3" xfId="2660" xr:uid="{00000000-0005-0000-0000-000071230000}"/>
    <cellStyle name="Vírgula 2 7" xfId="948" xr:uid="{00000000-0005-0000-0000-000072230000}"/>
    <cellStyle name="Vírgula 2 7 2" xfId="2631" xr:uid="{00000000-0005-0000-0000-000073230000}"/>
    <cellStyle name="Vírgula 2 8" xfId="949" xr:uid="{00000000-0005-0000-0000-000074230000}"/>
    <cellStyle name="Vírgula 2 9" xfId="950" xr:uid="{00000000-0005-0000-0000-000075230000}"/>
    <cellStyle name="Vírgula 3" xfId="951" xr:uid="{00000000-0005-0000-0000-000076230000}"/>
    <cellStyle name="Vírgula 3 10" xfId="7358" xr:uid="{00000000-0005-0000-0000-000077230000}"/>
    <cellStyle name="Vírgula 3 11" xfId="2114" xr:uid="{00000000-0005-0000-0000-000078230000}"/>
    <cellStyle name="Vírgula 3 12" xfId="9187" xr:uid="{F639C769-6BC8-4143-BB40-F0017D97CB05}"/>
    <cellStyle name="Vírgula 3 13" xfId="9523" xr:uid="{ADDAD12B-D074-494B-A2B9-7C276C14FD96}"/>
    <cellStyle name="Vírgula 3 2" xfId="952" xr:uid="{00000000-0005-0000-0000-000079230000}"/>
    <cellStyle name="Vírgula 3 2 2" xfId="953" xr:uid="{00000000-0005-0000-0000-00007A230000}"/>
    <cellStyle name="Vírgula 3 2 2 2" xfId="2804" xr:uid="{00000000-0005-0000-0000-00007B230000}"/>
    <cellStyle name="Vírgula 3 2 3" xfId="2797" xr:uid="{00000000-0005-0000-0000-00007C230000}"/>
    <cellStyle name="Vírgula 3 2 4" xfId="2753" xr:uid="{00000000-0005-0000-0000-00007D230000}"/>
    <cellStyle name="Vírgula 3 2 5" xfId="7840" xr:uid="{00000000-0005-0000-0000-00007E230000}"/>
    <cellStyle name="Vírgula 3 2 6" xfId="2623" xr:uid="{00000000-0005-0000-0000-00007F230000}"/>
    <cellStyle name="Vírgula 3 3" xfId="954" xr:uid="{00000000-0005-0000-0000-000080230000}"/>
    <cellStyle name="Vírgula 3 3 2" xfId="2913" xr:uid="{00000000-0005-0000-0000-000081230000}"/>
    <cellStyle name="Vírgula 3 3 3" xfId="7844" xr:uid="{00000000-0005-0000-0000-000082230000}"/>
    <cellStyle name="Vírgula 3 3 4" xfId="2627" xr:uid="{00000000-0005-0000-0000-000083230000}"/>
    <cellStyle name="Vírgula 3 4" xfId="955" xr:uid="{00000000-0005-0000-0000-000084230000}"/>
    <cellStyle name="Vírgula 3 4 2" xfId="8061" xr:uid="{00000000-0005-0000-0000-000085230000}"/>
    <cellStyle name="Vírgula 3 4 3" xfId="3005" xr:uid="{00000000-0005-0000-0000-000086230000}"/>
    <cellStyle name="Vírgula 3 5" xfId="2765" xr:uid="{00000000-0005-0000-0000-000087230000}"/>
    <cellStyle name="Vírgula 3 5 2" xfId="7941" xr:uid="{00000000-0005-0000-0000-000088230000}"/>
    <cellStyle name="Vírgula 3 6" xfId="3551" xr:uid="{00000000-0005-0000-0000-000089230000}"/>
    <cellStyle name="Vírgula 3 6 2" xfId="8922" xr:uid="{00000000-0005-0000-0000-00008A230000}"/>
    <cellStyle name="Vírgula 3 6 2 2" xfId="9086" xr:uid="{00000000-0005-0000-0000-00008B230000}"/>
    <cellStyle name="Vírgula 3 6 2 2 2" xfId="9459" xr:uid="{BE355E95-FD3F-4B84-AE11-5070AB4EC3AE}"/>
    <cellStyle name="Vírgula 3 6 2 2 3" xfId="9795" xr:uid="{9C20C434-D004-4336-8541-752EE4B8378F}"/>
    <cellStyle name="Vírgula 3 6 2 3" xfId="9305" xr:uid="{58E0CCE7-CC47-46E3-8A03-523787DEC63D}"/>
    <cellStyle name="Vírgula 3 6 2 4" xfId="9641" xr:uid="{641EFBFB-B979-4D1F-94AC-AA2E0BF5937B}"/>
    <cellStyle name="Vírgula 3 6 3" xfId="9227" xr:uid="{D0D01037-C291-4CE5-9AA3-5BE32C54568C}"/>
    <cellStyle name="Vírgula 3 6 4" xfId="9563" xr:uid="{8F1DE870-8F4F-4AA7-A7D1-17D21E677F81}"/>
    <cellStyle name="Vírgula 3 7" xfId="3783" xr:uid="{00000000-0005-0000-0000-00008C230000}"/>
    <cellStyle name="Vírgula 3 7 2" xfId="8694" xr:uid="{00000000-0005-0000-0000-00008D230000}"/>
    <cellStyle name="Vírgula 3 8" xfId="2760" xr:uid="{00000000-0005-0000-0000-00008E230000}"/>
    <cellStyle name="Vírgula 3 9" xfId="2798" xr:uid="{00000000-0005-0000-0000-00008F230000}"/>
    <cellStyle name="Vírgula 4" xfId="956" xr:uid="{00000000-0005-0000-0000-000090230000}"/>
    <cellStyle name="Vírgula 4 2" xfId="957" xr:uid="{00000000-0005-0000-0000-000091230000}"/>
    <cellStyle name="Vírgula 4 2 2" xfId="2928" xr:uid="{00000000-0005-0000-0000-000092230000}"/>
    <cellStyle name="Vírgula 4 2 3" xfId="7843" xr:uid="{00000000-0005-0000-0000-000093230000}"/>
    <cellStyle name="Vírgula 4 2 4" xfId="2626" xr:uid="{00000000-0005-0000-0000-000094230000}"/>
    <cellStyle name="Vírgula 4 3" xfId="958" xr:uid="{00000000-0005-0000-0000-000095230000}"/>
    <cellStyle name="Vírgula 4 3 2" xfId="8077" xr:uid="{00000000-0005-0000-0000-000096230000}"/>
    <cellStyle name="Vírgula 4 3 3" xfId="3021" xr:uid="{00000000-0005-0000-0000-000097230000}"/>
    <cellStyle name="Vírgula 4 4" xfId="3552" xr:uid="{00000000-0005-0000-0000-000098230000}"/>
    <cellStyle name="Vírgula 4 5" xfId="3824" xr:uid="{00000000-0005-0000-0000-000099230000}"/>
    <cellStyle name="Vírgula 4 5 2" xfId="8735" xr:uid="{00000000-0005-0000-0000-00009A230000}"/>
    <cellStyle name="Vírgula 4 6" xfId="2822" xr:uid="{00000000-0005-0000-0000-00009B230000}"/>
    <cellStyle name="Vírgula 4 7" xfId="2842" xr:uid="{00000000-0005-0000-0000-00009C230000}"/>
    <cellStyle name="Vírgula 4 8" xfId="7520" xr:uid="{00000000-0005-0000-0000-00009D230000}"/>
    <cellStyle name="Vírgula 4 9" xfId="2287" xr:uid="{00000000-0005-0000-0000-00009E230000}"/>
    <cellStyle name="Vírgula 5" xfId="959" xr:uid="{00000000-0005-0000-0000-00009F230000}"/>
    <cellStyle name="Vírgula 5 2" xfId="960" xr:uid="{00000000-0005-0000-0000-0000A0230000}"/>
    <cellStyle name="Vírgula 5 2 2" xfId="961" xr:uid="{00000000-0005-0000-0000-0000A1230000}"/>
    <cellStyle name="Vírgula 5 2 2 2" xfId="8755" xr:uid="{00000000-0005-0000-0000-0000A2230000}"/>
    <cellStyle name="Vírgula 5 2 3" xfId="3844" xr:uid="{00000000-0005-0000-0000-0000A3230000}"/>
    <cellStyle name="Vírgula 5 3" xfId="962" xr:uid="{00000000-0005-0000-0000-0000A4230000}"/>
    <cellStyle name="Vírgula 5 4" xfId="3553" xr:uid="{00000000-0005-0000-0000-0000A5230000}"/>
    <cellStyle name="Vírgula 6" xfId="963" xr:uid="{00000000-0005-0000-0000-0000A6230000}"/>
    <cellStyle name="Vírgula 6 2" xfId="964" xr:uid="{00000000-0005-0000-0000-0000A7230000}"/>
    <cellStyle name="Vírgula 6 2 2" xfId="965" xr:uid="{00000000-0005-0000-0000-0000A8230000}"/>
    <cellStyle name="Vírgula 6 2 3" xfId="8867" xr:uid="{00000000-0005-0000-0000-0000A9230000}"/>
    <cellStyle name="Vírgula 6 3" xfId="966" xr:uid="{00000000-0005-0000-0000-0000AA230000}"/>
    <cellStyle name="Vírgula 6 3 2" xfId="967" xr:uid="{00000000-0005-0000-0000-0000AB230000}"/>
    <cellStyle name="Vírgula 6 4" xfId="968" xr:uid="{00000000-0005-0000-0000-0000AC230000}"/>
    <cellStyle name="Vírgula 6 5" xfId="969" xr:uid="{00000000-0005-0000-0000-0000AD230000}"/>
    <cellStyle name="Vírgula 6 6" xfId="3554" xr:uid="{00000000-0005-0000-0000-0000AE230000}"/>
    <cellStyle name="Vírgula 7" xfId="970" xr:uid="{00000000-0005-0000-0000-0000AF230000}"/>
    <cellStyle name="Vírgula 7 2" xfId="971" xr:uid="{00000000-0005-0000-0000-0000B0230000}"/>
    <cellStyle name="Vírgula 8" xfId="972" xr:uid="{00000000-0005-0000-0000-0000B1230000}"/>
    <cellStyle name="Vírgula 8 2" xfId="973" xr:uid="{00000000-0005-0000-0000-0000B2230000}"/>
    <cellStyle name="Vírgula 8 2 2" xfId="974" xr:uid="{00000000-0005-0000-0000-0000B3230000}"/>
    <cellStyle name="Vírgula 8 2 2 2" xfId="9087" xr:uid="{00000000-0005-0000-0000-0000B4230000}"/>
    <cellStyle name="Vírgula 8 2 2 2 2" xfId="9460" xr:uid="{590482E2-8854-44D9-B42E-8513503F90AF}"/>
    <cellStyle name="Vírgula 8 2 2 2 3" xfId="9796" xr:uid="{7F52CB86-F743-4DB9-A626-6F6DFC699514}"/>
    <cellStyle name="Vírgula 8 2 3" xfId="8923" xr:uid="{00000000-0005-0000-0000-0000B5230000}"/>
    <cellStyle name="Vírgula 8 2 3 2" xfId="9306" xr:uid="{3FCE1414-D06C-451E-8F61-6EF1E0C7128A}"/>
    <cellStyle name="Vírgula 8 2 3 3" xfId="9642" xr:uid="{DE913D83-38D2-4D2C-8592-AB42879D845E}"/>
    <cellStyle name="Vírgula 8 3" xfId="975" xr:uid="{00000000-0005-0000-0000-0000B6230000}"/>
    <cellStyle name="Vírgula 8 4" xfId="3555" xr:uid="{00000000-0005-0000-0000-0000B7230000}"/>
    <cellStyle name="Vírgula 8 4 2" xfId="9228" xr:uid="{73268B66-4201-4D83-BE6A-873F3602631B}"/>
    <cellStyle name="Vírgula 8 4 3" xfId="9564" xr:uid="{8540668A-DB72-4CAC-B150-472866A6F7B8}"/>
    <cellStyle name="Vírgula 9" xfId="976" xr:uid="{00000000-0005-0000-0000-0000B8230000}"/>
    <cellStyle name="Vírgula 9 2" xfId="977" xr:uid="{00000000-0005-0000-0000-0000B9230000}"/>
    <cellStyle name="Vírgula 9 2 2" xfId="9126" xr:uid="{00000000-0005-0000-0000-0000BA230000}"/>
    <cellStyle name="Vírgula 9 2 2 2" xfId="9499" xr:uid="{6E1C56F2-17AA-4817-B87A-748E4D5932DD}"/>
    <cellStyle name="Vírgula 9 2 2 3" xfId="9835" xr:uid="{BCAFF664-5D07-460A-9CEF-A6B7F234CC7B}"/>
    <cellStyle name="Vírgula 9 2 3" xfId="8963" xr:uid="{00000000-0005-0000-0000-0000BB230000}"/>
    <cellStyle name="Vírgula 9 2 3 2" xfId="9345" xr:uid="{4E1DCFEA-BF74-4245-B543-FEF408C38881}"/>
    <cellStyle name="Vírgula 9 2 3 3" xfId="9681" xr:uid="{18380F24-AE6B-44FB-9F56-C3A7A57DE28E}"/>
    <cellStyle name="Vírgula 9 3" xfId="9048" xr:uid="{00000000-0005-0000-0000-0000BC230000}"/>
    <cellStyle name="Vírgula 9 3 2" xfId="9421" xr:uid="{98AFBC48-9F25-419E-99EB-D9D26CA0B452}"/>
    <cellStyle name="Vírgula 9 3 3" xfId="9757" xr:uid="{E32E0877-0671-493C-9FC6-0D87ECDF8899}"/>
    <cellStyle name="Vírgula 9 4" xfId="8878" xr:uid="{00000000-0005-0000-0000-0000BD230000}"/>
    <cellStyle name="Vírgula 9 4 2" xfId="9267" xr:uid="{BA269775-531C-4138-8E77-2045A24383C9}"/>
    <cellStyle name="Vírgula 9 4 3" xfId="9603" xr:uid="{6C201426-9FCA-4470-841C-F54BEAFFC79D}"/>
    <cellStyle name="Warning Text" xfId="978" xr:uid="{00000000-0005-0000-0000-0000BE230000}"/>
    <cellStyle name="Warning Text 2" xfId="1150" xr:uid="{00000000-0005-0000-0000-0000BF230000}"/>
    <cellStyle name="Warning Text 2 2" xfId="3582" xr:uid="{00000000-0005-0000-0000-0000C0230000}"/>
    <cellStyle name="Warning Text 2 2 2" xfId="5194" xr:uid="{00000000-0005-0000-0000-0000C1230000}"/>
    <cellStyle name="Warning Text 2 2 3" xfId="8566" xr:uid="{00000000-0005-0000-0000-0000C2230000}"/>
    <cellStyle name="Warning Text 2 3" xfId="3557" xr:uid="{00000000-0005-0000-0000-0000C3230000}"/>
    <cellStyle name="Warning Text 2 3 2" xfId="5173" xr:uid="{00000000-0005-0000-0000-0000C4230000}"/>
    <cellStyle name="Warning Text 2 3 3" xfId="8546" xr:uid="{00000000-0005-0000-0000-0000C5230000}"/>
    <cellStyle name="Warning Text 2 4" xfId="4513" xr:uid="{00000000-0005-0000-0000-0000C6230000}"/>
    <cellStyle name="Warning Text 2 5" xfId="6405" xr:uid="{00000000-0005-0000-0000-0000C7230000}"/>
    <cellStyle name="Warning Text 3" xfId="3558" xr:uid="{00000000-0005-0000-0000-0000C8230000}"/>
    <cellStyle name="Warning Text 3 2" xfId="5174" xr:uid="{00000000-0005-0000-0000-0000C9230000}"/>
    <cellStyle name="Warning Text 3 3" xfId="8547" xr:uid="{00000000-0005-0000-0000-0000CA230000}"/>
    <cellStyle name="Warning Text 4" xfId="3559" xr:uid="{00000000-0005-0000-0000-0000CB230000}"/>
    <cellStyle name="Warning Text 4 2" xfId="5175" xr:uid="{00000000-0005-0000-0000-0000CC230000}"/>
    <cellStyle name="Warning Text 4 3" xfId="8548" xr:uid="{00000000-0005-0000-0000-0000CD230000}"/>
    <cellStyle name="Warning Text 5" xfId="3560" xr:uid="{00000000-0005-0000-0000-0000CE230000}"/>
    <cellStyle name="Warning Text 5 2" xfId="5176" xr:uid="{00000000-0005-0000-0000-0000CF230000}"/>
    <cellStyle name="Warning Text 5 3" xfId="8549" xr:uid="{00000000-0005-0000-0000-0000D0230000}"/>
    <cellStyle name="Warning Text 6" xfId="3556" xr:uid="{00000000-0005-0000-0000-0000D1230000}"/>
    <cellStyle name="Warning Text 6 2" xfId="5172" xr:uid="{00000000-0005-0000-0000-0000D2230000}"/>
    <cellStyle name="Warning Text 6 3" xfId="8545" xr:uid="{00000000-0005-0000-0000-0000D3230000}"/>
    <cellStyle name="Warning Text 7" xfId="4512" xr:uid="{00000000-0005-0000-0000-0000D4230000}"/>
    <cellStyle name="Warning Text 8" xfId="2113" xr:uid="{00000000-0005-0000-0000-0000D5230000}"/>
  </cellStyles>
  <dxfs count="80">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79"/>
      <tableStyleElement type="totalRow" dxfId="78"/>
      <tableStyleElement type="firstRowStripe" dxfId="77"/>
      <tableStyleElement type="firstColumnStripe" dxfId="76"/>
      <tableStyleElement type="firstSubtotalColumn" dxfId="75"/>
      <tableStyleElement type="firstSubtotalRow" dxfId="74"/>
      <tableStyleElement type="secondSubtotalRow" dxfId="73"/>
      <tableStyleElement type="firstRowSubheading" dxfId="72"/>
      <tableStyleElement type="secondRowSubheading" dxfId="71"/>
      <tableStyleElement type="pageFieldLabels" dxfId="70"/>
      <tableStyleElement type="pageFieldValues" dxfId="69"/>
    </tableStyle>
  </tableStyles>
  <colors>
    <mruColors>
      <color rgb="FF0563C1"/>
      <color rgb="FFFFFFFF"/>
      <color rgb="FFCCCCCC"/>
      <color rgb="FF00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ice_index!A1"/><Relationship Id="rId2" Type="http://schemas.openxmlformats.org/officeDocument/2006/relationships/image" Target="../media/image8.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39</xdr:row>
      <xdr:rowOff>95252</xdr:rowOff>
    </xdr:to>
    <xdr:grpSp>
      <xdr:nvGrpSpPr>
        <xdr:cNvPr id="2" name="Agrupar 1">
          <a:extLst>
            <a:ext uri="{FF2B5EF4-FFF2-40B4-BE49-F238E27FC236}">
              <a16:creationId xmlns:a16="http://schemas.microsoft.com/office/drawing/2014/main" id="{00000000-0008-0000-0000-000002000000}"/>
            </a:ext>
          </a:extLst>
        </xdr:cNvPr>
        <xdr:cNvGrpSpPr/>
      </xdr:nvGrpSpPr>
      <xdr:grpSpPr>
        <a:xfrm>
          <a:off x="0" y="0"/>
          <a:ext cx="5600700" cy="7934327"/>
          <a:chOff x="0" y="0"/>
          <a:chExt cx="5600700" cy="7647090"/>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607"/>
          <a:stretch/>
        </xdr:blipFill>
        <xdr:spPr>
          <a:xfrm>
            <a:off x="0" y="0"/>
            <a:ext cx="5600700" cy="6444485"/>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9060" y="6927090"/>
            <a:ext cx="1475212" cy="720000"/>
          </a:xfrm>
          <a:prstGeom prst="rect">
            <a:avLst/>
          </a:prstGeom>
        </xdr:spPr>
      </xdr:pic>
      <xdr:pic>
        <xdr:nvPicPr>
          <xdr:cNvPr id="5" name="Imagem 4" descr="Uma imagem com texto, Tipo de letra, logótipo, Gráficos&#10;&#10;Os conteúdos gerados por IA poderão estar incorreto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6924674"/>
            <a:ext cx="1860942" cy="720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xdr:row>
      <xdr:rowOff>0</xdr:rowOff>
    </xdr:from>
    <xdr:to>
      <xdr:col>6</xdr:col>
      <xdr:colOff>242365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xdr:row>
      <xdr:rowOff>0</xdr:rowOff>
    </xdr:from>
    <xdr:to>
      <xdr:col>6</xdr:col>
      <xdr:colOff>204265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130175</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1</xdr:row>
      <xdr:rowOff>180975</xdr:rowOff>
    </xdr:from>
    <xdr:to>
      <xdr:col>6</xdr:col>
      <xdr:colOff>309040</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2</xdr:row>
      <xdr:rowOff>0</xdr:rowOff>
    </xdr:from>
    <xdr:to>
      <xdr:col>4</xdr:col>
      <xdr:colOff>533400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4772025" y="371475"/>
          <a:ext cx="1228725"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xdr:row>
      <xdr:rowOff>0</xdr:rowOff>
    </xdr:from>
    <xdr:to>
      <xdr:col>6</xdr:col>
      <xdr:colOff>270940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1</xdr:row>
      <xdr:rowOff>180975</xdr:rowOff>
    </xdr:from>
    <xdr:to>
      <xdr:col>7</xdr:col>
      <xdr:colOff>318565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2</xdr:row>
      <xdr:rowOff>0</xdr:rowOff>
    </xdr:from>
    <xdr:to>
      <xdr:col>6</xdr:col>
      <xdr:colOff>109015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1</xdr:row>
      <xdr:rowOff>180975</xdr:rowOff>
    </xdr:from>
    <xdr:to>
      <xdr:col>6</xdr:col>
      <xdr:colOff>385240</xdr:colOff>
      <xdr:row>4</xdr:row>
      <xdr:rowOff>149475</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129540</xdr:rowOff>
    </xdr:to>
    <xdr:pic>
      <xdr:nvPicPr>
        <xdr:cNvPr id="2" name="Imagem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571500</xdr:colOff>
      <xdr:row>1</xdr:row>
      <xdr:rowOff>180975</xdr:rowOff>
    </xdr:from>
    <xdr:to>
      <xdr:col>5</xdr:col>
      <xdr:colOff>537640</xdr:colOff>
      <xdr:row>4</xdr:row>
      <xdr:rowOff>149475</xdr:rowOff>
    </xdr:to>
    <xdr:sp macro="" textlink="">
      <xdr:nvSpPr>
        <xdr:cNvPr id="5" name="Seta para a esquerda 4" descr="Índice" title="Índice">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129540</xdr:rowOff>
    </xdr:to>
    <xdr:pic>
      <xdr:nvPicPr>
        <xdr:cNvPr id="8" name="Imagem 2">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xdr:row>
      <xdr:rowOff>180975</xdr:rowOff>
    </xdr:from>
    <xdr:to>
      <xdr:col>6</xdr:col>
      <xdr:colOff>32815</xdr:colOff>
      <xdr:row>4</xdr:row>
      <xdr:rowOff>149475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85725</xdr:rowOff>
    </xdr:from>
    <xdr:to>
      <xdr:col>2</xdr:col>
      <xdr:colOff>5416550</xdr:colOff>
      <xdr:row>3</xdr:row>
      <xdr:rowOff>425450</xdr:rowOff>
    </xdr:to>
    <xdr:pic>
      <xdr:nvPicPr>
        <xdr:cNvPr id="12" name="Imagem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38125" y="276225"/>
          <a:ext cx="56578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47625</xdr:rowOff>
    </xdr:from>
    <xdr:to>
      <xdr:col>3</xdr:col>
      <xdr:colOff>0</xdr:colOff>
      <xdr:row>4</xdr:row>
      <xdr:rowOff>19050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47625"/>
          <a:ext cx="8839200" cy="158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28575</xdr:rowOff>
        </xdr:from>
        <xdr:to>
          <xdr:col>2</xdr:col>
          <xdr:colOff>4371975</xdr:colOff>
          <xdr:row>5</xdr:row>
          <xdr:rowOff>66675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1</xdr:row>
      <xdr:rowOff>133350</xdr:rowOff>
    </xdr:from>
    <xdr:to>
      <xdr:col>5</xdr:col>
      <xdr:colOff>57150</xdr:colOff>
      <xdr:row>1</xdr:row>
      <xdr:rowOff>311150</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xdr:row>
      <xdr:rowOff>323850</xdr:rowOff>
    </xdr:from>
    <xdr:to>
      <xdr:col>5</xdr:col>
      <xdr:colOff>76200</xdr:colOff>
      <xdr:row>3</xdr:row>
      <xdr:rowOff>501650</xdr:rowOff>
    </xdr:to>
    <xdr:pic>
      <xdr:nvPicPr>
        <xdr:cNvPr id="13" name="Imagem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304925"/>
          <a:ext cx="11010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38100</xdr:colOff>
      <xdr:row>3</xdr:row>
      <xdr:rowOff>133350</xdr:rowOff>
    </xdr:to>
    <xdr:pic>
      <xdr:nvPicPr>
        <xdr:cNvPr id="2" name="Imagem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485775</xdr:colOff>
      <xdr:row>2</xdr:row>
      <xdr:rowOff>9525</xdr:rowOff>
    </xdr:from>
    <xdr:to>
      <xdr:col>5</xdr:col>
      <xdr:colOff>604315</xdr:colOff>
      <xdr:row>4</xdr:row>
      <xdr:rowOff>168525</xdr:rowOff>
    </xdr:to>
    <xdr:sp macro="" textlink="">
      <xdr:nvSpPr>
        <xdr:cNvPr id="4" name="Seta para a esquerda 4" descr="Índice" title="Índice">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4048125" y="381000"/>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127000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xdr:row>
      <xdr:rowOff>180975</xdr:rowOff>
    </xdr:from>
    <xdr:to>
      <xdr:col>6</xdr:col>
      <xdr:colOff>242365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3</xdr:col>
      <xdr:colOff>400050</xdr:colOff>
      <xdr:row>3</xdr:row>
      <xdr:rowOff>133350</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xdr:row>
      <xdr:rowOff>0</xdr:rowOff>
    </xdr:from>
    <xdr:to>
      <xdr:col>10</xdr:col>
      <xdr:colOff>23290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123825</xdr:colOff>
      <xdr:row>3</xdr:row>
      <xdr:rowOff>133350</xdr:rowOff>
    </xdr:to>
    <xdr:pic>
      <xdr:nvPicPr>
        <xdr:cNvPr id="5" name="Imagem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2</xdr:row>
      <xdr:rowOff>0</xdr:rowOff>
    </xdr:from>
    <xdr:to>
      <xdr:col>10</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2</xdr:row>
      <xdr:rowOff>0</xdr:rowOff>
    </xdr:from>
    <xdr:to>
      <xdr:col>3</xdr:col>
      <xdr:colOff>356665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1762125</xdr:colOff>
      <xdr:row>3</xdr:row>
      <xdr:rowOff>114300</xdr:rowOff>
    </xdr:to>
    <xdr:pic>
      <xdr:nvPicPr>
        <xdr:cNvPr id="3" name="Imagem 2">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63500</xdr:colOff>
      <xdr:row>4</xdr:row>
      <xdr:rowOff>177800</xdr:rowOff>
    </xdr:from>
    <xdr:to>
      <xdr:col>4</xdr:col>
      <xdr:colOff>636065</xdr:colOff>
      <xdr:row>6</xdr:row>
      <xdr:rowOff>247900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3844925" y="358775"/>
          <a:ext cx="1382190" cy="5273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146685</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247650</xdr:colOff>
      <xdr:row>2</xdr:row>
      <xdr:rowOff>0</xdr:rowOff>
    </xdr:from>
    <xdr:to>
      <xdr:col>5</xdr:col>
      <xdr:colOff>232840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8" name="Imagem 7">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9" name="Imagem 2">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xdr:row>
      <xdr:rowOff>0</xdr:rowOff>
    </xdr:from>
    <xdr:ext cx="0" cy="459105"/>
    <xdr:pic>
      <xdr:nvPicPr>
        <xdr:cNvPr id="11" name="Imagem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59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9585"/>
    <xdr:pic>
      <xdr:nvPicPr>
        <xdr:cNvPr id="13" name="Imagem 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9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99110"/>
    <xdr:pic>
      <xdr:nvPicPr>
        <xdr:cNvPr id="15" name="Imagem 14">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99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80060"/>
    <xdr:pic>
      <xdr:nvPicPr>
        <xdr:cNvPr id="16" name="Imagem 15">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5775"/>
    <xdr:pic>
      <xdr:nvPicPr>
        <xdr:cNvPr id="17" name="Imagem 2">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xdr:row>
      <xdr:rowOff>9525</xdr:rowOff>
    </xdr:from>
    <xdr:to>
      <xdr:col>3</xdr:col>
      <xdr:colOff>628650</xdr:colOff>
      <xdr:row>3</xdr:row>
      <xdr:rowOff>123825</xdr:rowOff>
    </xdr:to>
    <xdr:pic>
      <xdr:nvPicPr>
        <xdr:cNvPr id="4" name="Imagem 2">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32</xdr:col>
      <xdr:colOff>66675</xdr:colOff>
      <xdr:row>1</xdr:row>
      <xdr:rowOff>97155</xdr:rowOff>
    </xdr:from>
    <xdr:to>
      <xdr:col>58</xdr:col>
      <xdr:colOff>289560</xdr:colOff>
      <xdr:row>4</xdr:row>
      <xdr:rowOff>65655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B00-000006000000}"/>
            </a:ext>
          </a:extLst>
        </xdr:cNvPr>
        <xdr:cNvSpPr/>
      </xdr:nvSpPr>
      <xdr:spPr>
        <a:xfrm>
          <a:off x="6296025" y="287655"/>
          <a:ext cx="1213485"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1</xdr:row>
      <xdr:rowOff>180975</xdr:rowOff>
    </xdr:from>
    <xdr:to>
      <xdr:col>1</xdr:col>
      <xdr:colOff>5957365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15148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19050</xdr:rowOff>
    </xdr:from>
    <xdr:to>
      <xdr:col>1</xdr:col>
      <xdr:colOff>2400300</xdr:colOff>
      <xdr:row>3</xdr:row>
      <xdr:rowOff>133350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567690</xdr:colOff>
      <xdr:row>1</xdr:row>
      <xdr:rowOff>22860</xdr:rowOff>
    </xdr:from>
    <xdr:to>
      <xdr:col>2</xdr:col>
      <xdr:colOff>224790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67690" y="20383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2</xdr:row>
      <xdr:rowOff>0</xdr:rowOff>
    </xdr:from>
    <xdr:to>
      <xdr:col>7</xdr:col>
      <xdr:colOff>594790</xdr:colOff>
      <xdr:row>4</xdr:row>
      <xdr:rowOff>159000</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Março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2025</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2</xdr:row>
      <xdr:rowOff>0</xdr:rowOff>
    </xdr:from>
    <xdr:to>
      <xdr:col>7</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1</xdr:col>
      <xdr:colOff>2400300</xdr:colOff>
      <xdr:row>3</xdr:row>
      <xdr:rowOff>133350</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955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9525</xdr:rowOff>
    </xdr:from>
    <xdr:to>
      <xdr:col>6</xdr:col>
      <xdr:colOff>670990</xdr:colOff>
      <xdr:row>4</xdr:row>
      <xdr:rowOff>139950</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0600-000002000000}"/>
            </a:ext>
          </a:extLst>
        </xdr:cNvPr>
        <xdr:cNvSpPr/>
      </xdr:nvSpPr>
      <xdr:spPr>
        <a:xfrm>
          <a:off x="4457700" y="381000"/>
          <a:ext cx="1375840" cy="52095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0</xdr:rowOff>
    </xdr:from>
    <xdr:to>
      <xdr:col>6</xdr:col>
      <xdr:colOff>670990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1</xdr:row>
      <xdr:rowOff>180975</xdr:rowOff>
    </xdr:from>
    <xdr:to>
      <xdr:col>6</xdr:col>
      <xdr:colOff>204265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B2D-7847-4486-898E-FD9B1373A962}">
  <sheetPr>
    <pageSetUpPr fitToPage="1"/>
  </sheetPr>
  <dimension ref="A1:A55"/>
  <sheetViews>
    <sheetView showGridLines="0" zoomScaleNormal="100" zoomScalePageLayoutView="50" workbookViewId="0"/>
  </sheetViews>
  <sheetFormatPr defaultColWidth="0" defaultRowHeight="14.85" customHeight="1" zeroHeight="1"/>
  <cols>
    <col min="1" max="1" width="84" style="32" customWidth="1"/>
    <col min="2" max="16384" width="89.5703125" style="32" hidden="1"/>
  </cols>
  <sheetData>
    <row r="1" ht="15"/>
    <row r="2" ht="15"/>
    <row r="3" ht="15"/>
    <row r="4" ht="15"/>
    <row r="5" ht="15"/>
    <row r="6" ht="15"/>
    <row r="7" ht="15"/>
    <row r="8" ht="15"/>
    <row r="9" ht="15"/>
    <row r="10" ht="15"/>
    <row r="11" ht="15"/>
    <row r="12" ht="15"/>
    <row r="13" ht="15"/>
    <row r="14" ht="15"/>
    <row r="15" ht="15"/>
    <row r="16" ht="15"/>
    <row r="17" spans="1:1" ht="25.35" customHeight="1"/>
    <row r="18" spans="1:1" s="176" customFormat="1" ht="28.5">
      <c r="A18" s="175" t="str">
        <f>IF(Indice_index!$Z$1=1,"ANEXOS ESTATÍSTICOS","STATISTICAL ANNEXES 2026")</f>
        <v>ANEXOS ESTATÍSTICOS</v>
      </c>
    </row>
    <row r="19" spans="1:1" s="178" customFormat="1" ht="24">
      <c r="A19" s="177" t="str">
        <f>IF(Indice_index!$Z$1=1,"Fevereiro de 2026","February 2026")</f>
        <v>Fevereiro de 2026</v>
      </c>
    </row>
    <row r="20" spans="1:1" ht="15"/>
    <row r="21" spans="1:1" ht="15"/>
    <row r="22" spans="1:1" ht="15"/>
    <row r="23" spans="1:1" ht="15"/>
    <row r="24" spans="1:1" ht="15"/>
    <row r="25" spans="1:1" ht="15"/>
    <row r="26" spans="1:1" ht="15"/>
    <row r="27" spans="1:1" ht="15"/>
    <row r="28" spans="1:1" ht="15"/>
    <row r="29" spans="1:1" ht="15"/>
    <row r="30" spans="1:1" ht="15"/>
    <row r="31" spans="1:1" ht="15"/>
    <row r="32" spans="1:1" ht="15"/>
    <row r="33" ht="15"/>
    <row r="34" ht="15"/>
    <row r="35" ht="15"/>
    <row r="36" ht="15"/>
    <row r="37" ht="15"/>
    <row r="38" ht="15"/>
    <row r="39" ht="15"/>
    <row r="40" ht="15"/>
    <row r="54" ht="17.850000000000001" hidden="1" customHeight="1"/>
    <row r="55" ht="2.85"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6"/>
  <sheetViews>
    <sheetView showGridLines="0" zoomScaleNormal="100" workbookViewId="0"/>
  </sheetViews>
  <sheetFormatPr defaultColWidth="0" defaultRowHeight="14.85" customHeight="1" zeroHeight="1"/>
  <cols>
    <col min="1" max="1" width="8.5703125" style="49" customWidth="1"/>
    <col min="2" max="2" width="44" style="30" customWidth="1"/>
    <col min="3" max="5" width="10.42578125" style="30" customWidth="1"/>
    <col min="6" max="9" width="10.42578125" style="49" customWidth="1"/>
    <col min="10" max="11" width="8.5703125" style="49" customWidth="1"/>
    <col min="12" max="12" width="8.5703125" style="49" hidden="1" customWidth="1"/>
    <col min="13" max="15" width="0" hidden="1" customWidth="1"/>
    <col min="16" max="16384" width="9.42578125" hidden="1"/>
  </cols>
  <sheetData>
    <row r="1" spans="1:12" ht="14.85" customHeight="1"/>
    <row r="2" spans="1:12" ht="15"/>
    <row r="3" spans="1:12" ht="15"/>
    <row r="4" spans="1:12" ht="15"/>
    <row r="5" spans="1:12" ht="18" customHeight="1">
      <c r="A5"/>
      <c r="B5" s="254" t="str">
        <f>IF(Indice_index!$Z$1=1,"ANEXOS ESTATÍSTICOS","STATISTICAL ANNEXES")</f>
        <v>ANEXOS ESTATÍSTICOS</v>
      </c>
      <c r="C5"/>
      <c r="D5"/>
      <c r="E5"/>
      <c r="F5"/>
      <c r="G5"/>
      <c r="H5"/>
      <c r="I5"/>
      <c r="J5"/>
      <c r="K5"/>
      <c r="L5"/>
    </row>
    <row r="6" spans="1:12" ht="18" customHeight="1">
      <c r="A6"/>
      <c r="B6" s="255" t="str">
        <f>IF(Indice_index!$Z$1=1,"Fevereiro de 2026","February 2026")</f>
        <v>Fevereiro de 2026</v>
      </c>
      <c r="C6"/>
      <c r="D6"/>
      <c r="E6"/>
      <c r="F6"/>
      <c r="G6"/>
      <c r="H6"/>
      <c r="I6"/>
      <c r="J6"/>
      <c r="K6"/>
      <c r="L6"/>
    </row>
    <row r="7" spans="1:12" ht="47.25" customHeight="1">
      <c r="B7" s="12"/>
      <c r="C7" s="13"/>
      <c r="D7" s="11"/>
      <c r="E7" s="11"/>
      <c r="F7" s="11"/>
      <c r="G7" s="11"/>
      <c r="H7" s="11"/>
      <c r="I7" s="11"/>
    </row>
    <row r="8" spans="1:12" ht="37.5" customHeight="1">
      <c r="B8" s="380"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380"/>
      <c r="D8" s="380"/>
      <c r="E8" s="380"/>
      <c r="F8" s="380"/>
      <c r="G8" s="380"/>
      <c r="H8" s="380"/>
      <c r="I8" s="380"/>
    </row>
    <row r="9" spans="1:12" ht="15">
      <c r="B9" s="3" t="str">
        <f>+'3 - Conta AC + SS'!B9</f>
        <v>Período: janeiro a fevereiro</v>
      </c>
      <c r="C9" s="3"/>
      <c r="D9" s="3"/>
      <c r="E9" s="3"/>
      <c r="F9" s="3"/>
      <c r="G9" s="3"/>
      <c r="H9" s="3"/>
      <c r="I9" s="3" t="str">
        <f>IF(Indice_index!$Z$1=1,"€ Milhões","€ Millions")</f>
        <v>€ Milhões</v>
      </c>
    </row>
    <row r="10" spans="1:12"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2"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2" ht="14.1" customHeight="1">
      <c r="B12" s="167" t="str">
        <f>IF(Indice_index!$Z$1=1,"Receita corrente","Current revenue")</f>
        <v>Receita corrente</v>
      </c>
      <c r="C12" s="128">
        <f>SUM(C13:C24)-C13-C18</f>
        <v>44507.853484250008</v>
      </c>
      <c r="D12" s="128">
        <f>SUM(D13:D24)-D13-D18</f>
        <v>48129.220268999998</v>
      </c>
      <c r="E12" s="128">
        <f>SUM(E13:E24)-E13-E18</f>
        <v>6596.3361215599989</v>
      </c>
      <c r="F12" s="128">
        <f>SUM(F13:F24)-F13-F18</f>
        <v>7244.387847850001</v>
      </c>
      <c r="G12" s="128">
        <f>IFERROR(IF(F12/D12*100&lt;-500,"-",IF(F12/D12*100&gt;500,"-",F12/D12*100)),"-")</f>
        <v>15.051953485554609</v>
      </c>
      <c r="H12" s="128">
        <f>IF(IFERROR((F12-E12)/E12*100,"")&gt;500,"-",IFERROR((F12-E12)/E12*100,""))</f>
        <v>9.824419410221644</v>
      </c>
      <c r="I12" s="128">
        <f t="shared" ref="I12:I23" si="0">IFERROR((F12-E12)/$E$34*100,"-")</f>
        <v>9.2053699224932952</v>
      </c>
    </row>
    <row r="13" spans="1:12" ht="14.1" customHeight="1">
      <c r="B13" s="121" t="str">
        <f>IF(Indice_index!$Z$1=1,"Receita fiscal","Tax")</f>
        <v>Receita fiscal</v>
      </c>
      <c r="C13" s="4">
        <f>C14+C15</f>
        <v>771.2334470400001</v>
      </c>
      <c r="D13" s="4">
        <f>D14+D15</f>
        <v>853.37168699999995</v>
      </c>
      <c r="E13" s="4">
        <f>E14+E15</f>
        <v>157.52097382999997</v>
      </c>
      <c r="F13" s="4">
        <f>F14+F15</f>
        <v>157.74858015999999</v>
      </c>
      <c r="G13" s="4">
        <f>IFERROR(IF(F13/D13*100&lt;-500,"-",IF(F13/D13*100&gt;500,"-",F13/D13*100)),"-")</f>
        <v>18.48533090130514</v>
      </c>
      <c r="H13" s="4">
        <f t="shared" ref="H13:H31" si="1">IF(IFERROR((F13-E13)/E13*100,"")&gt;500,"-",IFERROR((F13-E13)/E13*100,""))</f>
        <v>0.14449271386910817</v>
      </c>
      <c r="I13" s="4">
        <f t="shared" si="0"/>
        <v>3.2330759711819966E-3</v>
      </c>
    </row>
    <row r="14" spans="1:12" ht="13.5" customHeight="1">
      <c r="B14" s="165" t="str">
        <f>IF(Indice_index!$Z$1=1,"Impostos diretos","Direct taxes")</f>
        <v>Impostos diretos</v>
      </c>
      <c r="C14" s="4">
        <v>0</v>
      </c>
      <c r="D14" s="4">
        <v>0</v>
      </c>
      <c r="E14" s="4">
        <v>0</v>
      </c>
      <c r="F14" s="4">
        <v>0</v>
      </c>
      <c r="G14" s="4" t="str">
        <f t="shared" ref="G14:G23" si="2">IFERROR(IF(F14/D14*100&lt;-500,"-",IF(F14/D14*100&gt;500,"-",F14/D14*100)),"-")</f>
        <v>-</v>
      </c>
      <c r="H14" s="4" t="str">
        <f t="shared" si="1"/>
        <v>-</v>
      </c>
      <c r="I14" s="4">
        <f t="shared" si="0"/>
        <v>0</v>
      </c>
    </row>
    <row r="15" spans="1:12" ht="14.1" customHeight="1">
      <c r="B15" s="165" t="str">
        <f>IF(Indice_index!$Z$1=1,"Impostos indiretos","Indirect taxes")</f>
        <v>Impostos indiretos</v>
      </c>
      <c r="C15" s="4">
        <v>771.2334470400001</v>
      </c>
      <c r="D15" s="4">
        <v>853.37168699999995</v>
      </c>
      <c r="E15" s="4">
        <v>157.52097382999997</v>
      </c>
      <c r="F15" s="4">
        <v>157.74858015999999</v>
      </c>
      <c r="G15" s="4">
        <f t="shared" si="2"/>
        <v>18.48533090130514</v>
      </c>
      <c r="H15" s="4">
        <f t="shared" si="1"/>
        <v>0.14449271386910817</v>
      </c>
      <c r="I15" s="4">
        <f t="shared" si="0"/>
        <v>3.2330759711819966E-3</v>
      </c>
    </row>
    <row r="16" spans="1:12" ht="14.1" customHeight="1">
      <c r="B16" s="121" t="str">
        <f>IF(Indice_index!$Z$1=1,"Contribuições para Segurança Social, CGA e ADSE","Social security, CGA and ADSE contributions")</f>
        <v>Contribuições para Segurança Social, CGA e ADSE</v>
      </c>
      <c r="C16" s="4">
        <v>4603.6324911500014</v>
      </c>
      <c r="D16" s="4">
        <v>4405.0258999999996</v>
      </c>
      <c r="E16" s="4">
        <v>612.08729344999995</v>
      </c>
      <c r="F16" s="4">
        <v>639.62432590000003</v>
      </c>
      <c r="G16" s="4">
        <f t="shared" si="2"/>
        <v>14.520330650042265</v>
      </c>
      <c r="H16" s="4">
        <f t="shared" si="1"/>
        <v>4.4988734032998714</v>
      </c>
      <c r="I16" s="4">
        <f t="shared" si="0"/>
        <v>0.39115484148331225</v>
      </c>
    </row>
    <row r="17" spans="2:9" ht="14.1" customHeight="1">
      <c r="B17" s="121" t="str">
        <f>IF(Indice_index!$Z$1=1,"Taxas, multas e outras penalidades","Taxes, fines and other penalties")</f>
        <v>Taxas, multas e outras penalidades</v>
      </c>
      <c r="C17" s="4">
        <v>2807.8204747399986</v>
      </c>
      <c r="D17" s="4">
        <v>2735.9294060000002</v>
      </c>
      <c r="E17" s="4">
        <v>477.74714217000007</v>
      </c>
      <c r="F17" s="4">
        <v>425.33307579999996</v>
      </c>
      <c r="G17" s="4">
        <f t="shared" si="2"/>
        <v>15.546200675617868</v>
      </c>
      <c r="H17" s="4">
        <f t="shared" si="1"/>
        <v>-10.971089462079766</v>
      </c>
      <c r="I17" s="4">
        <f t="shared" si="0"/>
        <v>-0.744525244674763</v>
      </c>
    </row>
    <row r="18" spans="2:9" ht="14.1" customHeight="1">
      <c r="B18" s="121" t="str">
        <f>IF(Indice_index!$Z$1=1,"Transferências correntes","Current transfers")</f>
        <v>Transferências correntes</v>
      </c>
      <c r="C18" s="4">
        <f>SUM(C19:C22)</f>
        <v>31990.23223125999</v>
      </c>
      <c r="D18" s="4">
        <f>SUM(D19:D22)</f>
        <v>34026.463094999999</v>
      </c>
      <c r="E18" s="4">
        <f>SUM(E19:E22)</f>
        <v>4778.4319408399997</v>
      </c>
      <c r="F18" s="4">
        <f>SUM(F19:F22)</f>
        <v>5463.3562347100014</v>
      </c>
      <c r="G18" s="4">
        <f t="shared" si="2"/>
        <v>16.056197846530843</v>
      </c>
      <c r="H18" s="4">
        <f t="shared" si="1"/>
        <v>14.333662221201354</v>
      </c>
      <c r="I18" s="4">
        <f t="shared" si="0"/>
        <v>9.7291330895311958</v>
      </c>
    </row>
    <row r="19" spans="2:9" ht="14.1" customHeight="1">
      <c r="B19" s="165" t="str">
        <f>IF(Indice_index!$Z$1=1,"Administração Central","Central Administration")</f>
        <v>Administração Central</v>
      </c>
      <c r="C19" s="4">
        <v>28339.98430774999</v>
      </c>
      <c r="D19" s="4">
        <v>28894.679361999999</v>
      </c>
      <c r="E19" s="4">
        <v>4197.2778087499992</v>
      </c>
      <c r="F19" s="4">
        <v>4771.0236082600013</v>
      </c>
      <c r="G19" s="4">
        <f t="shared" si="2"/>
        <v>16.51177211031618</v>
      </c>
      <c r="H19" s="4">
        <f t="shared" si="1"/>
        <v>13.669474017514954</v>
      </c>
      <c r="I19" s="4">
        <f t="shared" si="0"/>
        <v>8.1498777207218804</v>
      </c>
    </row>
    <row r="20" spans="2:9" ht="14.1" customHeight="1">
      <c r="B20" s="165" t="str">
        <f>IF(Indice_index!$Z$1=1,"Outros subsetores das Administrações Públicas","Other General Government subsectors")</f>
        <v>Outros subsetores das Administrações Públicas</v>
      </c>
      <c r="C20" s="4">
        <v>1894.2114685999986</v>
      </c>
      <c r="D20" s="4">
        <v>2099.934843</v>
      </c>
      <c r="E20" s="4">
        <v>388.45431432999976</v>
      </c>
      <c r="F20" s="4">
        <v>380.29667536000034</v>
      </c>
      <c r="G20" s="4">
        <f t="shared" si="2"/>
        <v>18.109927392637694</v>
      </c>
      <c r="H20" s="4">
        <f t="shared" si="1"/>
        <v>-2.1000253232016743</v>
      </c>
      <c r="I20" s="4">
        <f t="shared" si="0"/>
        <v>-0.11587668293531776</v>
      </c>
    </row>
    <row r="21" spans="2:9" ht="14.1" customHeight="1">
      <c r="B21" s="165" t="str">
        <f>IF(Indice_index!$Z$1=1,"União Europeia","European Union")</f>
        <v>União Europeia</v>
      </c>
      <c r="C21" s="4">
        <v>1617.8929915046906</v>
      </c>
      <c r="D21" s="4">
        <v>2776.4942999999998</v>
      </c>
      <c r="E21" s="4">
        <v>170.67727772000006</v>
      </c>
      <c r="F21" s="4">
        <v>276.00991026999992</v>
      </c>
      <c r="G21" s="4">
        <f t="shared" si="2"/>
        <v>9.9409500055519633</v>
      </c>
      <c r="H21" s="4">
        <f t="shared" si="1"/>
        <v>61.714502338618516</v>
      </c>
      <c r="I21" s="4">
        <f t="shared" si="0"/>
        <v>1.4962167496779433</v>
      </c>
    </row>
    <row r="22" spans="2:9" ht="14.1" customHeight="1">
      <c r="B22" s="165" t="str">
        <f>IF(Indice_index!$Z$1=1,"Outras transferências","Other transfers")</f>
        <v>Outras transferências</v>
      </c>
      <c r="C22" s="4">
        <v>138.14346340531051</v>
      </c>
      <c r="D22" s="4">
        <v>255.35459000000037</v>
      </c>
      <c r="E22" s="4">
        <v>22.022540040000024</v>
      </c>
      <c r="F22" s="4">
        <v>36.026040820000048</v>
      </c>
      <c r="G22" s="4">
        <f t="shared" si="2"/>
        <v>14.108240944484294</v>
      </c>
      <c r="H22" s="4">
        <f t="shared" si="1"/>
        <v>63.587128253894235</v>
      </c>
      <c r="I22" s="4">
        <f t="shared" si="0"/>
        <v>0.19891530206670227</v>
      </c>
    </row>
    <row r="23" spans="2:9" ht="14.1" customHeight="1">
      <c r="B23" s="121" t="str">
        <f>IF(Indice_index!$Z$1=1,"Outras receitas correntes","Other current revenue")</f>
        <v>Outras receitas correntes</v>
      </c>
      <c r="C23" s="4">
        <v>4334.6418953899974</v>
      </c>
      <c r="D23" s="4">
        <v>6106.1671020000003</v>
      </c>
      <c r="E23" s="4">
        <v>519.48386385000094</v>
      </c>
      <c r="F23" s="4">
        <v>551.69542355000124</v>
      </c>
      <c r="G23" s="4">
        <f t="shared" si="2"/>
        <v>9.035052829938115</v>
      </c>
      <c r="H23" s="4">
        <f t="shared" si="1"/>
        <v>6.2006853227882477</v>
      </c>
      <c r="I23" s="4">
        <f t="shared" si="0"/>
        <v>0.45755502344929783</v>
      </c>
    </row>
    <row r="24" spans="2:9" ht="14.1" customHeight="1">
      <c r="B24" s="121" t="str">
        <f>IF(Indice_index!$Z$1=1,"Diferenças de consolidação","Consolidation differences")</f>
        <v>Diferenças de consolidação</v>
      </c>
      <c r="C24" s="4">
        <v>0.2929446699999998</v>
      </c>
      <c r="D24" s="4">
        <v>2.263079000000026</v>
      </c>
      <c r="E24" s="4">
        <v>51.064907419999585</v>
      </c>
      <c r="F24" s="4">
        <v>6.6302077299992561</v>
      </c>
      <c r="G24" s="4"/>
      <c r="H24" s="4"/>
      <c r="I24" s="4"/>
    </row>
    <row r="25" spans="2:9" ht="14.1" customHeight="1">
      <c r="B25" s="167" t="str">
        <f>IF(Indice_index!$Z$1=1,"Receita de capital","Capital revenue")</f>
        <v>Receita de capital</v>
      </c>
      <c r="C25" s="128">
        <f>SUM(C26:C33)-C27</f>
        <v>5280.6839443400013</v>
      </c>
      <c r="D25" s="128">
        <f>SUM(D26:D33)-D27</f>
        <v>7587.5566899999994</v>
      </c>
      <c r="E25" s="128">
        <f>SUM(E26:E33)-E27</f>
        <v>443.59526356000021</v>
      </c>
      <c r="F25" s="128">
        <f>SUM(F26:F33)-F27</f>
        <v>560.98195280999994</v>
      </c>
      <c r="G25" s="128">
        <f t="shared" ref="G25:G32" si="3">IFERROR(IF(F25/D25*100&lt;-500,"-",IF(F25/D25*100&gt;500,"-",F25/D25*100)),"-")</f>
        <v>7.3934466090954496</v>
      </c>
      <c r="H25" s="128">
        <f t="shared" si="1"/>
        <v>26.462565967889812</v>
      </c>
      <c r="I25" s="128">
        <f t="shared" ref="I25:I32" si="4">IFERROR((F25-E25)/$E$34*100,"-")</f>
        <v>1.6674408148084359</v>
      </c>
    </row>
    <row r="26" spans="2:9" ht="14.1" customHeight="1">
      <c r="B26" s="121" t="str">
        <f>IF(Indice_index!$Z$1=1,"Venda de bens de investimento","Sale of investment goods")</f>
        <v>Venda de bens de investimento</v>
      </c>
      <c r="C26" s="4">
        <v>50.874737760000002</v>
      </c>
      <c r="D26" s="4">
        <v>394.12575399999997</v>
      </c>
      <c r="E26" s="4">
        <v>14.099200719999999</v>
      </c>
      <c r="F26" s="4">
        <v>3.8327083600000003</v>
      </c>
      <c r="G26" s="4">
        <f t="shared" si="3"/>
        <v>0.97245823727621727</v>
      </c>
      <c r="H26" s="4">
        <f t="shared" si="1"/>
        <v>-72.816130246566203</v>
      </c>
      <c r="I26" s="4">
        <f t="shared" si="4"/>
        <v>-0.14583227873072516</v>
      </c>
    </row>
    <row r="27" spans="2:9" ht="14.1" customHeight="1">
      <c r="B27" s="121" t="str">
        <f>IF(Indice_index!$Z$1=1,"Transferências de capital","Capital transfers")</f>
        <v>Transferências de capital</v>
      </c>
      <c r="C27" s="4">
        <f>SUM(C28:C31)</f>
        <v>5109.0736435299996</v>
      </c>
      <c r="D27" s="4">
        <f>SUM(D28:D31)</f>
        <v>7149.4460070000005</v>
      </c>
      <c r="E27" s="4">
        <f>SUM(E28:E31)</f>
        <v>428.1251800600001</v>
      </c>
      <c r="F27" s="4">
        <f>SUM(F28:F31)</f>
        <v>534.14747177000004</v>
      </c>
      <c r="G27" s="4">
        <f t="shared" si="3"/>
        <v>7.4711728887387627</v>
      </c>
      <c r="H27" s="4">
        <f t="shared" si="1"/>
        <v>24.764320495034024</v>
      </c>
      <c r="I27" s="4">
        <f t="shared" si="4"/>
        <v>1.5060131400441585</v>
      </c>
    </row>
    <row r="28" spans="2:9" ht="14.1" customHeight="1">
      <c r="B28" s="165" t="str">
        <f>IF(Indice_index!$Z$1=1,"Administração Central","Central Administration")</f>
        <v>Administração Central</v>
      </c>
      <c r="C28" s="4">
        <v>2867.6830263700003</v>
      </c>
      <c r="D28" s="4">
        <v>3862.5563560000001</v>
      </c>
      <c r="E28" s="4">
        <v>140.22296506000001</v>
      </c>
      <c r="F28" s="4">
        <v>207.58767557000002</v>
      </c>
      <c r="G28" s="4">
        <f t="shared" si="3"/>
        <v>5.3743597875934785</v>
      </c>
      <c r="H28" s="4">
        <f t="shared" si="1"/>
        <v>48.041139681488922</v>
      </c>
      <c r="I28" s="4">
        <f t="shared" si="4"/>
        <v>0.9568944187778009</v>
      </c>
    </row>
    <row r="29" spans="2:9" ht="14.1" customHeight="1">
      <c r="B29" s="165" t="str">
        <f>IF(Indice_index!$Z$1=1,"Outros subsetores das Administrações Públicas","Other General Government subsectors")</f>
        <v>Outros subsetores das Administrações Públicas</v>
      </c>
      <c r="C29" s="4">
        <v>9.4867347899999004</v>
      </c>
      <c r="D29" s="4">
        <v>19.082924999999999</v>
      </c>
      <c r="E29" s="4">
        <v>0.78281154999999103</v>
      </c>
      <c r="F29" s="4">
        <v>2.1915349900000081</v>
      </c>
      <c r="G29" s="4">
        <f t="shared" si="3"/>
        <v>11.484271881800133</v>
      </c>
      <c r="H29" s="4">
        <f t="shared" si="1"/>
        <v>179.95690533692726</v>
      </c>
      <c r="I29" s="4">
        <f t="shared" si="4"/>
        <v>2.0010471167056759E-2</v>
      </c>
    </row>
    <row r="30" spans="2:9" ht="14.1" customHeight="1">
      <c r="B30" s="165" t="str">
        <f>IF(Indice_index!$Z$1=1,"União Europeia","European Union")</f>
        <v>União Europeia</v>
      </c>
      <c r="C30" s="4">
        <v>2009.5923190899996</v>
      </c>
      <c r="D30" s="4">
        <v>3148.2660569999998</v>
      </c>
      <c r="E30" s="4">
        <v>281.20435007000009</v>
      </c>
      <c r="F30" s="4">
        <v>304.13508602999997</v>
      </c>
      <c r="G30" s="4">
        <f t="shared" si="3"/>
        <v>9.6603997414313838</v>
      </c>
      <c r="H30" s="4">
        <f t="shared" si="1"/>
        <v>8.1544741232814282</v>
      </c>
      <c r="I30" s="4">
        <f t="shared" si="4"/>
        <v>0.3257238558953513</v>
      </c>
    </row>
    <row r="31" spans="2:9" ht="14.1" customHeight="1">
      <c r="B31" s="165" t="str">
        <f>IF(Indice_index!$Z$1=1,"Outras transferências","Other transfers")</f>
        <v>Outras transferências</v>
      </c>
      <c r="C31" s="4">
        <v>222.31156327999975</v>
      </c>
      <c r="D31" s="4">
        <v>119.54066899999998</v>
      </c>
      <c r="E31" s="4">
        <v>5.9150533800000176</v>
      </c>
      <c r="F31" s="4">
        <v>20.233175179999989</v>
      </c>
      <c r="G31" s="4">
        <f t="shared" si="3"/>
        <v>16.925767062588541</v>
      </c>
      <c r="H31" s="4">
        <f t="shared" si="1"/>
        <v>242.06242750762681</v>
      </c>
      <c r="I31" s="4">
        <f t="shared" si="4"/>
        <v>0.20338439420394877</v>
      </c>
    </row>
    <row r="32" spans="2:9" ht="14.1" customHeight="1">
      <c r="B32" s="121" t="str">
        <f>IF(Indice_index!$Z$1=1,"Outras receitas de capital","Other capital revenue")</f>
        <v>Outras receitas de capital</v>
      </c>
      <c r="C32" s="4">
        <v>120.73556305000001</v>
      </c>
      <c r="D32" s="4">
        <v>30.290538999999999</v>
      </c>
      <c r="E32" s="4">
        <v>1.3708827800000003</v>
      </c>
      <c r="F32" s="4">
        <v>23.001772679999995</v>
      </c>
      <c r="G32" s="4">
        <f t="shared" si="3"/>
        <v>75.937152125289003</v>
      </c>
      <c r="H32" s="4" t="str">
        <f>IF(IFERROR((F32-E32)/E32*100,"")&gt;500,"-",IFERROR((F32-E32)/E32*100,""))</f>
        <v>-</v>
      </c>
      <c r="I32" s="4">
        <f t="shared" si="4"/>
        <v>0.30725995349500534</v>
      </c>
    </row>
    <row r="33" spans="2:9" ht="13.5" customHeight="1">
      <c r="B33" s="121" t="str">
        <f>IF(Indice_index!$Z$1=1,"Diferenças de consolidação","Consolidation differences")</f>
        <v>Diferenças de consolidação</v>
      </c>
      <c r="C33" s="4">
        <v>0</v>
      </c>
      <c r="D33" s="4">
        <v>13.694389999999999</v>
      </c>
      <c r="E33" s="4">
        <v>0</v>
      </c>
      <c r="F33" s="4">
        <v>0</v>
      </c>
      <c r="G33" s="4"/>
      <c r="H33" s="4"/>
      <c r="I33" s="4"/>
    </row>
    <row r="34" spans="2:9" ht="14.1" customHeight="1">
      <c r="B34" s="29" t="str">
        <f>IF(Indice_index!$Z$1=1,"Receita efetiva","Effective revenue")</f>
        <v>Receita efetiva</v>
      </c>
      <c r="C34" s="18">
        <f>C12+C25</f>
        <v>49788.537428590011</v>
      </c>
      <c r="D34" s="18">
        <f>D12+D25</f>
        <v>55716.776958999995</v>
      </c>
      <c r="E34" s="18">
        <f>E12+E25</f>
        <v>7039.9313851199995</v>
      </c>
      <c r="F34" s="18">
        <f>F12+F25</f>
        <v>7805.3698006600007</v>
      </c>
      <c r="G34" s="18">
        <f>IFERROR(IF(F34/D34*100&lt;-500,"-",IF(F34/D34*100&gt;500,"-",F34/D34*100)),"-")</f>
        <v>14.009011695711862</v>
      </c>
      <c r="H34" s="18">
        <f>IFERROR(IF(E34=0,"-",(F34-E34)/E34*100),"-")</f>
        <v>10.872810737301721</v>
      </c>
      <c r="I34" s="18"/>
    </row>
    <row r="35" spans="2:9" ht="14.1" customHeight="1">
      <c r="B35" s="167" t="str">
        <f>IF(Indice_index!$Z$1=1,"Despesa corrente","Current Expenditure")</f>
        <v>Despesa corrente</v>
      </c>
      <c r="C35" s="128">
        <f>SUM(C36:C49)-C36-C42</f>
        <v>42727.03875534</v>
      </c>
      <c r="D35" s="128">
        <f>SUM(D36:D49)-D36-D42</f>
        <v>46202.647798999998</v>
      </c>
      <c r="E35" s="128">
        <f>SUM(E36:E49)-E36-E42</f>
        <v>5234.4015764899996</v>
      </c>
      <c r="F35" s="128">
        <f>SUM(F36:F49)-F36-F42</f>
        <v>5699.9633037399999</v>
      </c>
      <c r="G35" s="128">
        <f t="shared" ref="G35:G48" si="5">IFERROR(IF(F35/D35*100&lt;-500,"-",IF(F35/D35*100&gt;500,"-",F35/D35*100)),"-")</f>
        <v>12.33687586161105</v>
      </c>
      <c r="H35" s="128">
        <f t="shared" ref="H35:H57" si="6">IF(IFERROR((F35-E35)/E35*100,"")&gt;500,"-",IFERROR((F35-E35)/E35*100,""))</f>
        <v>8.8942684363584732</v>
      </c>
      <c r="I35" s="128">
        <f t="shared" ref="I35:I48" si="7">IFERROR((F35-E35)/$E$59*100,"-")</f>
        <v>7.7251111306949296</v>
      </c>
    </row>
    <row r="36" spans="2:9" ht="14.1" customHeight="1">
      <c r="B36" s="121" t="str">
        <f>IF(Indice_index!$Z$1=1,"Despesas com pessoal","Employees")</f>
        <v>Despesas com pessoal</v>
      </c>
      <c r="C36" s="4">
        <f>SUM(C37:C39)</f>
        <v>11583.775517790004</v>
      </c>
      <c r="D36" s="4">
        <f>SUM(D37:D39)</f>
        <v>12529.946465000001</v>
      </c>
      <c r="E36" s="4">
        <f>SUM(E37:E39)</f>
        <v>1643.2280541</v>
      </c>
      <c r="F36" s="4">
        <f>SUM(F37:F39)</f>
        <v>1711.8223831300011</v>
      </c>
      <c r="G36" s="4">
        <f t="shared" si="5"/>
        <v>13.661849138076112</v>
      </c>
      <c r="H36" s="4">
        <f t="shared" si="6"/>
        <v>4.1743645295521894</v>
      </c>
      <c r="I36" s="4">
        <f t="shared" si="7"/>
        <v>1.1381923892718593</v>
      </c>
    </row>
    <row r="37" spans="2:9" ht="14.1" customHeight="1">
      <c r="B37" s="165" t="str">
        <f>IF(Indice_index!$Z$1=1,"Remunerações certas e permanentes","Certain and permanent wages")</f>
        <v>Remunerações certas e permanentes</v>
      </c>
      <c r="C37" s="4">
        <v>8094.8483851400024</v>
      </c>
      <c r="D37" s="4">
        <v>8795.8129759999993</v>
      </c>
      <c r="E37" s="4">
        <v>1123.5195280100002</v>
      </c>
      <c r="F37" s="4">
        <v>1184.8622449800007</v>
      </c>
      <c r="G37" s="4">
        <f t="shared" si="5"/>
        <v>13.470753052764781</v>
      </c>
      <c r="H37" s="4">
        <f t="shared" si="6"/>
        <v>5.4598710071957504</v>
      </c>
      <c r="I37" s="4">
        <f t="shared" si="7"/>
        <v>1.0178656833566413</v>
      </c>
    </row>
    <row r="38" spans="2:9" ht="14.1" customHeight="1">
      <c r="B38" s="165" t="str">
        <f>IF(Indice_index!$Z$1=1,"Abonos variáveis ou eventuais","Variable or contingent bonuses")</f>
        <v>Abonos variáveis ou eventuais</v>
      </c>
      <c r="C38" s="4">
        <v>1302.0685679000001</v>
      </c>
      <c r="D38" s="4">
        <v>1343.5264320000001</v>
      </c>
      <c r="E38" s="4">
        <v>232.37992656000017</v>
      </c>
      <c r="F38" s="4">
        <v>213.81374120000004</v>
      </c>
      <c r="G38" s="4">
        <f t="shared" si="5"/>
        <v>15.914368047207875</v>
      </c>
      <c r="H38" s="4">
        <f t="shared" si="6"/>
        <v>-7.9895822478480607</v>
      </c>
      <c r="I38" s="4">
        <f t="shared" si="7"/>
        <v>-0.30807052380846706</v>
      </c>
    </row>
    <row r="39" spans="2:9" ht="14.1" customHeight="1">
      <c r="B39" s="165" t="str">
        <f>IF(Indice_index!$Z$1=1,"Segurança Social","Social security")</f>
        <v>Segurança Social</v>
      </c>
      <c r="C39" s="4">
        <v>2186.8585647500008</v>
      </c>
      <c r="D39" s="4">
        <v>2390.6070570000002</v>
      </c>
      <c r="E39" s="4">
        <v>287.32859952999979</v>
      </c>
      <c r="F39" s="4">
        <v>313.14639695000022</v>
      </c>
      <c r="G39" s="4">
        <f t="shared" si="5"/>
        <v>13.099032567191163</v>
      </c>
      <c r="H39" s="4">
        <f t="shared" si="6"/>
        <v>8.9854603621888369</v>
      </c>
      <c r="I39" s="4">
        <f t="shared" si="7"/>
        <v>0.42839722972368111</v>
      </c>
    </row>
    <row r="40" spans="2:9" ht="14.1" customHeight="1">
      <c r="B40" s="121" t="str">
        <f>IF(Indice_index!$Z$1=1,"Aquisição de bens e serviços","Purchase of goods and services")</f>
        <v>Aquisição de bens e serviços</v>
      </c>
      <c r="C40" s="4">
        <v>12655.977424549999</v>
      </c>
      <c r="D40" s="4">
        <v>12328.393422000001</v>
      </c>
      <c r="E40" s="4">
        <v>1376.8729821500006</v>
      </c>
      <c r="F40" s="4">
        <v>1534.6264248599996</v>
      </c>
      <c r="G40" s="4">
        <f t="shared" si="5"/>
        <v>12.447902758533491</v>
      </c>
      <c r="H40" s="4">
        <f t="shared" si="6"/>
        <v>11.457370778215541</v>
      </c>
      <c r="I40" s="4">
        <f t="shared" si="7"/>
        <v>2.6176182552266654</v>
      </c>
    </row>
    <row r="41" spans="2:9" ht="14.1" customHeight="1">
      <c r="B41" s="121" t="str">
        <f>IF(Indice_index!$Z$1=1,"Juros e outros encargos","Interests")</f>
        <v>Juros e outros encargos</v>
      </c>
      <c r="C41" s="4">
        <v>222.25689563000003</v>
      </c>
      <c r="D41" s="4">
        <v>158.122186</v>
      </c>
      <c r="E41" s="4">
        <v>15.830921350000002</v>
      </c>
      <c r="F41" s="4">
        <v>16.745042549999997</v>
      </c>
      <c r="G41" s="4">
        <f t="shared" si="5"/>
        <v>10.589938688300196</v>
      </c>
      <c r="H41" s="4">
        <f t="shared" si="6"/>
        <v>5.7742766816284821</v>
      </c>
      <c r="I41" s="4">
        <f t="shared" si="7"/>
        <v>1.5168102194818383E-2</v>
      </c>
    </row>
    <row r="42" spans="2:9" ht="14.1" customHeight="1">
      <c r="B42" s="121" t="str">
        <f>IF(Indice_index!$Z$1=1,"Transferências correntes","Current transfers")</f>
        <v>Transferências correntes</v>
      </c>
      <c r="C42" s="4">
        <f>SUM(C43:C46)</f>
        <v>17071.611289380002</v>
      </c>
      <c r="D42" s="258">
        <v>17651.017356</v>
      </c>
      <c r="E42" s="4">
        <f>SUM(E43:E46)</f>
        <v>2092.7883646499995</v>
      </c>
      <c r="F42" s="4">
        <f>SUM(F43:F46)</f>
        <v>2311.2935132600001</v>
      </c>
      <c r="G42" s="4">
        <f t="shared" si="5"/>
        <v>13.094392615700059</v>
      </c>
      <c r="H42" s="4">
        <f t="shared" si="6"/>
        <v>10.440862167472135</v>
      </c>
      <c r="I42" s="4">
        <f t="shared" si="7"/>
        <v>3.6256772342775601</v>
      </c>
    </row>
    <row r="43" spans="2:9" ht="14.1" customHeight="1">
      <c r="B43" s="165" t="str">
        <f>IF(Indice_index!$Z$1=1,"Administração Central","Central Administration")</f>
        <v>Administração Central</v>
      </c>
      <c r="C43" s="4">
        <v>619.78177378999999</v>
      </c>
      <c r="D43" s="4">
        <v>548.54895199999999</v>
      </c>
      <c r="E43" s="4">
        <v>48.980373369999995</v>
      </c>
      <c r="F43" s="4">
        <v>76.574120199999982</v>
      </c>
      <c r="G43" s="4">
        <f t="shared" si="5"/>
        <v>13.959395951958719</v>
      </c>
      <c r="H43" s="4">
        <f t="shared" si="6"/>
        <v>56.336334191565982</v>
      </c>
      <c r="I43" s="4">
        <f t="shared" si="7"/>
        <v>0.45786573143188003</v>
      </c>
    </row>
    <row r="44" spans="2:9" ht="14.1" customHeight="1">
      <c r="B44" s="165" t="str">
        <f>IF(Indice_index!$Z$1=1,"Outros subsetores das Administrações Públicas","Other General Government subsectors")</f>
        <v>Outros subsetores das Administrações Públicas</v>
      </c>
      <c r="C44" s="4">
        <v>1281.0067135300001</v>
      </c>
      <c r="D44" s="4">
        <v>1493.0918240000001</v>
      </c>
      <c r="E44" s="4">
        <v>40.771584500000003</v>
      </c>
      <c r="F44" s="4">
        <v>83.92883753000001</v>
      </c>
      <c r="G44" s="4">
        <f t="shared" si="5"/>
        <v>5.6211437354974096</v>
      </c>
      <c r="H44" s="4">
        <f t="shared" si="6"/>
        <v>105.85130197723859</v>
      </c>
      <c r="I44" s="4">
        <f t="shared" si="7"/>
        <v>0.71611250718906749</v>
      </c>
    </row>
    <row r="45" spans="2:9" ht="14.1" customHeight="1">
      <c r="B45" s="165" t="str">
        <f>IF(Indice_index!$Z$1=1,"União Europeia","European Union")</f>
        <v>União Europeia</v>
      </c>
      <c r="C45" s="4">
        <v>53.732207039999992</v>
      </c>
      <c r="D45" s="4">
        <v>26.838592999999999</v>
      </c>
      <c r="E45" s="4">
        <v>11.60807353</v>
      </c>
      <c r="F45" s="4">
        <v>10.585710420000002</v>
      </c>
      <c r="G45" s="4">
        <f t="shared" si="5"/>
        <v>39.442121351145353</v>
      </c>
      <c r="H45" s="4">
        <f t="shared" si="6"/>
        <v>-8.8073452270766133</v>
      </c>
      <c r="I45" s="4">
        <f t="shared" si="7"/>
        <v>-1.6964170760608566E-2</v>
      </c>
    </row>
    <row r="46" spans="2:9" ht="14.1" customHeight="1">
      <c r="B46" s="165" t="str">
        <f>IF(Indice_index!$Z$1=1,"Outras transferências","Other transfers")</f>
        <v>Outras transferências</v>
      </c>
      <c r="C46" s="4">
        <v>15117.090595020001</v>
      </c>
      <c r="D46" s="4">
        <v>16038.316558999999</v>
      </c>
      <c r="E46" s="4">
        <v>1991.4283332499995</v>
      </c>
      <c r="F46" s="4">
        <v>2140.20484511</v>
      </c>
      <c r="G46" s="4">
        <f t="shared" si="5"/>
        <v>13.344323497025695</v>
      </c>
      <c r="H46" s="4">
        <f t="shared" si="6"/>
        <v>7.4708443872141803</v>
      </c>
      <c r="I46" s="4">
        <f t="shared" si="7"/>
        <v>2.4686631664172198</v>
      </c>
    </row>
    <row r="47" spans="2:9" ht="14.1" customHeight="1">
      <c r="B47" s="121" t="str">
        <f>IF(Indice_index!$Z$1=1,"Subsídios","Subsidies")</f>
        <v>Subsídios</v>
      </c>
      <c r="C47" s="4">
        <v>707.76890033000029</v>
      </c>
      <c r="D47" s="4">
        <v>811.27096800000004</v>
      </c>
      <c r="E47" s="4">
        <v>74.113141660000011</v>
      </c>
      <c r="F47" s="4">
        <v>75.095565710000002</v>
      </c>
      <c r="G47" s="4">
        <f t="shared" si="5"/>
        <v>9.2565331032528704</v>
      </c>
      <c r="H47" s="4">
        <f t="shared" si="6"/>
        <v>1.3255733436681727</v>
      </c>
      <c r="I47" s="4">
        <f t="shared" si="7"/>
        <v>1.6301458044127321E-2</v>
      </c>
    </row>
    <row r="48" spans="2:9" ht="14.1" customHeight="1">
      <c r="B48" s="121" t="str">
        <f>IF(Indice_index!$Z$1=1,"Outras despesas correntes","Other current expenditure")</f>
        <v>Outras despesas correntes</v>
      </c>
      <c r="C48" s="4">
        <v>481.57067337000052</v>
      </c>
      <c r="D48" s="4">
        <v>2268.1121640000001</v>
      </c>
      <c r="E48" s="4">
        <v>31.568112579999983</v>
      </c>
      <c r="F48" s="4">
        <v>29.181324529999987</v>
      </c>
      <c r="G48" s="4">
        <f t="shared" si="5"/>
        <v>1.2865908923364862</v>
      </c>
      <c r="H48" s="4">
        <f t="shared" si="6"/>
        <v>-7.5607562661574796</v>
      </c>
      <c r="I48" s="4">
        <f t="shared" si="7"/>
        <v>-3.960420681608897E-2</v>
      </c>
    </row>
    <row r="49" spans="2:10" ht="14.1" customHeight="1">
      <c r="B49" s="121" t="str">
        <f>IF(Indice_index!$Z$1=1,"Diferenças de consolidação","Consolidation differences")</f>
        <v>Diferenças de consolidação</v>
      </c>
      <c r="C49" s="4">
        <v>4.0780542899948538</v>
      </c>
      <c r="D49" s="4">
        <v>6.6659999993134988E-3</v>
      </c>
      <c r="E49" s="4">
        <v>0</v>
      </c>
      <c r="F49" s="4">
        <v>21.199049699999989</v>
      </c>
      <c r="G49" s="4"/>
      <c r="H49" s="4"/>
      <c r="I49" s="4"/>
    </row>
    <row r="50" spans="2:10" ht="14.1" customHeight="1">
      <c r="B50" s="167" t="str">
        <f>IF(Indice_index!$Z$1=1,"Despesa de capital","Capital expenditure")</f>
        <v>Despesa de capital</v>
      </c>
      <c r="C50" s="128">
        <f>SUM(C51:C58)-C52</f>
        <v>6344.6876346499994</v>
      </c>
      <c r="D50" s="128">
        <f>SUM(D51:D58)-D52</f>
        <v>9859.7614469999971</v>
      </c>
      <c r="E50" s="128">
        <f>SUM(E51:E58)-E52</f>
        <v>792.20075159999999</v>
      </c>
      <c r="F50" s="128">
        <f>SUM(F51:F58)-F52</f>
        <v>988.27414586999953</v>
      </c>
      <c r="G50" s="128">
        <f t="shared" ref="G50:G57" si="8">IFERROR(IF(F50/D50*100&lt;-500,"-",IF(F50/D50*100&gt;500,"-",F50/D50*100)),"-")</f>
        <v>10.023306863785217</v>
      </c>
      <c r="H50" s="128">
        <f t="shared" si="6"/>
        <v>24.750468094607591</v>
      </c>
      <c r="I50" s="128">
        <f t="shared" ref="I50:I57" si="9">IFERROR((F50-E50)/$E$59*100,"-")</f>
        <v>3.2534649475061803</v>
      </c>
    </row>
    <row r="51" spans="2:10" ht="14.1" customHeight="1">
      <c r="B51" s="121" t="str">
        <f>IF(Indice_index!$Z$1=1,"Investimento","Investment")</f>
        <v>Investimento</v>
      </c>
      <c r="C51" s="4">
        <v>3702.3389368000007</v>
      </c>
      <c r="D51" s="4">
        <v>6086.3819389999999</v>
      </c>
      <c r="E51" s="4">
        <v>542.6861841299999</v>
      </c>
      <c r="F51" s="4">
        <v>550.9509327799999</v>
      </c>
      <c r="G51" s="4">
        <f t="shared" si="8"/>
        <v>9.0521912410663106</v>
      </c>
      <c r="H51" s="4">
        <f t="shared" si="6"/>
        <v>1.5229333068888649</v>
      </c>
      <c r="I51" s="4">
        <f t="shared" si="9"/>
        <v>0.13713778012990832</v>
      </c>
    </row>
    <row r="52" spans="2:10" ht="14.1" customHeight="1">
      <c r="B52" s="121" t="str">
        <f>IF(Indice_index!$Z$1=1,"Transferências de capital","Capital transfers")</f>
        <v>Transferências de capital</v>
      </c>
      <c r="C52" s="4">
        <f>SUM(C53:C56)</f>
        <v>2354.8781591800002</v>
      </c>
      <c r="D52" s="4">
        <f>SUM(D53:D56)</f>
        <v>3559.1476769999999</v>
      </c>
      <c r="E52" s="4">
        <f>SUM(E53:E56)</f>
        <v>205.35879388000004</v>
      </c>
      <c r="F52" s="4">
        <f>SUM(F53:F56)</f>
        <v>401.08877210999998</v>
      </c>
      <c r="G52" s="4">
        <f t="shared" si="8"/>
        <v>11.269236584419478</v>
      </c>
      <c r="H52" s="4">
        <f t="shared" si="6"/>
        <v>95.311223119265776</v>
      </c>
      <c r="I52" s="4">
        <f t="shared" si="9"/>
        <v>3.2477666116727546</v>
      </c>
    </row>
    <row r="53" spans="2:10" ht="14.1" customHeight="1">
      <c r="B53" s="165" t="str">
        <f>IF(Indice_index!$Z$1=1,"Administração Central","Central Administration")</f>
        <v>Administração Central</v>
      </c>
      <c r="C53" s="4">
        <v>99.348130650000002</v>
      </c>
      <c r="D53" s="4">
        <v>151.00364099999999</v>
      </c>
      <c r="E53" s="4">
        <v>1.1169124399999999</v>
      </c>
      <c r="F53" s="4">
        <v>7.1040155899999995</v>
      </c>
      <c r="G53" s="4">
        <f t="shared" si="8"/>
        <v>4.7045326476597999</v>
      </c>
      <c r="H53" s="4" t="str">
        <f t="shared" si="6"/>
        <v>-</v>
      </c>
      <c r="I53" s="4">
        <f t="shared" si="9"/>
        <v>9.9344586286938236E-2</v>
      </c>
    </row>
    <row r="54" spans="2:10" ht="14.1" customHeight="1">
      <c r="B54" s="165" t="str">
        <f>IF(Indice_index!$Z$1=1,"Outros subsetores das Administrações Públicas","Other General Government subsectors")</f>
        <v>Outros subsetores das Administrações Públicas</v>
      </c>
      <c r="C54" s="4">
        <v>744.51875327000016</v>
      </c>
      <c r="D54" s="4">
        <v>629.35150099999998</v>
      </c>
      <c r="E54" s="4">
        <v>8.0335937700000013</v>
      </c>
      <c r="F54" s="4">
        <v>99.311477670000002</v>
      </c>
      <c r="G54" s="4">
        <f t="shared" si="8"/>
        <v>15.779969939247035</v>
      </c>
      <c r="H54" s="4" t="str">
        <f t="shared" si="6"/>
        <v>-</v>
      </c>
      <c r="I54" s="4">
        <f t="shared" si="9"/>
        <v>1.5145828267870554</v>
      </c>
    </row>
    <row r="55" spans="2:10" ht="14.1" customHeight="1">
      <c r="B55" s="165" t="str">
        <f>IF(Indice_index!$Z$1=1,"União Europeia","European Union")</f>
        <v>União Europeia</v>
      </c>
      <c r="C55" s="4">
        <v>0.63829776821773632</v>
      </c>
      <c r="D55" s="4">
        <v>4.1939019999999996</v>
      </c>
      <c r="E55" s="4">
        <v>0</v>
      </c>
      <c r="F55" s="4">
        <v>0.38608364000000001</v>
      </c>
      <c r="G55" s="4">
        <f t="shared" si="8"/>
        <v>9.2058336127072113</v>
      </c>
      <c r="H55" s="4" t="str">
        <f t="shared" si="6"/>
        <v>-</v>
      </c>
      <c r="I55" s="4">
        <f t="shared" si="9"/>
        <v>6.406323480155041E-3</v>
      </c>
    </row>
    <row r="56" spans="2:10" ht="14.1" customHeight="1">
      <c r="B56" s="165" t="str">
        <f>IF(Indice_index!$Z$1=1,"Outras transferências","Other transfers")</f>
        <v>Outras transferências</v>
      </c>
      <c r="C56" s="4">
        <v>1510.3729774917824</v>
      </c>
      <c r="D56" s="4">
        <v>2774.5986330000001</v>
      </c>
      <c r="E56" s="4">
        <v>196.20828767000003</v>
      </c>
      <c r="F56" s="4">
        <v>294.28719520999999</v>
      </c>
      <c r="G56" s="4">
        <f t="shared" si="8"/>
        <v>10.606478058118469</v>
      </c>
      <c r="H56" s="4">
        <f t="shared" si="6"/>
        <v>49.98713800762458</v>
      </c>
      <c r="I56" s="4">
        <f t="shared" si="9"/>
        <v>1.6274328751186067</v>
      </c>
    </row>
    <row r="57" spans="2:10" ht="14.1" customHeight="1">
      <c r="B57" s="121" t="str">
        <f>IF(Indice_index!$Z$1=1,"Outras despesas de capital","Other capital expenditure")</f>
        <v>Outras despesas de capital</v>
      </c>
      <c r="C57" s="4">
        <v>104.45731962000001</v>
      </c>
      <c r="D57" s="4">
        <v>214.231831</v>
      </c>
      <c r="E57" s="4">
        <v>13.635571429999999</v>
      </c>
      <c r="F57" s="4">
        <v>11.54481152</v>
      </c>
      <c r="G57" s="4">
        <f t="shared" si="8"/>
        <v>5.3889337854746708</v>
      </c>
      <c r="H57" s="4">
        <f t="shared" si="6"/>
        <v>-15.333130120238748</v>
      </c>
      <c r="I57" s="4">
        <f t="shared" si="9"/>
        <v>-3.4692183027490713E-2</v>
      </c>
    </row>
    <row r="58" spans="2:10" ht="14.1" customHeight="1">
      <c r="B58" s="121" t="str">
        <f>IF(Indice_index!$Z$1=1,"Diferenças de consolidação","Consolidation differences")</f>
        <v>Diferenças de consolidação</v>
      </c>
      <c r="C58" s="4">
        <v>183.01321904999975</v>
      </c>
      <c r="D58" s="4">
        <v>0</v>
      </c>
      <c r="E58" s="4">
        <v>30.520202159999997</v>
      </c>
      <c r="F58" s="4">
        <v>24.689629459999978</v>
      </c>
      <c r="G58" s="4"/>
      <c r="H58" s="4"/>
      <c r="I58" s="4"/>
    </row>
    <row r="59" spans="2:10" ht="14.1" customHeight="1">
      <c r="B59" s="29" t="str">
        <f>IF(Indice_index!$Z$1=1,"Despesa efetiva","Effective Expenditure")</f>
        <v>Despesa efetiva</v>
      </c>
      <c r="C59" s="18">
        <f>+C35+C50</f>
        <v>49071.726389989999</v>
      </c>
      <c r="D59" s="18">
        <f>+D35+D50</f>
        <v>56062.409245999996</v>
      </c>
      <c r="E59" s="18">
        <f>+E35+E50</f>
        <v>6026.6023280899999</v>
      </c>
      <c r="F59" s="18">
        <f>+F35+F50</f>
        <v>6688.2374496099992</v>
      </c>
      <c r="G59" s="18">
        <f>IFERROR(IF(F59/D59*100&lt;-500,"-",IF(F59/D59*100&gt;500,"-",F59/D59*100)),"-")</f>
        <v>11.929985777568413</v>
      </c>
      <c r="H59" s="18">
        <f>IFERROR(IF(E59=0,"-",(F59-E59)/E59*100),"-")</f>
        <v>10.978576078201099</v>
      </c>
      <c r="I59" s="18"/>
    </row>
    <row r="60" spans="2:10" ht="14.1" customHeight="1">
      <c r="B60" s="29" t="str">
        <f>IF(Indice_index!$Z$1=1,"Saldo global","Overall Balance")</f>
        <v>Saldo global</v>
      </c>
      <c r="C60" s="18">
        <f>+(C12+C25)-(C35+C50)</f>
        <v>716.81103860001167</v>
      </c>
      <c r="D60" s="18">
        <f>+(D12+D25)-(D35+D50)</f>
        <v>-345.63228700000036</v>
      </c>
      <c r="E60" s="18">
        <f>+(E12+E25)-(E35+E50)</f>
        <v>1013.3290570299996</v>
      </c>
      <c r="F60" s="18">
        <f>+(F12+F25)-(F35+F50)</f>
        <v>1117.1323510500015</v>
      </c>
      <c r="G60" s="18"/>
      <c r="H60" s="18"/>
      <c r="I60" s="18"/>
    </row>
    <row r="61" spans="2:10" ht="14.1" customHeight="1">
      <c r="B61" s="121" t="str">
        <f>IF(Indice_index!$Z$1=1,"Despesa primária","Primary Expenditure")</f>
        <v>Despesa primária</v>
      </c>
      <c r="C61" s="4">
        <f>C59-C41</f>
        <v>48849.469494359997</v>
      </c>
      <c r="D61" s="4">
        <f>D59-D41</f>
        <v>55904.287059999995</v>
      </c>
      <c r="E61" s="4">
        <f>E59-E41</f>
        <v>6010.7714067400002</v>
      </c>
      <c r="F61" s="4">
        <f>F59-F41</f>
        <v>6671.4924070599991</v>
      </c>
      <c r="G61" s="4">
        <f>IFERROR(IF(F61/D61*100&lt;-500,"-",IF(F61/D61*100&gt;500,"-",F61/D61*100)),"-")</f>
        <v>11.933776026693147</v>
      </c>
      <c r="H61" s="4">
        <f>IFERROR(IF(E61=0,"-",(F61-E61)/E61*100),"-")</f>
        <v>10.992282946896283</v>
      </c>
      <c r="I61" s="4"/>
      <c r="J61" s="198"/>
    </row>
    <row r="62" spans="2:10" ht="14.1" customHeight="1">
      <c r="B62" s="121" t="str">
        <f>IF(Indice_index!$Z$1=1,"Saldo corrente","Current balance")</f>
        <v>Saldo corrente</v>
      </c>
      <c r="C62" s="4">
        <f>+C12-C35</f>
        <v>1780.8147289100089</v>
      </c>
      <c r="D62" s="4">
        <f>+D12-D35</f>
        <v>1926.5724699999992</v>
      </c>
      <c r="E62" s="4">
        <f>+E12-E35</f>
        <v>1361.9345450699993</v>
      </c>
      <c r="F62" s="4">
        <f>+F12-F35</f>
        <v>1544.4245441100011</v>
      </c>
      <c r="G62" s="4"/>
      <c r="H62" s="4"/>
      <c r="I62" s="4"/>
    </row>
    <row r="63" spans="2:10" ht="14.1" customHeight="1">
      <c r="B63" s="121" t="str">
        <f>IF(Indice_index!$Z$1=1,"Saldo de capital","Capital balance")</f>
        <v>Saldo de capital</v>
      </c>
      <c r="C63" s="4">
        <f>C25-C50</f>
        <v>-1064.0036903099981</v>
      </c>
      <c r="D63" s="4">
        <f>D25-D50</f>
        <v>-2272.2047569999977</v>
      </c>
      <c r="E63" s="4">
        <f>E25-E50</f>
        <v>-348.60548803999978</v>
      </c>
      <c r="F63" s="4">
        <f>F25-F50</f>
        <v>-427.29219305999959</v>
      </c>
      <c r="G63" s="4"/>
      <c r="H63" s="4"/>
      <c r="I63" s="4"/>
    </row>
    <row r="64" spans="2:10" ht="14.1" customHeight="1">
      <c r="B64" s="121" t="str">
        <f>IF(Indice_index!$Z$1=1,"Saldo primário","Primary balance")</f>
        <v>Saldo primário</v>
      </c>
      <c r="C64" s="4">
        <f>C60+C41</f>
        <v>939.0679342300117</v>
      </c>
      <c r="D64" s="4">
        <f>D60+D41</f>
        <v>-187.51010100000036</v>
      </c>
      <c r="E64" s="4">
        <f>E60+E41</f>
        <v>1029.1599783799995</v>
      </c>
      <c r="F64" s="4">
        <f>F60+F41</f>
        <v>1133.8773936000016</v>
      </c>
      <c r="G64" s="4"/>
      <c r="H64" s="4"/>
      <c r="I64" s="4"/>
    </row>
    <row r="65" spans="2:10" ht="14.1" customHeight="1">
      <c r="B65" s="121" t="str">
        <f>IF(Indice_index!$Z$1=1,"Ativos financeiros líquidos de reembolsos","Financial assets net of reimbursements")</f>
        <v>Ativos financeiros líquidos de reembolsos</v>
      </c>
      <c r="C65" s="4">
        <v>-1034.8949409800007</v>
      </c>
      <c r="D65" s="4">
        <v>1634.5279599999994</v>
      </c>
      <c r="E65" s="4">
        <v>-4527.6170287000004</v>
      </c>
      <c r="F65" s="4">
        <v>-3425.0930137100022</v>
      </c>
      <c r="G65" s="4"/>
      <c r="H65" s="4"/>
      <c r="I65" s="4"/>
    </row>
    <row r="66" spans="2:10" ht="14.1" customHeight="1">
      <c r="B66" s="271" t="str">
        <f>IF(Indice_index!$Z$1=1,"dos quais Receitas de:","of which revenue from:")</f>
        <v>dos quais Receitas de:</v>
      </c>
      <c r="C66" s="4"/>
      <c r="D66" s="4"/>
      <c r="E66" s="4"/>
      <c r="F66" s="4"/>
      <c r="G66" s="4"/>
      <c r="H66" s="4"/>
      <c r="I66" s="4"/>
    </row>
    <row r="67" spans="2:10" ht="15.75" customHeight="1">
      <c r="B67" s="165" t="str">
        <f>IF(Indice_index!$Z$1=1,"Alienação de partes de Capital","Disposal of Capital Shares")</f>
        <v>Alienação de partes de Capital</v>
      </c>
      <c r="C67" s="4">
        <v>1.2010000000000001</v>
      </c>
      <c r="D67" s="4"/>
      <c r="E67" s="4">
        <v>0</v>
      </c>
      <c r="F67" s="4">
        <v>0</v>
      </c>
      <c r="G67" s="4"/>
      <c r="H67" s="4"/>
      <c r="I67" s="4"/>
    </row>
    <row r="68" spans="2:10" ht="12.75" customHeight="1">
      <c r="B68" s="165" t="str">
        <f>IF(Indice_index!$Z$1=1,"Outros ativos","Other Assets")</f>
        <v>Outros ativos</v>
      </c>
      <c r="C68" s="4">
        <v>10549.395133410002</v>
      </c>
      <c r="D68" s="4">
        <v>11890.610206000001</v>
      </c>
      <c r="E68" s="4">
        <v>6552.5747188800005</v>
      </c>
      <c r="F68" s="4">
        <v>6170.4517761900015</v>
      </c>
      <c r="G68" s="4"/>
      <c r="H68" s="4">
        <f>IF(IFERROR((F68-E68)/E68*100,"")&gt;500,"-",IFERROR((F68-E68)/E68*100,""))</f>
        <v>-5.8316457130810626</v>
      </c>
      <c r="I68" s="4"/>
    </row>
    <row r="69" spans="2:10" ht="13.5" customHeight="1">
      <c r="B69" s="121" t="str">
        <f>IF(Indice_index!$Z$1=1,"Passivos financeiros líquidos de amortizações","Financial liabilities net of amortizations")</f>
        <v>Passivos financeiros líquidos de amortizações</v>
      </c>
      <c r="C69" s="4">
        <v>2626.0996744200006</v>
      </c>
      <c r="D69" s="4">
        <v>3012.0363579999994</v>
      </c>
      <c r="E69" s="4">
        <v>497.29534082999999</v>
      </c>
      <c r="F69" s="4">
        <v>361.06249645000008</v>
      </c>
      <c r="G69" s="4"/>
      <c r="H69" s="4"/>
      <c r="I69" s="4"/>
    </row>
    <row r="70" spans="2:10" ht="13.5" customHeight="1">
      <c r="B70" s="166" t="str">
        <f>IF(Indice_index!$Z$1=1,"Poupança (+) / Utilização (-) de saldo da gerência anterior","Saving (+) / Usage (-) of balance from previous management")</f>
        <v>Poupança (+) / Utilização (-) de saldo da gerência anterior</v>
      </c>
      <c r="C70" s="19">
        <f>C60-C65+C69</f>
        <v>4377.8056540000125</v>
      </c>
      <c r="D70" s="19">
        <f>D60-D65+D69</f>
        <v>1031.8761109999996</v>
      </c>
      <c r="E70" s="19">
        <f>E60-E65+E69</f>
        <v>6038.24142656</v>
      </c>
      <c r="F70" s="19">
        <f>F60-F65+F69</f>
        <v>4903.2878612100039</v>
      </c>
      <c r="G70" s="19"/>
      <c r="H70" s="19"/>
      <c r="I70" s="19"/>
    </row>
    <row r="71" spans="2:10" ht="15">
      <c r="B71" s="9" t="str">
        <f>IF(Indice_index!$Z$1=1,"Notas:","Notes:")</f>
        <v>Notas:</v>
      </c>
      <c r="C71" s="9"/>
      <c r="D71" s="9"/>
      <c r="E71" s="9"/>
      <c r="F71" s="9"/>
      <c r="G71" s="9"/>
      <c r="H71" s="9"/>
      <c r="I71" s="9"/>
    </row>
    <row r="72" spans="2:10" ht="15">
      <c r="B72" s="376" t="str">
        <f>+'3 - Conta AC + SS'!$B$61</f>
        <v>Os dados de 2025 são mensalmente revistos e atualizados face ao publicado nas Sínteses de Execução Orçamental de 2025.</v>
      </c>
      <c r="C72" s="376"/>
      <c r="D72" s="376"/>
      <c r="E72" s="376"/>
      <c r="F72" s="376"/>
      <c r="G72" s="376"/>
      <c r="H72" s="376"/>
      <c r="I72" s="376"/>
    </row>
    <row r="73" spans="2:10" ht="15">
      <c r="B73" s="381" t="str">
        <f>IF(Indice_index!$Z$1=1,"Entidades em incumprimento no reporte da execução orçamental no mês em análise:","Non reporting entities are identified below:")</f>
        <v>Entidades em incumprimento no reporte da execução orçamental no mês em análise:</v>
      </c>
      <c r="C73" s="381"/>
      <c r="D73" s="381"/>
      <c r="E73" s="381"/>
      <c r="F73" s="381"/>
      <c r="G73" s="381"/>
      <c r="H73" s="381"/>
      <c r="I73" s="381"/>
    </row>
    <row r="74" spans="2:10" ht="15">
      <c r="B74" s="246" t="s">
        <v>541</v>
      </c>
      <c r="C74" s="247"/>
      <c r="D74" s="247"/>
      <c r="E74" s="248"/>
      <c r="F74" s="248"/>
      <c r="G74" s="248"/>
      <c r="H74" s="248"/>
      <c r="I74" s="248"/>
    </row>
    <row r="75" spans="2:10" ht="24.75" customHeight="1">
      <c r="B75" s="385" t="s">
        <v>544</v>
      </c>
      <c r="C75" s="385"/>
      <c r="D75" s="385"/>
      <c r="E75" s="385"/>
      <c r="F75" s="385"/>
      <c r="G75" s="385"/>
      <c r="H75" s="385"/>
      <c r="I75" s="385"/>
    </row>
    <row r="76" spans="2:10" ht="24.75" customHeight="1">
      <c r="B76" s="384" t="str">
        <f>+'8 - EPR'!B76:I76</f>
        <v>Para as entidades identificadas considera-se na execução orçamental uma estimativa de execução para os meses em falta, a qual corresponde a um duodécimo do orçamento aprovado abatido dos cativos previstos na lei do OE2026 (Lei n.º 73-A/2025​, de 30 de dezembro).</v>
      </c>
      <c r="C76" s="384"/>
      <c r="D76" s="384"/>
      <c r="E76" s="384"/>
      <c r="F76" s="384"/>
      <c r="G76" s="384"/>
      <c r="H76" s="384"/>
      <c r="I76" s="384"/>
    </row>
    <row r="77" spans="2:10" ht="15" customHeight="1">
      <c r="B77" s="384" t="str">
        <f>+'8 - EPR'!B77:I77</f>
        <v>Esta estimativa apenas é utilizada para os meses em que haja falta de reporte. Nos restantes meses, é utilizada a informação efetivamente reportada pelas entidades.</v>
      </c>
      <c r="C77" s="384"/>
      <c r="D77" s="384"/>
      <c r="E77" s="384"/>
      <c r="F77" s="384"/>
      <c r="G77" s="384"/>
      <c r="H77" s="384"/>
      <c r="I77" s="384"/>
    </row>
    <row r="78" spans="2:10" ht="15">
      <c r="B78" s="141" t="str">
        <f>IF(Indice_index!$Z$1=1,"Fonte: Entidade Orçamental.","Source: Budgetary Entity.")</f>
        <v>Fonte: Entidade Orçamental.</v>
      </c>
      <c r="C78" s="142"/>
      <c r="D78" s="142"/>
      <c r="E78" s="58"/>
      <c r="F78" s="143"/>
      <c r="G78" s="59"/>
      <c r="H78" s="51"/>
      <c r="I78" s="51"/>
    </row>
    <row r="79" spans="2:10" ht="14.85" customHeight="1"/>
    <row r="80" spans="2:10" ht="15" hidden="1">
      <c r="B80" s="382"/>
      <c r="C80" s="382"/>
      <c r="D80" s="382"/>
      <c r="E80" s="382"/>
      <c r="F80" s="382"/>
      <c r="G80" s="382"/>
      <c r="H80" s="382"/>
      <c r="I80" s="382"/>
      <c r="J80" s="382"/>
    </row>
    <row r="81" spans="2:10" ht="15" hidden="1">
      <c r="B81" s="382"/>
      <c r="C81" s="382"/>
      <c r="D81" s="382"/>
      <c r="E81" s="382"/>
      <c r="F81" s="382"/>
      <c r="G81" s="382"/>
      <c r="H81" s="382"/>
      <c r="I81" s="382"/>
      <c r="J81" s="382"/>
    </row>
    <row r="82" spans="2:10" ht="15" hidden="1">
      <c r="B82" s="383"/>
      <c r="C82" s="383"/>
      <c r="D82" s="383"/>
      <c r="E82" s="383"/>
      <c r="F82" s="383"/>
      <c r="G82" s="383"/>
      <c r="H82" s="383"/>
      <c r="I82" s="383"/>
      <c r="J82" s="383"/>
    </row>
    <row r="83" spans="2:10" ht="15" hidden="1">
      <c r="B83" s="383"/>
      <c r="C83" s="383"/>
      <c r="D83" s="383"/>
      <c r="E83" s="383"/>
      <c r="F83" s="383"/>
      <c r="G83" s="383"/>
      <c r="H83" s="383"/>
      <c r="I83" s="383"/>
      <c r="J83" s="383"/>
    </row>
    <row r="84" spans="2:10" ht="15" hidden="1">
      <c r="B84" s="382"/>
      <c r="C84" s="382"/>
      <c r="D84" s="382"/>
      <c r="E84" s="382"/>
      <c r="F84" s="382"/>
      <c r="G84" s="382"/>
      <c r="H84" s="382"/>
      <c r="I84" s="382"/>
      <c r="J84" s="382"/>
    </row>
    <row r="85" spans="2:10" ht="15" hidden="1">
      <c r="B85" s="382"/>
      <c r="C85" s="382"/>
      <c r="D85" s="382"/>
      <c r="E85" s="382"/>
      <c r="F85" s="382"/>
      <c r="G85" s="382"/>
      <c r="H85" s="382"/>
      <c r="I85" s="382"/>
      <c r="J85" s="382"/>
    </row>
    <row r="86" spans="2:10" ht="15" hidden="1">
      <c r="B86" s="383"/>
      <c r="C86" s="383"/>
      <c r="D86" s="383"/>
      <c r="E86" s="383"/>
      <c r="F86" s="383"/>
      <c r="G86" s="383"/>
      <c r="H86" s="383"/>
      <c r="I86" s="383"/>
      <c r="J86" s="383"/>
    </row>
  </sheetData>
  <mergeCells count="16">
    <mergeCell ref="B73:I73"/>
    <mergeCell ref="B84:J84"/>
    <mergeCell ref="B85:J85"/>
    <mergeCell ref="B86:J86"/>
    <mergeCell ref="B76:I76"/>
    <mergeCell ref="B77:I77"/>
    <mergeCell ref="B80:J80"/>
    <mergeCell ref="B81:J81"/>
    <mergeCell ref="B82:J82"/>
    <mergeCell ref="B83:J83"/>
    <mergeCell ref="B75:I75"/>
    <mergeCell ref="B8:I8"/>
    <mergeCell ref="B10:B11"/>
    <mergeCell ref="E10:F10"/>
    <mergeCell ref="H10:I10"/>
    <mergeCell ref="B72:I72"/>
  </mergeCells>
  <conditionalFormatting sqref="C12:C33">
    <cfRule type="cellIs" dxfId="57" priority="2" operator="equal">
      <formula>0</formula>
    </cfRule>
  </conditionalFormatting>
  <conditionalFormatting sqref="C35:C58">
    <cfRule type="cellIs" dxfId="56" priority="3" operator="equal">
      <formula>0</formula>
    </cfRule>
  </conditionalFormatting>
  <conditionalFormatting sqref="C61:C70">
    <cfRule type="cellIs" dxfId="55" priority="1" operator="equal">
      <formula>0</formula>
    </cfRule>
  </conditionalFormatting>
  <conditionalFormatting sqref="D12:D33 G12:I33">
    <cfRule type="cellIs" dxfId="54" priority="14" operator="equal">
      <formula>0</formula>
    </cfRule>
  </conditionalFormatting>
  <conditionalFormatting sqref="D35:D58 G35:I58">
    <cfRule type="cellIs" dxfId="53" priority="15" operator="equal">
      <formula>0</formula>
    </cfRule>
  </conditionalFormatting>
  <conditionalFormatting sqref="D61:D70 G61:I70">
    <cfRule type="cellIs" dxfId="52" priority="13" operator="equal">
      <formula>0</formula>
    </cfRule>
  </conditionalFormatting>
  <conditionalFormatting sqref="E12:F33">
    <cfRule type="cellIs" dxfId="51" priority="6" operator="equal">
      <formula>0</formula>
    </cfRule>
  </conditionalFormatting>
  <conditionalFormatting sqref="E35:F58">
    <cfRule type="cellIs" dxfId="50" priority="16" operator="equal">
      <formula>0</formula>
    </cfRule>
  </conditionalFormatting>
  <conditionalFormatting sqref="E61:F70">
    <cfRule type="cellIs" dxfId="49" priority="4"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D50 C52:D52 D59:D64 D70 E18:F18 E27:F27 E36:F36 E42:F42 E52:F52 C36 C4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99"/>
  <sheetViews>
    <sheetView showGridLines="0" zoomScaleNormal="100" workbookViewId="0"/>
  </sheetViews>
  <sheetFormatPr defaultColWidth="0" defaultRowHeight="14.85" customHeight="1" zeroHeight="1"/>
  <cols>
    <col min="1" max="1" width="8.5703125" style="63" customWidth="1"/>
    <col min="2" max="2" width="44.5703125" style="30" customWidth="1"/>
    <col min="3" max="4" width="10.42578125" style="30" customWidth="1"/>
    <col min="5" max="5" width="10.42578125" style="64" customWidth="1"/>
    <col min="6" max="6" width="10.42578125" style="30" customWidth="1"/>
    <col min="7" max="9" width="10.42578125" style="49" customWidth="1"/>
    <col min="10" max="10" width="8.5703125" style="63" customWidth="1"/>
    <col min="11" max="15" width="0" hidden="1" customWidth="1"/>
    <col min="16" max="16384" width="9.42578125" hidden="1"/>
  </cols>
  <sheetData>
    <row r="1" spans="1:10" ht="14.85" customHeight="1"/>
    <row r="2" spans="1:10" ht="15"/>
    <row r="3" spans="1:10" ht="15"/>
    <row r="4" spans="1:10" ht="15"/>
    <row r="5" spans="1:10" ht="18" customHeight="1">
      <c r="A5"/>
      <c r="B5" s="254" t="str">
        <f>IF(Indice_index!$Z$1=1,"ANEXOS ESTATÍSTICOS","STATISTICAL ANNEXES")</f>
        <v>ANEXOS ESTATÍSTICOS</v>
      </c>
      <c r="C5"/>
      <c r="D5"/>
      <c r="E5"/>
      <c r="F5"/>
      <c r="G5"/>
      <c r="H5"/>
      <c r="I5"/>
      <c r="J5"/>
    </row>
    <row r="6" spans="1:10" ht="18" customHeight="1">
      <c r="A6"/>
      <c r="B6" s="255" t="str">
        <f>IF(Indice_index!$Z$1=1,"Fevereiro de 2026","February 2026")</f>
        <v>Fevereiro de 2026</v>
      </c>
      <c r="C6"/>
      <c r="D6"/>
      <c r="E6"/>
      <c r="F6"/>
      <c r="G6"/>
      <c r="H6"/>
      <c r="I6"/>
      <c r="J6"/>
    </row>
    <row r="7" spans="1:10" ht="50.1" customHeight="1">
      <c r="B7" s="12"/>
      <c r="C7" s="13"/>
      <c r="D7" s="11"/>
      <c r="E7" s="11"/>
      <c r="F7" s="11"/>
      <c r="G7" s="11"/>
      <c r="H7" s="11"/>
      <c r="I7" s="11"/>
      <c r="J7" s="11"/>
    </row>
    <row r="8" spans="1:10" ht="15.7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1:10" ht="15">
      <c r="B9" s="3" t="str">
        <f>+'3 - Conta AC + SS'!B9</f>
        <v>Período: janeiro a fevereiro</v>
      </c>
      <c r="C9" s="3"/>
      <c r="D9" s="3"/>
      <c r="E9" s="3"/>
      <c r="F9" s="3"/>
      <c r="G9" s="3"/>
      <c r="H9" s="3"/>
      <c r="I9" s="3" t="str">
        <f>IF(Indice_index!$Z$1=1,"€ Milhões","€ Millions")</f>
        <v>€ Milhões</v>
      </c>
      <c r="J9" s="3"/>
    </row>
    <row r="10" spans="1:10"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0"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0" ht="14.1" customHeight="1">
      <c r="B12" s="167" t="str">
        <f>IF(Indice_index!$Z$1=1,"Receita corrente","Current revenue")</f>
        <v>Receita corrente</v>
      </c>
      <c r="C12" s="128">
        <f>SUM(C13:C24)-C13-C18</f>
        <v>18659.082845080004</v>
      </c>
      <c r="D12" s="128">
        <f>SUM(D13:D24)-D13-D18</f>
        <v>19655.728864999997</v>
      </c>
      <c r="E12" s="128">
        <f>SUM(E13:E24)-E13-E18</f>
        <v>2632.3393249899996</v>
      </c>
      <c r="F12" s="128">
        <f>SUM(F13:F24)-F13-F18</f>
        <v>2859.2870405199992</v>
      </c>
      <c r="G12" s="128">
        <f t="shared" ref="G12:G23" si="0">IFERROR(IF(F12/D12*100&lt;-500,"-",IF(F12/D12*100&gt;500,"-",F12/D12*100)),"-")</f>
        <v>14.546838024467224</v>
      </c>
      <c r="H12" s="128">
        <f>IF(IFERROR((F12-E12)/E12*100,"")&gt;500,"-",IFERROR((F12-E12)/E12*100,""))</f>
        <v>8.621522057414154</v>
      </c>
      <c r="I12" s="128">
        <f t="shared" ref="I12:I23" si="1">IFERROR((F12-E12)/$E$34*100,"-")</f>
        <v>8.134262787774226</v>
      </c>
      <c r="J12" s="56"/>
    </row>
    <row r="13" spans="1:10" ht="14.1" customHeight="1">
      <c r="B13" s="121" t="str">
        <f>IF(Indice_index!$Z$1=1,"Receita fiscal","Tax")</f>
        <v>Receita fiscal</v>
      </c>
      <c r="C13" s="4">
        <f>C14+C15</f>
        <v>206.29391899999999</v>
      </c>
      <c r="D13" s="4">
        <f>D14+D15</f>
        <v>214.16870700000001</v>
      </c>
      <c r="E13" s="4">
        <f>E14+E15</f>
        <v>34.852552469999999</v>
      </c>
      <c r="F13" s="4">
        <f>F14+F15</f>
        <v>36.995741000000002</v>
      </c>
      <c r="G13" s="4">
        <f t="shared" si="0"/>
        <v>17.274111385469588</v>
      </c>
      <c r="H13" s="4">
        <f t="shared" ref="H13:H32" si="2">IF(IFERROR((F13-E13)/E13*100,"")&gt;500,"-",IFERROR((F13-E13)/E13*100,""))</f>
        <v>6.1493014947608033</v>
      </c>
      <c r="I13" s="4">
        <f t="shared" si="1"/>
        <v>7.6816189429583015E-2</v>
      </c>
      <c r="J13" s="49"/>
    </row>
    <row r="14" spans="1:10" ht="13.5" customHeight="1">
      <c r="B14" s="165" t="str">
        <f>IF(Indice_index!$Z$1=1,"Impostos diretos","Direct taxes")</f>
        <v>Impostos diretos</v>
      </c>
      <c r="C14" s="4">
        <v>0</v>
      </c>
      <c r="D14" s="4">
        <v>0</v>
      </c>
      <c r="E14" s="4">
        <v>0</v>
      </c>
      <c r="F14" s="4">
        <v>0</v>
      </c>
      <c r="G14" s="4" t="str">
        <f t="shared" si="0"/>
        <v>-</v>
      </c>
      <c r="H14" s="4" t="str">
        <f t="shared" si="2"/>
        <v>-</v>
      </c>
      <c r="I14" s="4">
        <f t="shared" si="1"/>
        <v>0</v>
      </c>
      <c r="J14" s="49"/>
    </row>
    <row r="15" spans="1:10" ht="14.1" customHeight="1">
      <c r="B15" s="165" t="str">
        <f>IF(Indice_index!$Z$1=1,"Impostos indiretos","Indirect taxes")</f>
        <v>Impostos indiretos</v>
      </c>
      <c r="C15" s="4">
        <v>206.29391899999999</v>
      </c>
      <c r="D15" s="4">
        <v>214.16870700000001</v>
      </c>
      <c r="E15" s="4">
        <v>34.852552469999999</v>
      </c>
      <c r="F15" s="4">
        <v>36.995741000000002</v>
      </c>
      <c r="G15" s="4">
        <f t="shared" si="0"/>
        <v>17.274111385469588</v>
      </c>
      <c r="H15" s="4">
        <f t="shared" si="2"/>
        <v>6.1493014947608033</v>
      </c>
      <c r="I15" s="4">
        <f t="shared" si="1"/>
        <v>7.6816189429583015E-2</v>
      </c>
      <c r="J15" s="49"/>
    </row>
    <row r="16" spans="1:10" ht="15">
      <c r="B16" s="121" t="str">
        <f>IF(Indice_index!$Z$1=1,"Contribuições para Segurança Social, CGA e ADSE","Social security, CGA and ADSE contributions")</f>
        <v>Contribuições para Segurança Social, CGA e ADSE</v>
      </c>
      <c r="C16" s="4">
        <v>0</v>
      </c>
      <c r="D16" s="4">
        <v>0</v>
      </c>
      <c r="E16" s="4">
        <v>0</v>
      </c>
      <c r="F16" s="4">
        <v>0</v>
      </c>
      <c r="G16" s="4" t="str">
        <f t="shared" si="0"/>
        <v>-</v>
      </c>
      <c r="H16" s="4" t="str">
        <f t="shared" si="2"/>
        <v>-</v>
      </c>
      <c r="I16" s="4">
        <f t="shared" si="1"/>
        <v>0</v>
      </c>
      <c r="J16" s="49"/>
    </row>
    <row r="17" spans="2:10" ht="14.1" customHeight="1">
      <c r="B17" s="121" t="str">
        <f>IF(Indice_index!$Z$1=1,"Taxas, multas e outras penalidades","Taxes, fines and other penalties")</f>
        <v>Taxas, multas e outras penalidades</v>
      </c>
      <c r="C17" s="4">
        <v>418.71481157999995</v>
      </c>
      <c r="D17" s="4">
        <v>399.29288300000002</v>
      </c>
      <c r="E17" s="4">
        <v>71.716228389999998</v>
      </c>
      <c r="F17" s="4">
        <v>63.326075380000006</v>
      </c>
      <c r="G17" s="4">
        <f t="shared" si="0"/>
        <v>15.859555247820435</v>
      </c>
      <c r="H17" s="4">
        <f t="shared" si="2"/>
        <v>-11.699099629687026</v>
      </c>
      <c r="I17" s="4">
        <f t="shared" si="1"/>
        <v>-0.30071996650679372</v>
      </c>
      <c r="J17" s="49"/>
    </row>
    <row r="18" spans="2:10" ht="14.1" customHeight="1">
      <c r="B18" s="121" t="str">
        <f>IF(Indice_index!$Z$1=1,"Transferências correntes","Current transfers")</f>
        <v>Transferências correntes</v>
      </c>
      <c r="C18" s="4">
        <f>SUM(C19:C22)</f>
        <v>2052.2857485999998</v>
      </c>
      <c r="D18" s="4">
        <f>SUM(D19:D22)</f>
        <v>1884.9556930000001</v>
      </c>
      <c r="E18" s="4">
        <f>SUM(E19:E22)</f>
        <v>184.35919947000002</v>
      </c>
      <c r="F18" s="4">
        <f>SUM(F19:F22)</f>
        <v>231.55660951999994</v>
      </c>
      <c r="G18" s="4">
        <f t="shared" si="0"/>
        <v>12.284459013010867</v>
      </c>
      <c r="H18" s="4">
        <f t="shared" si="2"/>
        <v>25.600789212409303</v>
      </c>
      <c r="I18" s="4">
        <f t="shared" si="1"/>
        <v>1.6916501466095908</v>
      </c>
      <c r="J18" s="49"/>
    </row>
    <row r="19" spans="2:10" ht="14.1" customHeight="1">
      <c r="B19" s="165" t="str">
        <f>IF(Indice_index!$Z$1=1,"Administração Central","Central Administration")</f>
        <v>Administração Central</v>
      </c>
      <c r="C19" s="4">
        <v>1700.9667184599998</v>
      </c>
      <c r="D19" s="4">
        <v>1354.8597490000002</v>
      </c>
      <c r="E19" s="4">
        <v>142.47533619999999</v>
      </c>
      <c r="F19" s="4">
        <v>173.22383547999996</v>
      </c>
      <c r="G19" s="4">
        <f t="shared" si="0"/>
        <v>12.785370264918832</v>
      </c>
      <c r="H19" s="4">
        <f t="shared" si="2"/>
        <v>21.58162956487902</v>
      </c>
      <c r="I19" s="4">
        <f t="shared" si="1"/>
        <v>1.102088086188046</v>
      </c>
      <c r="J19" s="49"/>
    </row>
    <row r="20" spans="2:10" ht="14.1" customHeight="1">
      <c r="B20" s="165" t="str">
        <f>IF(Indice_index!$Z$1=1,"Outros subsetores das Administrações Públicas","Other General Government subsectors")</f>
        <v>Outros subsetores das Administrações Públicas</v>
      </c>
      <c r="C20" s="4">
        <v>109.63279040999993</v>
      </c>
      <c r="D20" s="4">
        <v>90.215390999999997</v>
      </c>
      <c r="E20" s="4">
        <v>10.742341480000022</v>
      </c>
      <c r="F20" s="4">
        <v>16.501760209999993</v>
      </c>
      <c r="G20" s="4">
        <f t="shared" si="0"/>
        <v>18.29151326296418</v>
      </c>
      <c r="H20" s="4">
        <f t="shared" si="2"/>
        <v>53.614184027968172</v>
      </c>
      <c r="I20" s="4">
        <f t="shared" si="1"/>
        <v>0.20642915635983067</v>
      </c>
      <c r="J20" s="49"/>
    </row>
    <row r="21" spans="2:10" ht="14.1" customHeight="1">
      <c r="B21" s="165" t="str">
        <f>IF(Indice_index!$Z$1=1,"União Europeia","European Union")</f>
        <v>União Europeia</v>
      </c>
      <c r="C21" s="4">
        <v>223.74669263468965</v>
      </c>
      <c r="D21" s="4">
        <v>326.48621300000002</v>
      </c>
      <c r="E21" s="4">
        <v>27.76218703</v>
      </c>
      <c r="F21" s="4">
        <v>38.262326930000008</v>
      </c>
      <c r="G21" s="4">
        <f t="shared" si="0"/>
        <v>11.71943114486124</v>
      </c>
      <c r="H21" s="4">
        <f t="shared" si="2"/>
        <v>37.821731726875441</v>
      </c>
      <c r="I21" s="4">
        <f t="shared" si="1"/>
        <v>0.37634614235058561</v>
      </c>
      <c r="J21" s="49"/>
    </row>
    <row r="22" spans="2:10" ht="14.1" customHeight="1">
      <c r="B22" s="165" t="str">
        <f>IF(Indice_index!$Z$1=1,"Outras transferências","Other transfers")</f>
        <v>Outras transferências</v>
      </c>
      <c r="C22" s="4">
        <v>17.93954709531036</v>
      </c>
      <c r="D22" s="4">
        <v>113.39434</v>
      </c>
      <c r="E22" s="4">
        <v>3.3793347600000025</v>
      </c>
      <c r="F22" s="4">
        <v>3.5686868999999959</v>
      </c>
      <c r="G22" s="4">
        <f t="shared" si="0"/>
        <v>3.1471472914785656</v>
      </c>
      <c r="H22" s="4">
        <f t="shared" si="2"/>
        <v>5.6032371294281962</v>
      </c>
      <c r="I22" s="4">
        <f t="shared" si="1"/>
        <v>6.7867617111297207E-3</v>
      </c>
      <c r="J22" s="49"/>
    </row>
    <row r="23" spans="2:10" ht="14.1" customHeight="1">
      <c r="B23" s="121" t="str">
        <f>IF(Indice_index!$Z$1=1,"Outras receitas correntes","Other current revenue")</f>
        <v>Outras receitas correntes</v>
      </c>
      <c r="C23" s="4">
        <v>15976.814747740003</v>
      </c>
      <c r="D23" s="4">
        <v>17157.289081999999</v>
      </c>
      <c r="E23" s="4">
        <v>2331.8291015699997</v>
      </c>
      <c r="F23" s="4">
        <v>2516.3820848799996</v>
      </c>
      <c r="G23" s="4">
        <f t="shared" si="0"/>
        <v>14.666548269096769</v>
      </c>
      <c r="H23" s="4">
        <f t="shared" si="2"/>
        <v>7.9145158273280867</v>
      </c>
      <c r="I23" s="4">
        <f t="shared" si="1"/>
        <v>6.6147502785187111</v>
      </c>
      <c r="J23" s="49"/>
    </row>
    <row r="24" spans="2:10" ht="14.1" customHeight="1">
      <c r="B24" s="121" t="str">
        <f>IF(Indice_index!$Z$1=1,"Diferenças de consolidação","Consolidation differences")</f>
        <v>Diferenças de consolidação</v>
      </c>
      <c r="C24" s="4">
        <v>4.9736181600000249</v>
      </c>
      <c r="D24" s="4">
        <v>2.2499999999999999E-2</v>
      </c>
      <c r="E24" s="4">
        <v>9.5822430899999986</v>
      </c>
      <c r="F24" s="4">
        <v>11.026529740000006</v>
      </c>
      <c r="G24" s="4"/>
      <c r="H24" s="4"/>
      <c r="I24" s="4"/>
      <c r="J24" s="49"/>
    </row>
    <row r="25" spans="2:10" ht="14.1" customHeight="1">
      <c r="B25" s="167" t="str">
        <f>IF(Indice_index!$Z$1=1,"Receita de capital","Capital revenue")</f>
        <v>Receita de capital</v>
      </c>
      <c r="C25" s="128">
        <f>SUM(C26:C33)-C27</f>
        <v>2234.8159295099999</v>
      </c>
      <c r="D25" s="128">
        <f>SUM(D26:D33)-D27</f>
        <v>2615.1134979999997</v>
      </c>
      <c r="E25" s="128">
        <f>SUM(E26:E33)-E27</f>
        <v>157.68260387000001</v>
      </c>
      <c r="F25" s="128">
        <f>SUM(F26:F33)-F27</f>
        <v>171.33108461999998</v>
      </c>
      <c r="G25" s="128">
        <f>IFERROR(IF(F25/D25*100&lt;-500,"-",IF(F25/D25*100&gt;500,"-",F25/D25*100)),"-")</f>
        <v>6.5515735646285131</v>
      </c>
      <c r="H25" s="128">
        <f>IF(IFERROR((F25-E25)/E25*100,"")&gt;500,"-",IFERROR((F25-E25)/E25*100,""))</f>
        <v>8.6556667730146959</v>
      </c>
      <c r="I25" s="128">
        <f>IFERROR((F25-E25)/$E$34*100,"-")</f>
        <v>0.48918901349197397</v>
      </c>
      <c r="J25" s="56"/>
    </row>
    <row r="26" spans="2:10" ht="14.1" customHeight="1">
      <c r="B26" s="121" t="str">
        <f>IF(Indice_index!$Z$1=1,"Venda de bens de investimento","Sale of investment goods")</f>
        <v>Venda de bens de investimento</v>
      </c>
      <c r="C26" s="4">
        <v>41.186351459999997</v>
      </c>
      <c r="D26" s="4">
        <v>351.098589</v>
      </c>
      <c r="E26" s="4">
        <v>14.061017289999999</v>
      </c>
      <c r="F26" s="4">
        <v>0.8910158600000001</v>
      </c>
      <c r="G26" s="4">
        <f t="shared" ref="G26:G32" si="3">IFERROR(IF(F26/D26*100&lt;-500,"-",IF(F26/D26*100&gt;500,"-",F26/D26*100)),"-")</f>
        <v>0.25377939072264405</v>
      </c>
      <c r="H26" s="4">
        <f t="shared" si="2"/>
        <v>-93.663219085622799</v>
      </c>
      <c r="I26" s="4">
        <f t="shared" ref="I26:I32" si="4">IFERROR((F26-E26)/$E$34*100,"-")</f>
        <v>-0.47203935186922519</v>
      </c>
      <c r="J26" s="49"/>
    </row>
    <row r="27" spans="2:10" ht="14.1" customHeight="1">
      <c r="B27" s="121" t="str">
        <f>IF(Indice_index!$Z$1=1,"Transferências de capital","Capital transfers")</f>
        <v>Transferências de capital</v>
      </c>
      <c r="C27" s="4">
        <f>SUM(C28:C31)</f>
        <v>2074.73084978</v>
      </c>
      <c r="D27" s="4">
        <f>SUM(D28:D31)</f>
        <v>2238.306474</v>
      </c>
      <c r="E27" s="4">
        <f>SUM(E28:E31)</f>
        <v>142.27800320999998</v>
      </c>
      <c r="F27" s="4">
        <f>SUM(F28:F31)</f>
        <v>147.09034287</v>
      </c>
      <c r="G27" s="4">
        <f>IFERROR(IF(F27/D27*100&lt;-500,"-",IF(F27/D27*100&gt;500,"-",F27/D27*100)),"-")</f>
        <v>6.5715014712502686</v>
      </c>
      <c r="H27" s="4">
        <f>IF(IFERROR((F27-E27)/E27*100,"")&gt;500,"-",IFERROR((F27-E27)/E27*100,""))</f>
        <v>3.38234973181138</v>
      </c>
      <c r="I27" s="4">
        <f>IFERROR((F27-E27)/$E$34*100,"-")</f>
        <v>0.17248393678275992</v>
      </c>
      <c r="J27" s="49"/>
    </row>
    <row r="28" spans="2:10" ht="14.1" customHeight="1">
      <c r="B28" s="165" t="str">
        <f>IF(Indice_index!$Z$1=1,"Administração Central","Central Administration")</f>
        <v>Administração Central</v>
      </c>
      <c r="C28" s="4">
        <v>1355.5010996999999</v>
      </c>
      <c r="D28" s="4">
        <v>1260.000319</v>
      </c>
      <c r="E28" s="4">
        <v>66.39574918000001</v>
      </c>
      <c r="F28" s="4">
        <v>99.38639637</v>
      </c>
      <c r="G28" s="4">
        <f>IFERROR(IF(F28/D28*100&lt;-500,"-",IF(F28/D28*100&gt;500,"-",F28/D28*100)),"-")</f>
        <v>7.8878072387218179</v>
      </c>
      <c r="H28" s="4">
        <f>IF(IFERROR((F28-E28)/E28*100,"")&gt;500,"-",IFERROR((F28-E28)/E28*100,""))</f>
        <v>49.687890561430045</v>
      </c>
      <c r="I28" s="4">
        <f>IFERROR((F28-E28)/$E$34*100,"-")</f>
        <v>1.1824511789224517</v>
      </c>
      <c r="J28" s="49"/>
    </row>
    <row r="29" spans="2:10" ht="14.1" customHeight="1">
      <c r="B29" s="165" t="str">
        <f>IF(Indice_index!$Z$1=1,"Outros subsetores das Administrações Públicas","Other General Government subsectors")</f>
        <v>Outros subsetores das Administrações Públicas</v>
      </c>
      <c r="C29" s="4">
        <v>0.92386474000005592</v>
      </c>
      <c r="D29" s="4">
        <v>7.7736230000000006</v>
      </c>
      <c r="E29" s="4">
        <v>0</v>
      </c>
      <c r="F29" s="4">
        <v>0.50420393999999646</v>
      </c>
      <c r="G29" s="4">
        <f t="shared" si="3"/>
        <v>6.4860868606568189</v>
      </c>
      <c r="H29" s="4" t="str">
        <f t="shared" si="2"/>
        <v>-</v>
      </c>
      <c r="I29" s="4">
        <f t="shared" si="4"/>
        <v>1.8071683766514829E-2</v>
      </c>
      <c r="J29" s="49"/>
    </row>
    <row r="30" spans="2:10" ht="14.1" customHeight="1">
      <c r="B30" s="165" t="str">
        <f>IF(Indice_index!$Z$1=1,"União Europeia","European Union")</f>
        <v>União Europeia</v>
      </c>
      <c r="C30" s="4">
        <v>557.77926706000005</v>
      </c>
      <c r="D30" s="4">
        <v>920.16110800000001</v>
      </c>
      <c r="E30" s="4">
        <v>75.303437579999979</v>
      </c>
      <c r="F30" s="4">
        <v>45.400106289999989</v>
      </c>
      <c r="G30" s="4">
        <f t="shared" si="3"/>
        <v>4.9339301449806534</v>
      </c>
      <c r="H30" s="4">
        <f t="shared" si="2"/>
        <v>-39.710446496193008</v>
      </c>
      <c r="I30" s="4">
        <f t="shared" si="4"/>
        <v>-1.0717955647831936</v>
      </c>
      <c r="J30" s="49"/>
    </row>
    <row r="31" spans="2:10" ht="14.1" customHeight="1">
      <c r="B31" s="165" t="str">
        <f>IF(Indice_index!$Z$1=1,"Outras transferências","Other transfers")</f>
        <v>Outras transferências</v>
      </c>
      <c r="C31" s="4">
        <v>160.52661827999998</v>
      </c>
      <c r="D31" s="4">
        <v>50.371423999999934</v>
      </c>
      <c r="E31" s="4">
        <v>0.57881645000000503</v>
      </c>
      <c r="F31" s="4">
        <v>1.7996362700000077</v>
      </c>
      <c r="G31" s="4">
        <f t="shared" si="3"/>
        <v>3.5727325675764301</v>
      </c>
      <c r="H31" s="4">
        <f t="shared" si="2"/>
        <v>210.91657294812407</v>
      </c>
      <c r="I31" s="4">
        <f t="shared" si="4"/>
        <v>4.3756638876986477E-2</v>
      </c>
      <c r="J31" s="49"/>
    </row>
    <row r="32" spans="2:10" ht="14.1" customHeight="1">
      <c r="B32" s="121" t="str">
        <f>IF(Indice_index!$Z$1=1,"Outras receitas de capital","Other capital revenue")</f>
        <v>Outras receitas de capital</v>
      </c>
      <c r="C32" s="4">
        <v>118.89872827000001</v>
      </c>
      <c r="D32" s="4">
        <v>25.708435000000001</v>
      </c>
      <c r="E32" s="4">
        <v>1.3435833700000002</v>
      </c>
      <c r="F32" s="4">
        <v>22.960074029999998</v>
      </c>
      <c r="G32" s="4">
        <f t="shared" si="3"/>
        <v>89.30949717475994</v>
      </c>
      <c r="H32" s="4" t="str">
        <f t="shared" si="2"/>
        <v>-</v>
      </c>
      <c r="I32" s="4">
        <f t="shared" si="4"/>
        <v>0.77477852186030927</v>
      </c>
      <c r="J32" s="49"/>
    </row>
    <row r="33" spans="2:10" ht="14.1" customHeight="1">
      <c r="B33" s="121" t="str">
        <f>IF(Indice_index!$Z$1=1,"Diferenças de consolidação","Consolidation differences")</f>
        <v>Diferenças de consolidação</v>
      </c>
      <c r="C33" s="4">
        <v>0</v>
      </c>
      <c r="D33" s="4">
        <v>0</v>
      </c>
      <c r="E33" s="4">
        <v>0</v>
      </c>
      <c r="F33" s="4">
        <v>0.38965185999999996</v>
      </c>
      <c r="G33" s="4"/>
      <c r="H33" s="4"/>
      <c r="I33" s="4"/>
      <c r="J33" s="49"/>
    </row>
    <row r="34" spans="2:10" ht="14.1" customHeight="1">
      <c r="B34" s="29" t="str">
        <f>IF(Indice_index!$Z$1=1,"Receita efetiva","Effective revenue")</f>
        <v>Receita efetiva</v>
      </c>
      <c r="C34" s="18">
        <f>+C12+C25</f>
        <v>20893.898774590005</v>
      </c>
      <c r="D34" s="18">
        <f>+D12+D25</f>
        <v>22270.842362999996</v>
      </c>
      <c r="E34" s="18">
        <f>+E12+E25</f>
        <v>2790.0219288599997</v>
      </c>
      <c r="F34" s="18">
        <f>+F12+F25</f>
        <v>3030.6181251399994</v>
      </c>
      <c r="G34" s="18">
        <f>IFERROR(IF(F34/D34*100&lt;-500,"-",IF(F34/D34*100&gt;500,"-",F34/D34*100)),"-")</f>
        <v>13.608008515093092</v>
      </c>
      <c r="H34" s="18">
        <f>IFERROR(IF(E34=0,"-",(F34-E34)/E34*100),"-")</f>
        <v>8.6234518012662029</v>
      </c>
      <c r="I34" s="18"/>
      <c r="J34" s="56"/>
    </row>
    <row r="35" spans="2:10" ht="14.1" customHeight="1">
      <c r="B35" s="167" t="str">
        <f>IF(Indice_index!$Z$1=1,"Despesa corrente","Current Expenditure")</f>
        <v>Despesa corrente</v>
      </c>
      <c r="C35" s="128">
        <f>SUM(C36:C49)-C36-C42</f>
        <v>18727.378271670001</v>
      </c>
      <c r="D35" s="128">
        <f>SUM(D36:D49)-D36-D42</f>
        <v>18190.591449</v>
      </c>
      <c r="E35" s="128">
        <f>SUM(E36:E49)-E36-E42</f>
        <v>2305.4450077199995</v>
      </c>
      <c r="F35" s="128">
        <f>SUM(F36:F49)-F36-F42</f>
        <v>2446.4206666799996</v>
      </c>
      <c r="G35" s="128">
        <f t="shared" ref="G35:G48" si="5">IFERROR(IF(F35/D35*100&lt;-500,"-",IF(F35/D35*100&gt;500,"-",F35/D35*100)),"-")</f>
        <v>13.448824209695983</v>
      </c>
      <c r="H35" s="128">
        <f t="shared" ref="H35:H57" si="6">IF(IFERROR((F35-E35)/E35*100,"")&gt;500,"-",IFERROR((F35-E35)/E35*100,""))</f>
        <v>6.1149000946858374</v>
      </c>
      <c r="I35" s="128">
        <f t="shared" ref="I35:I48" si="7">IFERROR((F35-E35)/$E$59*100,"-")</f>
        <v>5.0036108202454681</v>
      </c>
      <c r="J35" s="49"/>
    </row>
    <row r="36" spans="2:10" ht="14.1" customHeight="1">
      <c r="B36" s="121" t="str">
        <f>IF(Indice_index!$Z$1=1,"Despesas com o pessoal","Employees")</f>
        <v>Despesas com o pessoal</v>
      </c>
      <c r="C36" s="4">
        <f>SUM(C37:C39)</f>
        <v>8497.2947320599997</v>
      </c>
      <c r="D36" s="4">
        <f>SUM(D37:D39)</f>
        <v>9000.3900590000012</v>
      </c>
      <c r="E36" s="4">
        <f>SUM(E37:E39)</f>
        <v>1225.7114064100001</v>
      </c>
      <c r="F36" s="4">
        <f>SUM(F37:F39)</f>
        <v>1275.5505165800007</v>
      </c>
      <c r="G36" s="4">
        <f t="shared" si="5"/>
        <v>14.1721692973129</v>
      </c>
      <c r="H36" s="4">
        <f t="shared" si="6"/>
        <v>4.0661374210406453</v>
      </c>
      <c r="I36" s="4">
        <f t="shared" si="7"/>
        <v>1.7689260171415673</v>
      </c>
      <c r="J36" s="49"/>
    </row>
    <row r="37" spans="2:10" ht="14.1" customHeight="1">
      <c r="B37" s="165" t="str">
        <f>IF(Indice_index!$Z$1=1,"Remunerações certas e permanentes","Certain and permanent wages")</f>
        <v>Remunerações certas e permanentes</v>
      </c>
      <c r="C37" s="4">
        <v>5694.3158918599984</v>
      </c>
      <c r="D37" s="4">
        <v>6029.216915</v>
      </c>
      <c r="E37" s="4">
        <v>795.69857595999997</v>
      </c>
      <c r="F37" s="4">
        <v>841.61427328000059</v>
      </c>
      <c r="G37" s="4">
        <f t="shared" si="5"/>
        <v>13.958931734337851</v>
      </c>
      <c r="H37" s="4">
        <f t="shared" si="6"/>
        <v>5.7704888141346649</v>
      </c>
      <c r="I37" s="4">
        <f t="shared" si="7"/>
        <v>1.6296733891817283</v>
      </c>
      <c r="J37" s="49"/>
    </row>
    <row r="38" spans="2:10" ht="14.1" customHeight="1">
      <c r="B38" s="165" t="str">
        <f>IF(Indice_index!$Z$1=1,"Abonos variáveis ou eventuais","Variable or contingent bonuses")</f>
        <v>Abonos variáveis ou eventuais</v>
      </c>
      <c r="C38" s="4">
        <v>1201.5514440300001</v>
      </c>
      <c r="D38" s="4">
        <v>1234.6075310000001</v>
      </c>
      <c r="E38" s="4">
        <v>215.93950405000007</v>
      </c>
      <c r="F38" s="4">
        <v>198.51717305000003</v>
      </c>
      <c r="G38" s="4">
        <f t="shared" si="5"/>
        <v>16.079374867348029</v>
      </c>
      <c r="H38" s="4">
        <f t="shared" si="6"/>
        <v>-8.0681536602797603</v>
      </c>
      <c r="I38" s="4">
        <f t="shared" si="7"/>
        <v>-0.61836606793398863</v>
      </c>
      <c r="J38" s="49"/>
    </row>
    <row r="39" spans="2:10" ht="14.1" customHeight="1">
      <c r="B39" s="165" t="str">
        <f>IF(Indice_index!$Z$1=1,"Segurança Social","Social security")</f>
        <v>Segurança Social</v>
      </c>
      <c r="C39" s="4">
        <v>1601.4273961700003</v>
      </c>
      <c r="D39" s="4">
        <v>1736.565613</v>
      </c>
      <c r="E39" s="4">
        <v>214.07332640000004</v>
      </c>
      <c r="F39" s="4">
        <v>235.41907025000006</v>
      </c>
      <c r="G39" s="4">
        <f t="shared" si="5"/>
        <v>13.556589424991685</v>
      </c>
      <c r="H39" s="4">
        <f t="shared" si="6"/>
        <v>9.9712300495182173</v>
      </c>
      <c r="I39" s="4">
        <f t="shared" si="7"/>
        <v>0.75761869589382724</v>
      </c>
      <c r="J39" s="49"/>
    </row>
    <row r="40" spans="2:10" ht="14.1" customHeight="1">
      <c r="B40" s="121" t="str">
        <f>IF(Indice_index!$Z$1=1,"Aquisição de bens e serviços","Purchase of goods and services")</f>
        <v>Aquisição de bens e serviços</v>
      </c>
      <c r="C40" s="4">
        <v>9751.860871859999</v>
      </c>
      <c r="D40" s="4">
        <v>8426.3041510000003</v>
      </c>
      <c r="E40" s="4">
        <v>1043.2582008099998</v>
      </c>
      <c r="F40" s="4">
        <v>1132.3698475299996</v>
      </c>
      <c r="G40" s="4">
        <f t="shared" si="5"/>
        <v>13.438511442713761</v>
      </c>
      <c r="H40" s="4">
        <f t="shared" si="6"/>
        <v>8.5416675038655097</v>
      </c>
      <c r="I40" s="4">
        <f t="shared" si="7"/>
        <v>3.1628155032394236</v>
      </c>
      <c r="J40" s="49"/>
    </row>
    <row r="41" spans="2:10" ht="14.1" customHeight="1">
      <c r="B41" s="121" t="str">
        <f>IF(Indice_index!$Z$1=1,"Juros e outros encargos","Interests")</f>
        <v>Juros e outros encargos</v>
      </c>
      <c r="C41" s="4">
        <v>142.39685158000003</v>
      </c>
      <c r="D41" s="4">
        <v>84.573930000000004</v>
      </c>
      <c r="E41" s="4">
        <v>4.6979118299999998</v>
      </c>
      <c r="F41" s="4">
        <v>6.3657532200000011</v>
      </c>
      <c r="G41" s="4">
        <f t="shared" si="5"/>
        <v>7.5268504372446703</v>
      </c>
      <c r="H41" s="4">
        <f t="shared" si="6"/>
        <v>35.501760151169151</v>
      </c>
      <c r="I41" s="4">
        <f t="shared" si="7"/>
        <v>5.9196242011006234E-2</v>
      </c>
      <c r="J41" s="49"/>
    </row>
    <row r="42" spans="2:10" ht="14.1" customHeight="1">
      <c r="B42" s="121" t="str">
        <f>IF(Indice_index!$Z$1=1,"Transferências correntes","Current transfers")</f>
        <v>Transferências correntes</v>
      </c>
      <c r="C42" s="4">
        <f>SUM(C43:C46)</f>
        <v>72.687987850000013</v>
      </c>
      <c r="D42" s="4">
        <f>SUM(D43:D46)</f>
        <v>84.600027000000011</v>
      </c>
      <c r="E42" s="4">
        <f>SUM(E43:E46)</f>
        <v>9.661301289999999</v>
      </c>
      <c r="F42" s="4">
        <f>SUM(F43:F46)</f>
        <v>12.952593629999999</v>
      </c>
      <c r="G42" s="4">
        <f t="shared" si="5"/>
        <v>15.310389475407609</v>
      </c>
      <c r="H42" s="4">
        <f t="shared" si="6"/>
        <v>34.066760172428076</v>
      </c>
      <c r="I42" s="4">
        <f t="shared" si="7"/>
        <v>0.11681694617712472</v>
      </c>
      <c r="J42" s="49"/>
    </row>
    <row r="43" spans="2:10" ht="14.1" customHeight="1">
      <c r="B43" s="165" t="str">
        <f>IF(Indice_index!$Z$1=1,"Administração Central","Central Administration")</f>
        <v>Administração Central</v>
      </c>
      <c r="C43" s="4">
        <v>1.8311478700000001</v>
      </c>
      <c r="D43" s="4">
        <v>0.45147700000000002</v>
      </c>
      <c r="E43" s="4">
        <v>0.19012898</v>
      </c>
      <c r="F43" s="4">
        <v>0.50574246999999983</v>
      </c>
      <c r="G43" s="4">
        <f t="shared" si="5"/>
        <v>112.01954252376085</v>
      </c>
      <c r="H43" s="4">
        <f t="shared" si="6"/>
        <v>165.99967558864506</v>
      </c>
      <c r="I43" s="4">
        <f t="shared" si="7"/>
        <v>1.1201983982408707E-2</v>
      </c>
      <c r="J43" s="49"/>
    </row>
    <row r="44" spans="2:10" ht="14.1" customHeight="1">
      <c r="B44" s="165" t="str">
        <f>IF(Indice_index!$Z$1=1,"Outros subsetores das Administrações Públicas","Other General Government subsectors")</f>
        <v>Outros subsetores das Administrações Públicas</v>
      </c>
      <c r="C44" s="4">
        <v>0.87014302999999926</v>
      </c>
      <c r="D44" s="4">
        <v>0.40100000000000002</v>
      </c>
      <c r="E44" s="4">
        <v>8.9297920000000044E-2</v>
      </c>
      <c r="F44" s="4">
        <v>1.3399400000000394E-3</v>
      </c>
      <c r="G44" s="4">
        <f t="shared" si="5"/>
        <v>0.33414962593517189</v>
      </c>
      <c r="H44" s="4">
        <f t="shared" si="6"/>
        <v>-98.4994723281348</v>
      </c>
      <c r="I44" s="4">
        <f t="shared" si="7"/>
        <v>-3.1218687233078215E-3</v>
      </c>
      <c r="J44" s="49"/>
    </row>
    <row r="45" spans="2:10" ht="14.1" customHeight="1">
      <c r="B45" s="165" t="str">
        <f>IF(Indice_index!$Z$1=1,"União Europeia","European Union")</f>
        <v>União Europeia</v>
      </c>
      <c r="C45" s="4">
        <v>4.3988419399999996</v>
      </c>
      <c r="D45" s="4">
        <v>3.2064029999999999</v>
      </c>
      <c r="E45" s="4">
        <v>0.43650893999999996</v>
      </c>
      <c r="F45" s="4">
        <v>3.2239074599999999</v>
      </c>
      <c r="G45" s="4">
        <f t="shared" si="5"/>
        <v>100.54592201915979</v>
      </c>
      <c r="H45" s="4" t="str">
        <f t="shared" si="6"/>
        <v>-</v>
      </c>
      <c r="I45" s="4">
        <f t="shared" si="7"/>
        <v>9.8932379517839217E-2</v>
      </c>
      <c r="J45" s="49"/>
    </row>
    <row r="46" spans="2:10" ht="14.1" customHeight="1">
      <c r="B46" s="165" t="str">
        <f>IF(Indice_index!$Z$1=1,"Outras transferências","Other transfers")</f>
        <v>Outras transferências</v>
      </c>
      <c r="C46" s="4">
        <v>65.587855010000013</v>
      </c>
      <c r="D46" s="4">
        <v>80.541147000000009</v>
      </c>
      <c r="E46" s="4">
        <v>8.9453654499999988</v>
      </c>
      <c r="F46" s="4">
        <v>9.2216037599999989</v>
      </c>
      <c r="G46" s="4">
        <f t="shared" si="5"/>
        <v>11.449556038728872</v>
      </c>
      <c r="H46" s="4">
        <f t="shared" si="6"/>
        <v>3.0880606448560481</v>
      </c>
      <c r="I46" s="4">
        <f t="shared" si="7"/>
        <v>9.8044514001846168E-3</v>
      </c>
      <c r="J46" s="49"/>
    </row>
    <row r="47" spans="2:10" ht="14.1" customHeight="1">
      <c r="B47" s="121" t="str">
        <f>IF(Indice_index!$Z$1=1,"Subsídios","Subsidies")</f>
        <v>Subsídios</v>
      </c>
      <c r="C47" s="4">
        <v>79.102988390000021</v>
      </c>
      <c r="D47" s="4">
        <v>27.673078</v>
      </c>
      <c r="E47" s="4">
        <v>4.3340750099999994</v>
      </c>
      <c r="F47" s="4">
        <v>3.439368</v>
      </c>
      <c r="G47" s="4">
        <f t="shared" si="5"/>
        <v>12.428570468380858</v>
      </c>
      <c r="H47" s="4">
        <f t="shared" si="6"/>
        <v>-20.643551575264489</v>
      </c>
      <c r="I47" s="4">
        <f t="shared" si="7"/>
        <v>-3.1755593193968944E-2</v>
      </c>
      <c r="J47" s="49"/>
    </row>
    <row r="48" spans="2:10" ht="14.1" customHeight="1">
      <c r="B48" s="121" t="str">
        <f>IF(Indice_index!$Z$1=1,"Outras despesas correntes","Other current expenditure")</f>
        <v>Outras despesas correntes</v>
      </c>
      <c r="C48" s="4">
        <v>184.02867048000002</v>
      </c>
      <c r="D48" s="4">
        <v>567.05020400000001</v>
      </c>
      <c r="E48" s="4">
        <v>17.782112369999993</v>
      </c>
      <c r="F48" s="4">
        <v>15.742587720000007</v>
      </c>
      <c r="G48" s="4">
        <f t="shared" si="5"/>
        <v>2.7762246815098592</v>
      </c>
      <c r="H48" s="4">
        <f t="shared" si="6"/>
        <v>-11.469529646212596</v>
      </c>
      <c r="I48" s="4">
        <f t="shared" si="7"/>
        <v>-7.2388295129677704E-2</v>
      </c>
      <c r="J48" s="56"/>
    </row>
    <row r="49" spans="2:10" ht="14.1" customHeight="1">
      <c r="B49" s="121" t="str">
        <f>IF(Indice_index!$Z$1=1,"Diferenças de consolidação","Consolidation differences")</f>
        <v>Diferenças de consolidação</v>
      </c>
      <c r="C49" s="4">
        <v>6.1694499999997987E-3</v>
      </c>
      <c r="D49" s="4">
        <v>0</v>
      </c>
      <c r="E49" s="4">
        <v>0</v>
      </c>
      <c r="F49" s="4">
        <v>0</v>
      </c>
      <c r="G49" s="4"/>
      <c r="H49" s="4"/>
      <c r="I49" s="4"/>
      <c r="J49" s="49"/>
    </row>
    <row r="50" spans="2:10" ht="14.1" customHeight="1">
      <c r="B50" s="167" t="str">
        <f>IF(Indice_index!$Z$1=1,"Despesa de capital","Capital expenditure")</f>
        <v>Despesa de capital</v>
      </c>
      <c r="C50" s="128">
        <f>SUM(C51:C58)-C52</f>
        <v>3120.0384619600009</v>
      </c>
      <c r="D50" s="128">
        <f>SUM(D51:D58)-D52</f>
        <v>4693.0841320000009</v>
      </c>
      <c r="E50" s="128">
        <f>SUM(E51:E58)-E52</f>
        <v>512.0334898000001</v>
      </c>
      <c r="F50" s="128">
        <f>SUM(F51:F58)-F52</f>
        <v>500.19478536999998</v>
      </c>
      <c r="G50" s="128">
        <f t="shared" ref="G50:G57" si="8">IFERROR(IF(F50/D50*100&lt;-500,"-",IF(F50/D50*100&gt;500,"-",F50/D50*100)),"-")</f>
        <v>10.658125260516849</v>
      </c>
      <c r="H50" s="128">
        <f t="shared" si="6"/>
        <v>-2.3120957253449008</v>
      </c>
      <c r="I50" s="128">
        <f t="shared" ref="I50:I57" si="9">IFERROR((F50-E50)/$E$59*100,"-")</f>
        <v>-0.42018792478525685</v>
      </c>
      <c r="J50" s="49"/>
    </row>
    <row r="51" spans="2:10" ht="14.1" customHeight="1">
      <c r="B51" s="121" t="str">
        <f>IF(Indice_index!$Z$1=1,"Investimento","Investment")</f>
        <v>Investimento</v>
      </c>
      <c r="C51" s="4">
        <v>3010.4984914700012</v>
      </c>
      <c r="D51" s="4">
        <v>4519.5712149999999</v>
      </c>
      <c r="E51" s="4">
        <v>506.24630834999999</v>
      </c>
      <c r="F51" s="4">
        <v>494.59851979999996</v>
      </c>
      <c r="G51" s="4">
        <f t="shared" si="8"/>
        <v>10.943483270237616</v>
      </c>
      <c r="H51" s="4">
        <f t="shared" si="6"/>
        <v>-2.3008145161519238</v>
      </c>
      <c r="I51" s="4">
        <f t="shared" si="9"/>
        <v>-0.41341179924718657</v>
      </c>
      <c r="J51" s="49"/>
    </row>
    <row r="52" spans="2:10" ht="14.1" customHeight="1">
      <c r="B52" s="121" t="str">
        <f>IF(Indice_index!$Z$1=1,"Transferências de capital","Capital transfers")</f>
        <v>Transferências de capital</v>
      </c>
      <c r="C52" s="4">
        <f>SUM(C53:C56)</f>
        <v>97.366483450000004</v>
      </c>
      <c r="D52" s="4">
        <f>SUM(D53:D56)</f>
        <v>132.77119599999997</v>
      </c>
      <c r="E52" s="4">
        <f>SUM(E53:E56)</f>
        <v>5.7143124499999995</v>
      </c>
      <c r="F52" s="4">
        <f>SUM(F53:F56)</f>
        <v>5.596265569999999</v>
      </c>
      <c r="G52" s="4">
        <f t="shared" si="8"/>
        <v>4.21496961584951</v>
      </c>
      <c r="H52" s="4">
        <f t="shared" si="6"/>
        <v>-2.0658107345880348</v>
      </c>
      <c r="I52" s="4">
        <f t="shared" si="9"/>
        <v>-4.1898058886308352E-3</v>
      </c>
      <c r="J52" s="49"/>
    </row>
    <row r="53" spans="2:10" ht="14.1" customHeight="1">
      <c r="B53" s="165" t="str">
        <f>IF(Indice_index!$Z$1=1,"Administração Central","Central Administration")</f>
        <v>Administração Central</v>
      </c>
      <c r="C53" s="4">
        <v>1.2339818200000001</v>
      </c>
      <c r="D53" s="4">
        <v>31.215734000000001</v>
      </c>
      <c r="E53" s="4">
        <v>0.11089700000000001</v>
      </c>
      <c r="F53" s="4">
        <v>0.50629670999999998</v>
      </c>
      <c r="G53" s="4">
        <f t="shared" si="8"/>
        <v>1.6219279354443499</v>
      </c>
      <c r="H53" s="4">
        <f t="shared" si="6"/>
        <v>356.54680469264264</v>
      </c>
      <c r="I53" s="4">
        <f t="shared" si="9"/>
        <v>1.4033814644833621E-2</v>
      </c>
      <c r="J53" s="49"/>
    </row>
    <row r="54" spans="2:10" ht="14.1" customHeight="1">
      <c r="B54" s="165" t="str">
        <f>IF(Indice_index!$Z$1=1,"Outros subsetores das Administrações Públicas","Other General Government subsectors")</f>
        <v>Outros subsetores das Administrações Públicas</v>
      </c>
      <c r="C54" s="4">
        <v>0</v>
      </c>
      <c r="D54" s="4">
        <v>4.2383999999999998E-2</v>
      </c>
      <c r="E54" s="4">
        <v>0</v>
      </c>
      <c r="F54" s="4">
        <v>0</v>
      </c>
      <c r="G54" s="4">
        <f t="shared" si="8"/>
        <v>0</v>
      </c>
      <c r="H54" s="4" t="str">
        <f t="shared" si="6"/>
        <v>-</v>
      </c>
      <c r="I54" s="4">
        <f t="shared" si="9"/>
        <v>0</v>
      </c>
      <c r="J54" s="49"/>
    </row>
    <row r="55" spans="2:10" ht="14.1" customHeight="1">
      <c r="B55" s="165" t="str">
        <f>IF(Indice_index!$Z$1=1,"União Europeia","European Union")</f>
        <v>União Europeia</v>
      </c>
      <c r="C55" s="4">
        <v>0.63074776821773626</v>
      </c>
      <c r="D55" s="4">
        <v>4.1696169999999997</v>
      </c>
      <c r="E55" s="4">
        <v>0</v>
      </c>
      <c r="F55" s="4">
        <v>0.38608364000000001</v>
      </c>
      <c r="G55" s="4">
        <f t="shared" si="8"/>
        <v>9.2594509279869115</v>
      </c>
      <c r="H55" s="4" t="str">
        <f t="shared" si="6"/>
        <v>-</v>
      </c>
      <c r="I55" s="4">
        <f t="shared" si="9"/>
        <v>1.3703161899543809E-2</v>
      </c>
      <c r="J55" s="49"/>
    </row>
    <row r="56" spans="2:10" ht="14.1" customHeight="1">
      <c r="B56" s="165" t="str">
        <f>IF(Indice_index!$Z$1=1,"Outras transferências","Other transfers")</f>
        <v>Outras transferências</v>
      </c>
      <c r="C56" s="4">
        <v>95.501753861782262</v>
      </c>
      <c r="D56" s="4">
        <v>97.343460999999991</v>
      </c>
      <c r="E56" s="4">
        <v>5.60341545</v>
      </c>
      <c r="F56" s="4">
        <v>4.7038852199999992</v>
      </c>
      <c r="G56" s="4">
        <f t="shared" si="8"/>
        <v>4.8322559848164834</v>
      </c>
      <c r="H56" s="4">
        <f t="shared" si="6"/>
        <v>-16.053248916248052</v>
      </c>
      <c r="I56" s="4">
        <f t="shared" si="9"/>
        <v>-3.1926782433008283E-2</v>
      </c>
      <c r="J56" s="49"/>
    </row>
    <row r="57" spans="2:10" ht="15">
      <c r="B57" s="121" t="str">
        <f>IF(Indice_index!$Z$1=1,"Outras despesas de capital","Other capital expenditure")</f>
        <v>Outras despesas de capital</v>
      </c>
      <c r="C57" s="4">
        <v>12.019365649999999</v>
      </c>
      <c r="D57" s="4">
        <v>40.741720999999998</v>
      </c>
      <c r="E57" s="4">
        <v>0</v>
      </c>
      <c r="F57" s="4">
        <v>0</v>
      </c>
      <c r="G57" s="4">
        <f t="shared" si="8"/>
        <v>0</v>
      </c>
      <c r="H57" s="4" t="str">
        <f t="shared" si="6"/>
        <v>-</v>
      </c>
      <c r="I57" s="4">
        <f t="shared" si="9"/>
        <v>0</v>
      </c>
      <c r="J57" s="56"/>
    </row>
    <row r="58" spans="2:10" ht="14.1" customHeight="1">
      <c r="B58" s="121" t="str">
        <f>IF(Indice_index!$Z$1=1,"Diferenças de consolidação","Consolidation differences")</f>
        <v>Diferenças de consolidação</v>
      </c>
      <c r="C58" s="4">
        <v>0.15412139000000002</v>
      </c>
      <c r="D58" s="4">
        <v>0</v>
      </c>
      <c r="E58" s="4">
        <v>7.2869000000000003E-2</v>
      </c>
      <c r="F58" s="4">
        <v>0</v>
      </c>
      <c r="G58" s="4"/>
      <c r="H58" s="4"/>
      <c r="I58" s="4"/>
      <c r="J58" s="56"/>
    </row>
    <row r="59" spans="2:10" ht="14.1" customHeight="1">
      <c r="B59" s="29" t="str">
        <f>IF(Indice_index!$Z$1=1,"Despesa efetiva","Effective Expenditure")</f>
        <v>Despesa efetiva</v>
      </c>
      <c r="C59" s="18">
        <f>+C35+C50</f>
        <v>21847.416733630002</v>
      </c>
      <c r="D59" s="18">
        <f>+D35+D50</f>
        <v>22883.675581</v>
      </c>
      <c r="E59" s="18">
        <f>+E35+E50</f>
        <v>2817.4784975199996</v>
      </c>
      <c r="F59" s="18">
        <f>+F35+F50</f>
        <v>2946.6154520499995</v>
      </c>
      <c r="G59" s="18">
        <f>IFERROR(IF(F59/D59*100&lt;-500,"-",IF(F59/D59*100&gt;500,"-",F59/D59*100)),"-")</f>
        <v>12.876495480894395</v>
      </c>
      <c r="H59" s="18">
        <f>IF(E59=0,"-",(F59-E59)/E59*100)</f>
        <v>4.5834228954602079</v>
      </c>
      <c r="I59" s="18"/>
      <c r="J59" s="49"/>
    </row>
    <row r="60" spans="2:10" ht="14.1" customHeight="1">
      <c r="B60" s="29" t="str">
        <f>IF(Indice_index!$Z$1=1,"Saldo global","Overall Balance")</f>
        <v>Saldo global</v>
      </c>
      <c r="C60" s="18">
        <f>+(C12+C25)-(C35+C50)</f>
        <v>-953.51795903999664</v>
      </c>
      <c r="D60" s="18">
        <f>+(D12+D25)-(D35+D50)</f>
        <v>-612.8332180000034</v>
      </c>
      <c r="E60" s="18">
        <f>+(E12+E25)-(E35+E50)</f>
        <v>-27.456568659999903</v>
      </c>
      <c r="F60" s="18">
        <f>+(F12+F25)-(F35+F50)</f>
        <v>84.002673089999917</v>
      </c>
      <c r="G60" s="18"/>
      <c r="H60" s="18"/>
      <c r="I60" s="18"/>
      <c r="J60" s="49"/>
    </row>
    <row r="61" spans="2:10" ht="14.1" customHeight="1">
      <c r="B61" s="121" t="str">
        <f>IF(Indice_index!$Z$1=1,"Despesa primária","Primary Expenditure")</f>
        <v>Despesa primária</v>
      </c>
      <c r="C61" s="4">
        <f>C59-C41</f>
        <v>21705.019882050001</v>
      </c>
      <c r="D61" s="4">
        <f>D59-D41</f>
        <v>22799.101651000001</v>
      </c>
      <c r="E61" s="4">
        <f>E59-E41</f>
        <v>2812.7805856899995</v>
      </c>
      <c r="F61" s="4">
        <f>F59-F41</f>
        <v>2940.2496988299995</v>
      </c>
      <c r="G61" s="4">
        <f>IFERROR(IF(F61/D61*100&lt;-500,"-",IF(F61/D61*100&gt;500,"-",F61/D61*100)),"-")</f>
        <v>12.896340144617216</v>
      </c>
      <c r="H61" s="4">
        <f>IF(E61=0,"-",(F61-E61)/E61*100)</f>
        <v>4.5317830259671927</v>
      </c>
      <c r="I61" s="4"/>
      <c r="J61" s="198"/>
    </row>
    <row r="62" spans="2:10" ht="14.1" customHeight="1">
      <c r="B62" s="121" t="str">
        <f>IF(Indice_index!$Z$1=1,"Saldo corrente","Current balance")</f>
        <v>Saldo corrente</v>
      </c>
      <c r="C62" s="4">
        <f>+C12-C35</f>
        <v>-68.295426589997078</v>
      </c>
      <c r="D62" s="4">
        <f>+D12-D35</f>
        <v>1465.1374159999978</v>
      </c>
      <c r="E62" s="4">
        <f>+E12-E35</f>
        <v>326.8943172700001</v>
      </c>
      <c r="F62" s="4">
        <f>+F12-F35</f>
        <v>412.8663738399996</v>
      </c>
      <c r="G62" s="4"/>
      <c r="H62" s="4"/>
      <c r="I62" s="4"/>
      <c r="J62" s="49"/>
    </row>
    <row r="63" spans="2:10" ht="14.1" customHeight="1">
      <c r="B63" s="121" t="str">
        <f>IF(Indice_index!$Z$1=1,"Saldo de capital","Capital balance")</f>
        <v>Saldo de capital</v>
      </c>
      <c r="C63" s="4">
        <f>C25-C50</f>
        <v>-885.22253245000093</v>
      </c>
      <c r="D63" s="4">
        <f>D25-D50</f>
        <v>-2077.9706340000012</v>
      </c>
      <c r="E63" s="4">
        <f>E25-E50</f>
        <v>-354.35088593000012</v>
      </c>
      <c r="F63" s="4">
        <f>F25-F50</f>
        <v>-328.86370075000002</v>
      </c>
      <c r="G63" s="4"/>
      <c r="H63" s="4"/>
      <c r="I63" s="4"/>
      <c r="J63" s="49"/>
    </row>
    <row r="64" spans="2:10" ht="14.1" customHeight="1">
      <c r="B64" s="121" t="str">
        <f>IF(Indice_index!$Z$1=1,"Saldo primário","Primary balance")</f>
        <v>Saldo primário</v>
      </c>
      <c r="C64" s="4">
        <f>C60+C41</f>
        <v>-811.12110745999667</v>
      </c>
      <c r="D64" s="4">
        <f>D60+D41</f>
        <v>-528.25928800000338</v>
      </c>
      <c r="E64" s="4">
        <f>E60+E41</f>
        <v>-22.758656829999904</v>
      </c>
      <c r="F64" s="4">
        <f>F60+F41</f>
        <v>90.368426309999919</v>
      </c>
      <c r="G64" s="4"/>
      <c r="H64" s="4"/>
      <c r="I64" s="4"/>
      <c r="J64" s="49"/>
    </row>
    <row r="65" spans="2:10" ht="14.1" customHeight="1">
      <c r="B65" s="121" t="str">
        <f>IF(Indice_index!$Z$1=1,"Ativos financeiros líquidos de reembolsos","Financial assets net of reimbursements")</f>
        <v>Ativos financeiros líquidos de reembolsos</v>
      </c>
      <c r="C65" s="301">
        <v>203.04580193999936</v>
      </c>
      <c r="D65" s="4">
        <v>474.18830100000002</v>
      </c>
      <c r="E65" s="301">
        <v>-854.98140883999986</v>
      </c>
      <c r="F65" s="301">
        <v>-845.04047250999986</v>
      </c>
      <c r="G65" s="4"/>
      <c r="H65" s="4"/>
      <c r="I65" s="4"/>
      <c r="J65" s="50"/>
    </row>
    <row r="66" spans="2:10" ht="14.1" customHeight="1">
      <c r="B66" s="271" t="str">
        <f>IF(Indice_index!$Z$1=1,"dos quais Receitas de:","of which revenue from:")</f>
        <v>dos quais Receitas de:</v>
      </c>
      <c r="C66" s="4"/>
      <c r="D66" s="4"/>
      <c r="E66" s="4"/>
      <c r="F66" s="4"/>
      <c r="G66" s="4"/>
      <c r="H66" s="4"/>
      <c r="I66" s="4"/>
      <c r="J66" s="27"/>
    </row>
    <row r="67" spans="2:10" ht="15">
      <c r="B67" s="302" t="str">
        <f>IF(Indice_index!$Z$1=1,"Alienação de partes de Capital","Disposal of Capital Shares")</f>
        <v>Alienação de partes de Capital</v>
      </c>
      <c r="C67" s="4">
        <v>1.2010000000000001</v>
      </c>
      <c r="D67" s="4"/>
      <c r="E67" s="4">
        <v>0</v>
      </c>
      <c r="F67" s="4">
        <v>0</v>
      </c>
      <c r="G67" s="4"/>
      <c r="H67" s="4" t="str">
        <f>IF(IFERROR((F67-E67)/E67*100,"")&gt;500,"-",IFERROR((F67-E67)/E67*100,""))</f>
        <v>-</v>
      </c>
      <c r="I67" s="4"/>
      <c r="J67" s="50"/>
    </row>
    <row r="68" spans="2:10" ht="14.1" customHeight="1">
      <c r="B68" s="302" t="str">
        <f>IF(Indice_index!$Z$1=1,"Outros Ativos","Other Assets")</f>
        <v>Outros Ativos</v>
      </c>
      <c r="C68" s="4">
        <v>5586.9143822100004</v>
      </c>
      <c r="D68" s="4">
        <v>348.06233700000001</v>
      </c>
      <c r="E68" s="4">
        <v>2799.7298765</v>
      </c>
      <c r="F68" s="4">
        <v>845.97936750999986</v>
      </c>
      <c r="G68" s="4"/>
      <c r="H68" s="4">
        <f>IF(IFERROR((F68-E68)/E68*100,"")&gt;500,"-",IFERROR((F68-E68)/E68*100,""))</f>
        <v>-69.783536097147476</v>
      </c>
      <c r="I68" s="4"/>
      <c r="J68" s="49"/>
    </row>
    <row r="69" spans="2:10" ht="14.1" customHeight="1">
      <c r="B69" s="121" t="str">
        <f>IF(Indice_index!$Z$1=1,"Passivos financeiros líquidos de amortizações","Financial liabilities net of amortizations")</f>
        <v>Passivos financeiros líquidos de amortizações</v>
      </c>
      <c r="C69" s="4">
        <v>2261.5847456000006</v>
      </c>
      <c r="D69" s="4">
        <v>2278.996568</v>
      </c>
      <c r="E69" s="4">
        <v>378.50264114999999</v>
      </c>
      <c r="F69" s="4">
        <v>354.73401441999999</v>
      </c>
      <c r="G69" s="4"/>
      <c r="H69" s="4"/>
      <c r="I69" s="4"/>
      <c r="J69" s="57"/>
    </row>
    <row r="70" spans="2:10" ht="14.1" customHeight="1">
      <c r="B70" s="166" t="str">
        <f>IF(Indice_index!$Z$1=1,"Poupança (+) / Utilização (-) de saldo da gerência anterior","Saving (+) / Usage (-) of balance from previous management")</f>
        <v>Poupança (+) / Utilização (-) de saldo da gerência anterior</v>
      </c>
      <c r="C70" s="19">
        <f>C60-C65+C69</f>
        <v>1105.0209846200046</v>
      </c>
      <c r="D70" s="19">
        <f>D60-D65+D69</f>
        <v>1191.9750489999965</v>
      </c>
      <c r="E70" s="19">
        <f>E60-E65+E69</f>
        <v>1206.02748133</v>
      </c>
      <c r="F70" s="19">
        <f>F60-F65+F69</f>
        <v>1283.7771600199999</v>
      </c>
      <c r="G70" s="19"/>
      <c r="H70" s="19"/>
      <c r="I70" s="19"/>
      <c r="J70" s="49"/>
    </row>
    <row r="71" spans="2:10" ht="15">
      <c r="B71" s="9" t="str">
        <f>IF(Indice_index!$Z$1=1,"Notas:","Notes:")</f>
        <v>Notas:</v>
      </c>
      <c r="C71" s="9"/>
      <c r="D71" s="9"/>
      <c r="E71" s="9"/>
      <c r="F71" s="9"/>
      <c r="G71" s="9"/>
      <c r="H71" s="9"/>
      <c r="I71" s="9"/>
      <c r="J71" s="49"/>
    </row>
    <row r="72" spans="2:10" ht="15">
      <c r="B72" s="376" t="str">
        <f>+'3 - Conta AC + SS'!$B$61</f>
        <v>Os dados de 2025 são mensalmente revistos e atualizados face ao publicado nas Sínteses de Execução Orçamental de 2025.</v>
      </c>
      <c r="C72" s="376"/>
      <c r="D72" s="376"/>
      <c r="E72" s="376"/>
      <c r="F72" s="376"/>
      <c r="G72" s="376"/>
      <c r="H72" s="376"/>
      <c r="I72" s="376"/>
      <c r="J72" s="27"/>
    </row>
    <row r="73" spans="2:10" ht="15">
      <c r="B73" s="381" t="str">
        <f>IF(Indice_index!$Z$1=1,"Entidades em incumprimento no reporte da execução orçamental no mês em análise:","Non reporting entities are identified below ")</f>
        <v>Entidades em incumprimento no reporte da execução orçamental no mês em análise:</v>
      </c>
      <c r="C73" s="381"/>
      <c r="D73" s="381"/>
      <c r="E73" s="381"/>
      <c r="F73" s="381"/>
      <c r="G73" s="381"/>
      <c r="H73" s="381"/>
      <c r="I73" s="381"/>
      <c r="J73" s="49"/>
    </row>
    <row r="74" spans="2:10" ht="15">
      <c r="B74" s="246" t="s">
        <v>541</v>
      </c>
      <c r="C74" s="247"/>
      <c r="D74" s="247"/>
      <c r="E74" s="248"/>
      <c r="F74" s="248"/>
      <c r="G74" s="248"/>
      <c r="H74" s="248"/>
      <c r="I74" s="248"/>
      <c r="J74" s="49"/>
    </row>
    <row r="75" spans="2:10" ht="24.75" customHeight="1">
      <c r="B75" s="385" t="s">
        <v>544</v>
      </c>
      <c r="C75" s="385"/>
      <c r="D75" s="385"/>
      <c r="E75" s="385"/>
      <c r="F75" s="385"/>
      <c r="G75" s="385"/>
      <c r="H75" s="385"/>
      <c r="I75" s="385"/>
      <c r="J75" s="199"/>
    </row>
    <row r="76" spans="2:10" ht="24.75" customHeight="1">
      <c r="B76" s="386" t="str">
        <f>IF(Indice_index!$Z$1=1,B81,B82)</f>
        <v>Para as entidades identificadas considera-se na execução orçamental uma estimativa de execução para os meses em falta, a qual corresponde a um duodécimo do orçamento aprovado abatido dos cativos previstos na lei do OE2026 (Lei n.º 73-A/2025​, de 30 de dezembro).</v>
      </c>
      <c r="C76" s="386"/>
      <c r="D76" s="386"/>
      <c r="E76" s="386"/>
      <c r="F76" s="386"/>
      <c r="G76" s="386"/>
      <c r="H76" s="386"/>
      <c r="I76" s="386"/>
      <c r="J76" s="49"/>
    </row>
    <row r="77" spans="2:10" ht="15" customHeight="1">
      <c r="B77" s="386" t="str">
        <f>IF(Indice_index!$Z$1=1,B84,B85)</f>
        <v>Esta estimativa apenas é utilizada para os meses em que haja falta de reporte. Nos restantes meses, é utilizada a informação efetivamente reportada pelas entidades.</v>
      </c>
      <c r="C77" s="386"/>
      <c r="D77" s="386"/>
      <c r="E77" s="386"/>
      <c r="F77" s="386"/>
      <c r="G77" s="386"/>
      <c r="H77" s="386"/>
      <c r="I77" s="386"/>
      <c r="J77" s="49"/>
    </row>
    <row r="78" spans="2:10" ht="15">
      <c r="B78" s="141" t="str">
        <f>IF(Indice_index!$Z$1=1,"Fonte: Entidade Orçamental.","Source: Budgetary Entity.")</f>
        <v>Fonte: Entidade Orçamental.</v>
      </c>
      <c r="C78" s="141"/>
      <c r="D78" s="141"/>
      <c r="E78" s="49"/>
      <c r="F78" s="49"/>
      <c r="J78" s="65"/>
    </row>
    <row r="79" spans="2:10" ht="14.85" customHeight="1"/>
    <row r="81" spans="2:9" s="182" customFormat="1" ht="15" hidden="1">
      <c r="B81" s="387" t="s">
        <v>542</v>
      </c>
      <c r="C81" s="388"/>
      <c r="D81" s="388"/>
      <c r="E81" s="388"/>
      <c r="F81" s="388"/>
      <c r="G81" s="388"/>
      <c r="H81" s="69"/>
      <c r="I81" s="69"/>
    </row>
    <row r="82" spans="2:9" s="182" customFormat="1" ht="15" hidden="1">
      <c r="B82" s="382" t="s">
        <v>543</v>
      </c>
      <c r="C82" s="382"/>
      <c r="D82" s="382"/>
      <c r="E82" s="382"/>
      <c r="F82" s="382"/>
      <c r="G82" s="382"/>
      <c r="H82" s="69"/>
      <c r="I82" s="69"/>
    </row>
    <row r="83" spans="2:9" s="182" customFormat="1" ht="15" hidden="1">
      <c r="B83" s="382"/>
      <c r="C83" s="382"/>
      <c r="D83" s="382"/>
      <c r="E83" s="382"/>
      <c r="F83" s="382"/>
      <c r="G83" s="382"/>
      <c r="H83" s="382"/>
      <c r="I83" s="382"/>
    </row>
    <row r="84" spans="2:9" s="182" customFormat="1" ht="15" hidden="1">
      <c r="B84" s="382" t="s">
        <v>8</v>
      </c>
      <c r="C84" s="382"/>
      <c r="D84" s="382"/>
      <c r="E84" s="382"/>
      <c r="F84" s="382"/>
      <c r="G84" s="382"/>
      <c r="H84" s="382"/>
      <c r="I84" s="382"/>
    </row>
    <row r="85" spans="2:9" s="182" customFormat="1" ht="15" hidden="1">
      <c r="B85" s="382" t="s">
        <v>9</v>
      </c>
      <c r="C85" s="382"/>
      <c r="D85" s="382"/>
      <c r="E85" s="382"/>
      <c r="F85" s="382"/>
      <c r="G85" s="382"/>
      <c r="H85" s="382"/>
      <c r="I85" s="382"/>
    </row>
    <row r="86" spans="2:9" s="182" customFormat="1" ht="15" hidden="1">
      <c r="B86" s="52"/>
      <c r="C86" s="52"/>
      <c r="D86" s="52"/>
      <c r="E86" s="66"/>
      <c r="F86" s="52"/>
      <c r="G86" s="52"/>
      <c r="H86" s="53"/>
      <c r="I86" s="53"/>
    </row>
    <row r="87" spans="2:9" ht="15" hidden="1">
      <c r="B87" s="389"/>
      <c r="C87" s="389"/>
      <c r="D87" s="389"/>
      <c r="E87" s="389"/>
      <c r="F87" s="389"/>
      <c r="G87" s="389"/>
      <c r="H87" s="389"/>
      <c r="I87" s="389"/>
    </row>
    <row r="88" spans="2:9" ht="15" hidden="1">
      <c r="B88" s="390"/>
      <c r="C88" s="390"/>
      <c r="D88" s="391"/>
      <c r="E88" s="391"/>
      <c r="F88" s="391"/>
      <c r="G88" s="391"/>
      <c r="H88" s="391"/>
      <c r="I88" s="391"/>
    </row>
    <row r="98" spans="2:7" ht="15" hidden="1">
      <c r="B98" s="387" t="s">
        <v>10</v>
      </c>
      <c r="C98" s="388"/>
      <c r="D98" s="388"/>
      <c r="E98" s="388"/>
      <c r="F98" s="388"/>
      <c r="G98" s="388"/>
    </row>
    <row r="99" spans="2:7" ht="15" hidden="1">
      <c r="B99" s="382" t="s">
        <v>11</v>
      </c>
      <c r="C99" s="382"/>
      <c r="D99" s="382"/>
      <c r="E99" s="382"/>
      <c r="F99" s="382"/>
      <c r="G99" s="382"/>
    </row>
  </sheetData>
  <mergeCells count="17">
    <mergeCell ref="B98:G98"/>
    <mergeCell ref="B77:I77"/>
    <mergeCell ref="B99:G99"/>
    <mergeCell ref="B81:G81"/>
    <mergeCell ref="B83:I83"/>
    <mergeCell ref="B82:G82"/>
    <mergeCell ref="B87:I87"/>
    <mergeCell ref="B88:I88"/>
    <mergeCell ref="B84:I84"/>
    <mergeCell ref="B85:I85"/>
    <mergeCell ref="B76:I76"/>
    <mergeCell ref="B10:B11"/>
    <mergeCell ref="E10:F10"/>
    <mergeCell ref="H10:I10"/>
    <mergeCell ref="B72:I72"/>
    <mergeCell ref="B73:I73"/>
    <mergeCell ref="B75:I75"/>
  </mergeCells>
  <conditionalFormatting sqref="C61:C64 C66:C70">
    <cfRule type="cellIs" dxfId="48" priority="1" operator="equal">
      <formula>0</formula>
    </cfRule>
  </conditionalFormatting>
  <conditionalFormatting sqref="C12:I33">
    <cfRule type="cellIs" dxfId="47" priority="2" operator="equal">
      <formula>0</formula>
    </cfRule>
  </conditionalFormatting>
  <conditionalFormatting sqref="C35:I58">
    <cfRule type="cellIs" dxfId="46" priority="3" operator="equal">
      <formula>0</formula>
    </cfRule>
  </conditionalFormatting>
  <conditionalFormatting sqref="D61:D70 G61:I70">
    <cfRule type="cellIs" dxfId="45" priority="11" operator="equal">
      <formula>0</formula>
    </cfRule>
  </conditionalFormatting>
  <conditionalFormatting sqref="E61:F64 E66:F70">
    <cfRule type="cellIs" dxfId="44" priority="4"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D59:D64 D70 E18:F18 E27:F27 E36:F36 E42:F42 E52:F52 C36"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5" zeroHeight="1"/>
  <cols>
    <col min="1" max="1" width="8.5703125" style="67" customWidth="1"/>
    <col min="2" max="2" width="43" style="67" customWidth="1"/>
    <col min="3" max="9" width="10.42578125" style="67" customWidth="1"/>
    <col min="10" max="10" width="8.5703125" style="68" customWidth="1"/>
    <col min="11" max="16384" width="8.5703125" hidden="1"/>
  </cols>
  <sheetData>
    <row r="1" spans="1:10"/>
    <row r="2" spans="1:10"/>
    <row r="3" spans="1:10"/>
    <row r="4" spans="1:10"/>
    <row r="5" spans="1:10" ht="18" customHeight="1">
      <c r="A5"/>
      <c r="B5" s="254" t="str">
        <f>IF(Indice_index!$Z$1=1,"ANEXOS ESTATÍSTICOS","STATISTICAL ANNEXES")</f>
        <v>ANEXOS ESTATÍSTICOS</v>
      </c>
      <c r="C5"/>
      <c r="D5"/>
      <c r="E5"/>
      <c r="F5"/>
      <c r="G5"/>
      <c r="H5"/>
      <c r="I5"/>
      <c r="J5"/>
    </row>
    <row r="6" spans="1:10" ht="18" customHeight="1">
      <c r="A6"/>
      <c r="B6" s="255" t="str">
        <f>IF(Indice_index!$Z$1=1,"Fevereiro de 2026","February 2026")</f>
        <v>Fevereiro de 2026</v>
      </c>
      <c r="C6"/>
      <c r="D6"/>
      <c r="E6"/>
      <c r="F6"/>
      <c r="G6"/>
      <c r="H6"/>
      <c r="I6"/>
      <c r="J6"/>
    </row>
    <row r="7" spans="1:10" ht="48.75" customHeight="1">
      <c r="B7" s="12"/>
      <c r="C7" s="13"/>
      <c r="D7" s="11"/>
      <c r="E7" s="11"/>
      <c r="F7" s="11"/>
      <c r="G7" s="11"/>
      <c r="H7" s="11"/>
      <c r="I7" s="72"/>
    </row>
    <row r="8" spans="1:10" ht="15.7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1:10">
      <c r="B9" s="3" t="str">
        <f>+'3 - Conta AC + SS'!B9</f>
        <v>Período: janeiro a fevereiro</v>
      </c>
      <c r="C9" s="3"/>
      <c r="D9" s="3"/>
      <c r="E9" s="3"/>
      <c r="F9" s="3"/>
      <c r="G9" s="3"/>
      <c r="H9" s="3"/>
      <c r="I9" s="3" t="str">
        <f>IF(Indice_index!$Z$1=1,"€ Milhões","€ Millions")</f>
        <v>€ Milhões</v>
      </c>
    </row>
    <row r="10" spans="1:10"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0"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0" ht="14.1" customHeight="1">
      <c r="B12" s="167" t="str">
        <f>IF(Indice_index!$Z$1=1,"Receita corrente","Current revenue")</f>
        <v>Receita corrente</v>
      </c>
      <c r="C12" s="128">
        <v>12885.280712190002</v>
      </c>
      <c r="D12" s="128">
        <f>+D13+D18+D27</f>
        <v>13578.950397000001</v>
      </c>
      <c r="E12" s="128">
        <f t="shared" ref="E12:F12" si="0">+E13+E18+E27</f>
        <v>2122.1552841600001</v>
      </c>
      <c r="F12" s="128">
        <f t="shared" si="0"/>
        <v>2181.7733345299998</v>
      </c>
      <c r="G12" s="128">
        <f t="shared" ref="G12" si="1">IFERROR(IF(F12/D12*100&lt;-500,"-",IF(F12/D12*100&gt;500,"-",F12/D12*100)),"-")</f>
        <v>16.067319422655963</v>
      </c>
      <c r="H12" s="128">
        <f t="shared" ref="H12" si="2">IF(IFERROR((F12-E12)/E12*100,"")&gt;500,"-",IFERROR((F12-E12)/E12*100,""))</f>
        <v>2.8093161143765224</v>
      </c>
      <c r="I12" s="128">
        <f>IFERROR((F12-E12)/$E$30*100,"-")</f>
        <v>2.8093161143765224</v>
      </c>
    </row>
    <row r="13" spans="1:10" ht="14.1" customHeight="1">
      <c r="B13" s="121" t="str">
        <f>IF(Indice_index!$Z$1=1,"Contribuições para a Caixa Geral de Aposentações","Contributions to the Public Servants Social Scheme (CGA)")</f>
        <v>Contribuições para a Caixa Geral de Aposentações</v>
      </c>
      <c r="C13" s="4">
        <v>4526.2963062400004</v>
      </c>
      <c r="D13" s="4">
        <f>+D14+D15</f>
        <v>4325.4359000000004</v>
      </c>
      <c r="E13" s="4">
        <f t="shared" ref="E13:F13" si="3">+E14+E15</f>
        <v>600.16940763000014</v>
      </c>
      <c r="F13" s="4">
        <f t="shared" si="3"/>
        <v>628.50456798999994</v>
      </c>
      <c r="G13" s="4">
        <f t="shared" ref="G13:G46" si="4">IFERROR(IF(F13/D13*100&lt;-500,"-",IF(F13/D13*100&gt;500,"-",F13/D13*100)),"-")</f>
        <v>14.530433059706189</v>
      </c>
      <c r="H13" s="4">
        <f t="shared" ref="H13:H46" si="5">IF(IFERROR((F13-E13)/E13*100,"")&gt;500,"-",IFERROR((F13-E13)/E13*100,""))</f>
        <v>4.7211937162695596</v>
      </c>
      <c r="I13" s="4">
        <f t="shared" ref="I13:I29" si="6">IFERROR((F13-E13)/$E$30*100,"-")</f>
        <v>1.335206738710242</v>
      </c>
    </row>
    <row r="14" spans="1:10" ht="14.1" customHeight="1">
      <c r="B14" s="165" t="str">
        <f>IF(Indice_index!$Z$1=1,"Quotas e contribuições para a CGA","Fees and contributions to the CGA")</f>
        <v>Quotas e contribuições para a CGA</v>
      </c>
      <c r="C14" s="4">
        <v>4416.7342170700003</v>
      </c>
      <c r="D14" s="4">
        <v>4248.1125000000002</v>
      </c>
      <c r="E14" s="4">
        <v>591.12790905000008</v>
      </c>
      <c r="F14" s="4">
        <v>620.19232986999998</v>
      </c>
      <c r="G14" s="4">
        <f t="shared" si="4"/>
        <v>14.599244484933013</v>
      </c>
      <c r="H14" s="4">
        <f t="shared" si="5"/>
        <v>4.9167735738800147</v>
      </c>
      <c r="I14" s="4">
        <f t="shared" si="6"/>
        <v>1.3695708809312834</v>
      </c>
    </row>
    <row r="15" spans="1:10" ht="14.1" customHeight="1">
      <c r="B15" s="165" t="str">
        <f>IF(Indice_index!$Z$1=1,"Compensação por pagamento de pensões","Pension payment compensations")</f>
        <v>Compensação por pagamento de pensões</v>
      </c>
      <c r="C15" s="4">
        <v>109.56208917000001</v>
      </c>
      <c r="D15" s="4">
        <f>+D16+D17</f>
        <v>77.323399999999992</v>
      </c>
      <c r="E15" s="4">
        <f t="shared" ref="E15:F15" si="7">+E16+E17</f>
        <v>9.041498579999999</v>
      </c>
      <c r="F15" s="4">
        <f t="shared" si="7"/>
        <v>8.31223812</v>
      </c>
      <c r="G15" s="4">
        <f t="shared" si="4"/>
        <v>10.749964590279269</v>
      </c>
      <c r="H15" s="4">
        <f t="shared" si="5"/>
        <v>-8.0657034179393641</v>
      </c>
      <c r="I15" s="4">
        <f t="shared" si="6"/>
        <v>-3.4364142221037217E-2</v>
      </c>
    </row>
    <row r="16" spans="1:10" ht="14.1" customHeight="1">
      <c r="B16" s="302" t="str">
        <f>IF(Indice_index!$Z$1=1,"Subsetores das Administrações Públicas","General Government subsectors")</f>
        <v>Subsetores das Administrações Públicas</v>
      </c>
      <c r="C16" s="4">
        <v>93.763605200000001</v>
      </c>
      <c r="D16" s="4">
        <v>56.843899999999998</v>
      </c>
      <c r="E16" s="4">
        <v>6.7558641699999988</v>
      </c>
      <c r="F16" s="4">
        <v>6.0766721099999996</v>
      </c>
      <c r="G16" s="4">
        <f t="shared" si="4"/>
        <v>10.69010414485987</v>
      </c>
      <c r="H16" s="4">
        <f t="shared" si="5"/>
        <v>-10.053370566803437</v>
      </c>
      <c r="I16" s="4">
        <f t="shared" si="6"/>
        <v>-3.2004823825549589E-2</v>
      </c>
    </row>
    <row r="17" spans="2:9" ht="14.1" customHeight="1">
      <c r="B17" s="302" t="str">
        <f>IF(Indice_index!$Z$1=1,"Outras entidades","Other entities")</f>
        <v>Outras entidades</v>
      </c>
      <c r="C17" s="4">
        <v>15.798483969999999</v>
      </c>
      <c r="D17" s="4">
        <v>20.479500000000002</v>
      </c>
      <c r="E17" s="4">
        <v>2.2856344099999997</v>
      </c>
      <c r="F17" s="4">
        <v>2.2355660100000003</v>
      </c>
      <c r="G17" s="4">
        <f t="shared" si="4"/>
        <v>10.916116164945434</v>
      </c>
      <c r="H17" s="4">
        <f t="shared" si="5"/>
        <v>-2.1905690508045574</v>
      </c>
      <c r="I17" s="4">
        <f t="shared" si="6"/>
        <v>-2.3593183954876149E-3</v>
      </c>
    </row>
    <row r="18" spans="2:9" ht="14.1" customHeight="1">
      <c r="B18" s="121" t="str">
        <f>IF(Indice_index!$Z$1=1,"Transferências correntes","Current transfers")</f>
        <v>Transferências correntes</v>
      </c>
      <c r="C18" s="4">
        <v>8262.132575470001</v>
      </c>
      <c r="D18" s="4">
        <f>+D19+D26</f>
        <v>8914.8989970000002</v>
      </c>
      <c r="E18" s="4">
        <f t="shared" ref="E18:F18" si="8">+E19+E26</f>
        <v>1485.2434698400002</v>
      </c>
      <c r="F18" s="4">
        <f t="shared" si="8"/>
        <v>1514.6310075199999</v>
      </c>
      <c r="G18" s="4">
        <f t="shared" si="4"/>
        <v>16.98988410333865</v>
      </c>
      <c r="H18" s="4">
        <f t="shared" si="5"/>
        <v>1.9786343637764321</v>
      </c>
      <c r="I18" s="4">
        <f t="shared" si="6"/>
        <v>1.384796762958465</v>
      </c>
    </row>
    <row r="19" spans="2:9" ht="14.1" customHeight="1">
      <c r="B19" s="165" t="str">
        <f>IF(Indice_index!$Z$1=1,"Orçamento do Estado","State Budget")</f>
        <v>Orçamento do Estado</v>
      </c>
      <c r="C19" s="4">
        <v>7597.6165709999996</v>
      </c>
      <c r="D19" s="4">
        <f>+D20+D21</f>
        <v>8222.8418970000002</v>
      </c>
      <c r="E19" s="4">
        <f t="shared" ref="E19:F19" si="9">+E20+E21</f>
        <v>1390.0703010000002</v>
      </c>
      <c r="F19" s="4">
        <f t="shared" si="9"/>
        <v>1416.416825</v>
      </c>
      <c r="G19" s="4">
        <f t="shared" si="4"/>
        <v>17.225392908463458</v>
      </c>
      <c r="H19" s="4">
        <f t="shared" si="5"/>
        <v>1.8953375222135485</v>
      </c>
      <c r="I19" s="4">
        <f t="shared" si="6"/>
        <v>1.2414984047893745</v>
      </c>
    </row>
    <row r="20" spans="2:9" ht="14.1" customHeight="1">
      <c r="B20" s="302" t="str">
        <f>IF(Indice_index!$Z$1=1,"Comparticipação do Orçamento do Estado","State Budget contributions")</f>
        <v>Comparticipação do Orçamento do Estado</v>
      </c>
      <c r="C20" s="4">
        <v>6962.3395710000004</v>
      </c>
      <c r="D20" s="4">
        <v>7512.0889299999999</v>
      </c>
      <c r="E20" s="4">
        <v>1308.0000010000001</v>
      </c>
      <c r="F20" s="4">
        <v>1329.936825</v>
      </c>
      <c r="G20" s="4">
        <f t="shared" si="4"/>
        <v>17.703954750706071</v>
      </c>
      <c r="H20" s="4">
        <f t="shared" si="5"/>
        <v>1.677127215843166</v>
      </c>
      <c r="I20" s="4">
        <f t="shared" si="6"/>
        <v>1.0337049396780127</v>
      </c>
    </row>
    <row r="21" spans="2:9" ht="14.1" customHeight="1">
      <c r="B21" s="302" t="str">
        <f>IF(Indice_index!$Z$1=1,"Compensação por pagamento de pensões","Pension payment compensations")</f>
        <v>Compensação por pagamento de pensões</v>
      </c>
      <c r="C21" s="4">
        <v>635.27699999999913</v>
      </c>
      <c r="D21" s="4">
        <f>+D22+D23+D24+D25</f>
        <v>710.75296700000001</v>
      </c>
      <c r="E21" s="4">
        <v>82.070300000000003</v>
      </c>
      <c r="F21" s="4">
        <v>86.48</v>
      </c>
      <c r="G21" s="4">
        <f t="shared" si="4"/>
        <v>12.167377980147075</v>
      </c>
      <c r="H21" s="4">
        <f t="shared" si="5"/>
        <v>5.3730764966132698</v>
      </c>
      <c r="I21" s="4">
        <f t="shared" si="6"/>
        <v>0.20779346511136512</v>
      </c>
    </row>
    <row r="22" spans="2:9" ht="14.1" customHeight="1">
      <c r="B22" s="311" t="str">
        <f>IF(Indice_index!$Z$1=1,"Deficientes das Forças Armadas / Invalidez","Armed Forces handicapped / disability")</f>
        <v>Deficientes das Forças Armadas / Invalidez</v>
      </c>
      <c r="C22" s="4">
        <v>208.90219999999999</v>
      </c>
      <c r="D22" s="4">
        <v>241.16900000000001</v>
      </c>
      <c r="E22" s="4">
        <v>29.17</v>
      </c>
      <c r="F22" s="4">
        <v>29.877400000000002</v>
      </c>
      <c r="G22" s="4">
        <f t="shared" si="4"/>
        <v>12.388573987535711</v>
      </c>
      <c r="H22" s="4">
        <f t="shared" si="5"/>
        <v>2.425094274940006</v>
      </c>
      <c r="I22" s="4">
        <f t="shared" si="6"/>
        <v>3.3334035698523619E-2</v>
      </c>
    </row>
    <row r="23" spans="2:9" ht="14.1" customHeight="1">
      <c r="B23" s="311" t="str">
        <f>IF(Indice_index!$Z$1=1,"Subvenções vitalícias","Lifetime grants")</f>
        <v>Subvenções vitalícias</v>
      </c>
      <c r="C23" s="4">
        <v>8.9050999999999991</v>
      </c>
      <c r="D23" s="4">
        <v>10.57</v>
      </c>
      <c r="E23" s="4">
        <v>1.425</v>
      </c>
      <c r="F23" s="4">
        <v>1.4531000000000001</v>
      </c>
      <c r="G23" s="4">
        <f t="shared" si="4"/>
        <v>13.747398297067171</v>
      </c>
      <c r="H23" s="4">
        <f t="shared" si="5"/>
        <v>1.9719298245614043</v>
      </c>
      <c r="I23" s="4">
        <f t="shared" si="6"/>
        <v>1.3241255345328167E-3</v>
      </c>
    </row>
    <row r="24" spans="2:9" ht="14.1" customHeight="1">
      <c r="B24" s="311" t="str">
        <f>IF(Indice_index!$Z$1=1,"Pensões de preço de sangue","Blood price pensions")</f>
        <v>Pensões de preço de sangue</v>
      </c>
      <c r="C24" s="4">
        <v>33.982999999999997</v>
      </c>
      <c r="D24" s="4">
        <v>39.121000000000002</v>
      </c>
      <c r="E24" s="4">
        <v>5.09</v>
      </c>
      <c r="F24" s="4">
        <v>5.09</v>
      </c>
      <c r="G24" s="4">
        <f t="shared" si="4"/>
        <v>13.010914853914777</v>
      </c>
      <c r="H24" s="4">
        <f t="shared" si="5"/>
        <v>0</v>
      </c>
      <c r="I24" s="4">
        <f t="shared" si="6"/>
        <v>0</v>
      </c>
    </row>
    <row r="25" spans="2:9" ht="14.1" customHeight="1">
      <c r="B25" s="311" t="str">
        <f>IF(Indice_index!$Z$1=1,"Outras","Others")</f>
        <v>Outras</v>
      </c>
      <c r="C25" s="4">
        <v>383.48669999999913</v>
      </c>
      <c r="D25" s="4">
        <v>419.892967</v>
      </c>
      <c r="E25" s="4">
        <v>46.385300000000001</v>
      </c>
      <c r="F25" s="4">
        <v>50.0595</v>
      </c>
      <c r="G25" s="4">
        <f t="shared" si="4"/>
        <v>11.921966771117649</v>
      </c>
      <c r="H25" s="4">
        <f t="shared" si="5"/>
        <v>7.9210439514242639</v>
      </c>
      <c r="I25" s="4">
        <f t="shared" si="6"/>
        <v>0.17313530387830858</v>
      </c>
    </row>
    <row r="26" spans="2:9" ht="14.1" customHeight="1">
      <c r="B26" s="302" t="str">
        <f>IF(Indice_index!$Z$1=1,"Outras transferências correntes","Other current transfers")</f>
        <v>Outras transferências correntes</v>
      </c>
      <c r="C26" s="4">
        <v>664.51600447000146</v>
      </c>
      <c r="D26" s="4">
        <v>692.05709999999999</v>
      </c>
      <c r="E26" s="4">
        <v>95.173168839999988</v>
      </c>
      <c r="F26" s="4">
        <v>98.214182519999994</v>
      </c>
      <c r="G26" s="4">
        <f t="shared" si="4"/>
        <v>14.191629927646144</v>
      </c>
      <c r="H26" s="4">
        <f t="shared" si="5"/>
        <v>3.1952426477596796</v>
      </c>
      <c r="I26" s="4">
        <f t="shared" si="6"/>
        <v>0.14329835816909656</v>
      </c>
    </row>
    <row r="27" spans="2:9" ht="14.1" customHeight="1">
      <c r="B27" s="165" t="str">
        <f>IF(Indice_index!$Z$1=1,"Outras receitas correntes","Other current revenue")</f>
        <v>Outras receitas correntes</v>
      </c>
      <c r="C27" s="4">
        <v>96.851830480000004</v>
      </c>
      <c r="D27" s="4">
        <v>338.6155</v>
      </c>
      <c r="E27" s="4">
        <v>36.742406690000003</v>
      </c>
      <c r="F27" s="4">
        <v>38.63775901999999</v>
      </c>
      <c r="G27" s="4">
        <f t="shared" si="4"/>
        <v>11.410511042760886</v>
      </c>
      <c r="H27" s="4">
        <f t="shared" si="5"/>
        <v>5.158487156247813</v>
      </c>
      <c r="I27" s="4">
        <f t="shared" si="6"/>
        <v>8.9312612707802538E-2</v>
      </c>
    </row>
    <row r="28" spans="2:9" ht="14.1" customHeight="1">
      <c r="B28" s="167" t="str">
        <f>IF(Indice_index!$Z$1=1,"Receita de capital","Capital revenue")</f>
        <v>Receita de capital</v>
      </c>
      <c r="C28" s="128">
        <v>25.1</v>
      </c>
      <c r="D28" s="312">
        <v>0</v>
      </c>
      <c r="E28" s="128"/>
      <c r="F28" s="128"/>
      <c r="G28" s="128" t="str">
        <f t="shared" si="4"/>
        <v>-</v>
      </c>
      <c r="H28" s="128" t="str">
        <f t="shared" si="5"/>
        <v>-</v>
      </c>
      <c r="I28" s="128">
        <f t="shared" si="6"/>
        <v>0</v>
      </c>
    </row>
    <row r="29" spans="2:9" ht="14.1" customHeight="1">
      <c r="B29" s="121" t="str">
        <f>IF(Indice_index!$Z$1=1,"Transferências de capital","Capital transfers")</f>
        <v>Transferências de capital</v>
      </c>
      <c r="C29" s="4">
        <v>25.1</v>
      </c>
      <c r="D29" s="258">
        <v>0</v>
      </c>
      <c r="E29" s="4"/>
      <c r="F29" s="4"/>
      <c r="G29" s="4" t="str">
        <f t="shared" si="4"/>
        <v>-</v>
      </c>
      <c r="H29" s="4" t="str">
        <f t="shared" si="5"/>
        <v>-</v>
      </c>
      <c r="I29" s="4">
        <f t="shared" si="6"/>
        <v>0</v>
      </c>
    </row>
    <row r="30" spans="2:9" ht="14.1" customHeight="1">
      <c r="B30" s="29" t="str">
        <f>IF(Indice_index!$Z$1=1,"Receita efetiva","Effective revenue")</f>
        <v>Receita efetiva</v>
      </c>
      <c r="C30" s="18">
        <f>+C12+C28</f>
        <v>12910.380712190003</v>
      </c>
      <c r="D30" s="18">
        <f>+D12+D28</f>
        <v>13578.950397000001</v>
      </c>
      <c r="E30" s="18">
        <f>+E12+E28</f>
        <v>2122.1552841600001</v>
      </c>
      <c r="F30" s="18">
        <f>+F12+F28</f>
        <v>2181.7733345299998</v>
      </c>
      <c r="G30" s="18">
        <f t="shared" si="4"/>
        <v>16.067319422655963</v>
      </c>
      <c r="H30" s="18">
        <f t="shared" si="5"/>
        <v>2.8093161143765224</v>
      </c>
      <c r="I30" s="18"/>
    </row>
    <row r="31" spans="2:9" ht="14.1" customHeight="1">
      <c r="B31" s="167" t="str">
        <f>IF(Indice_index!$Z$1=1,"Despesa corrente","Current expenditure")</f>
        <v>Despesa corrente</v>
      </c>
      <c r="C31" s="128">
        <v>13029.88205742</v>
      </c>
      <c r="D31" s="128">
        <f>+D32+D36+D37+D38+D44</f>
        <v>13724.543685999999</v>
      </c>
      <c r="E31" s="128">
        <f t="shared" ref="E31:F31" si="10">+E32+E36+E37+E38+E44</f>
        <v>1873.38406811</v>
      </c>
      <c r="F31" s="128">
        <f t="shared" si="10"/>
        <v>1964.5486365500001</v>
      </c>
      <c r="G31" s="128">
        <f t="shared" si="4"/>
        <v>14.314127168788701</v>
      </c>
      <c r="H31" s="128">
        <f t="shared" si="5"/>
        <v>4.8663042454488892</v>
      </c>
      <c r="I31" s="128">
        <f>IFERROR((F31-E31)/$E$46*100,"-")</f>
        <v>4.8663042454488892</v>
      </c>
    </row>
    <row r="32" spans="2:9" ht="14.1" customHeight="1">
      <c r="B32" s="121" t="str">
        <f>IF(Indice_index!$Z$1=1,"Despesas com pessoal","Employees")</f>
        <v>Despesas com pessoal</v>
      </c>
      <c r="C32" s="4">
        <v>7.6033161999999992</v>
      </c>
      <c r="D32" s="4">
        <f>+D33+D34+D35</f>
        <v>8.2053000000000011</v>
      </c>
      <c r="E32" s="4">
        <f t="shared" ref="E32:F32" si="11">+E33+E34+E35</f>
        <v>1.6486572700000002</v>
      </c>
      <c r="F32" s="4">
        <f t="shared" si="11"/>
        <v>1.6021531100000002</v>
      </c>
      <c r="G32" s="4">
        <f t="shared" si="4"/>
        <v>19.525832206013185</v>
      </c>
      <c r="H32" s="4">
        <f t="shared" si="5"/>
        <v>-2.8207293805825397</v>
      </c>
      <c r="I32" s="4">
        <f t="shared" ref="I32:I45" si="12">IFERROR((F32-E32)/$E$46*100,"-")</f>
        <v>-2.4823612409022268E-3</v>
      </c>
    </row>
    <row r="33" spans="2:9" ht="14.1" customHeight="1">
      <c r="B33" s="165" t="str">
        <f>IF(Indice_index!$Z$1=1,"Remunerações certas e permanentes","Certain and permanent wages")</f>
        <v>Remunerações certas e permanentes</v>
      </c>
      <c r="C33" s="4">
        <v>5.4012999999999999E-2</v>
      </c>
      <c r="D33" s="4">
        <v>8.7499999999999994E-2</v>
      </c>
      <c r="E33" s="4">
        <v>1.420244E-2</v>
      </c>
      <c r="F33" s="4">
        <v>2.5191199999999997E-3</v>
      </c>
      <c r="G33" s="4">
        <f t="shared" si="4"/>
        <v>2.8789942857142856</v>
      </c>
      <c r="H33" s="4">
        <f t="shared" si="5"/>
        <v>-82.262766116244819</v>
      </c>
      <c r="I33" s="4">
        <f t="shared" si="12"/>
        <v>-6.2364787866414097E-4</v>
      </c>
    </row>
    <row r="34" spans="2:9" ht="17.25" hidden="1" customHeight="1">
      <c r="B34" s="165" t="str">
        <f>IF(Indice_index!$Z$1=1,"Abonos variáveis ou eventuais","Variable or contingent bonuses")</f>
        <v>Abonos variáveis ou eventuais</v>
      </c>
      <c r="C34" s="258"/>
      <c r="D34" s="4">
        <v>0</v>
      </c>
      <c r="E34" s="299"/>
      <c r="F34" s="299"/>
      <c r="G34" s="4" t="str">
        <f t="shared" si="4"/>
        <v>-</v>
      </c>
      <c r="H34" s="4" t="str">
        <f t="shared" si="5"/>
        <v>-</v>
      </c>
      <c r="I34" s="4">
        <f t="shared" si="12"/>
        <v>0</v>
      </c>
    </row>
    <row r="35" spans="2:9" ht="14.1" customHeight="1">
      <c r="B35" s="165" t="str">
        <f>IF(Indice_index!$Z$1=1,"Segurança Social","Social security")</f>
        <v>Segurança Social</v>
      </c>
      <c r="C35" s="4">
        <v>7.5493031999999989</v>
      </c>
      <c r="D35" s="4">
        <v>8.1178000000000008</v>
      </c>
      <c r="E35" s="4">
        <v>1.6344548300000001</v>
      </c>
      <c r="F35" s="4">
        <v>1.5996339900000001</v>
      </c>
      <c r="G35" s="4">
        <f t="shared" si="4"/>
        <v>19.705264850082532</v>
      </c>
      <c r="H35" s="4">
        <f t="shared" si="5"/>
        <v>-2.1304253480042683</v>
      </c>
      <c r="I35" s="4">
        <f t="shared" si="12"/>
        <v>-1.858713362238089E-3</v>
      </c>
    </row>
    <row r="36" spans="2:9" ht="14.1" customHeight="1">
      <c r="B36" s="121" t="str">
        <f>IF(Indice_index!$Z$1=1,"Aquisição de bens e serviços","Purchase of goods and services")</f>
        <v>Aquisição de bens e serviços</v>
      </c>
      <c r="C36" s="4">
        <v>32.694564459999995</v>
      </c>
      <c r="D36" s="4">
        <v>45.943100000000001</v>
      </c>
      <c r="E36" s="4">
        <v>12.647315019999999</v>
      </c>
      <c r="F36" s="4">
        <v>12.66450893</v>
      </c>
      <c r="G36" s="4">
        <f t="shared" si="4"/>
        <v>27.565638648676298</v>
      </c>
      <c r="H36" s="4">
        <f t="shared" si="5"/>
        <v>0.13594909253712389</v>
      </c>
      <c r="I36" s="4">
        <f t="shared" si="12"/>
        <v>9.1779952080769944E-4</v>
      </c>
    </row>
    <row r="37" spans="2:9" ht="14.1" customHeight="1">
      <c r="B37" s="121" t="str">
        <f>IF(Indice_index!$Z$1=1,"Juros e outros encargos","Interests and other charges")</f>
        <v>Juros e outros encargos</v>
      </c>
      <c r="C37" s="4">
        <v>0.56468227999999998</v>
      </c>
      <c r="D37" s="4">
        <v>2.2999999999999998</v>
      </c>
      <c r="E37" s="4">
        <v>0.24428761999999998</v>
      </c>
      <c r="F37" s="4">
        <v>1.224511E-2</v>
      </c>
      <c r="G37" s="4">
        <f t="shared" si="4"/>
        <v>0.53239608695652174</v>
      </c>
      <c r="H37" s="4">
        <f t="shared" si="5"/>
        <v>-94.987420975324085</v>
      </c>
      <c r="I37" s="4">
        <f t="shared" si="12"/>
        <v>-1.2386275401290274E-2</v>
      </c>
    </row>
    <row r="38" spans="2:9" ht="14.1" customHeight="1">
      <c r="B38" s="121" t="str">
        <f>IF(Indice_index!$Z$1=1,"Transferências","Transfers")</f>
        <v>Transferências</v>
      </c>
      <c r="C38" s="4">
        <v>12985.274297560001</v>
      </c>
      <c r="D38" s="4">
        <f>+D40+D41+D42+D43</f>
        <v>13660.995285999999</v>
      </c>
      <c r="E38" s="4">
        <f t="shared" ref="E38:F38" si="13">+E40+E41+E42+E43</f>
        <v>1858.0485756600001</v>
      </c>
      <c r="F38" s="4">
        <f t="shared" si="13"/>
        <v>1949.9356735700003</v>
      </c>
      <c r="G38" s="4">
        <f t="shared" si="4"/>
        <v>14.273745307330021</v>
      </c>
      <c r="H38" s="4">
        <f t="shared" si="5"/>
        <v>4.9453549876843699</v>
      </c>
      <c r="I38" s="4">
        <f t="shared" si="12"/>
        <v>4.9048723897124997</v>
      </c>
    </row>
    <row r="39" spans="2:9" ht="14.1" customHeight="1">
      <c r="B39" s="165" t="str">
        <f>IF(Indice_index!$Z$1=1,"Pensões e abonos da responsabilidade de:","Liability for pensions and allowances from:")</f>
        <v>Pensões e abonos da responsabilidade de:</v>
      </c>
      <c r="C39" s="4"/>
      <c r="D39" s="4"/>
      <c r="E39" s="4"/>
      <c r="F39" s="4"/>
      <c r="G39" s="4" t="str">
        <f t="shared" si="4"/>
        <v>-</v>
      </c>
      <c r="H39" s="4" t="str">
        <f t="shared" si="5"/>
        <v>-</v>
      </c>
      <c r="I39" s="4">
        <f t="shared" si="12"/>
        <v>0</v>
      </c>
    </row>
    <row r="40" spans="2:9" ht="14.1" customHeight="1">
      <c r="B40" s="302" t="str">
        <f>IF(Indice_index!$Z$1=1,"Caixa Geral de Aposentações","Public Servants Social Scheme")</f>
        <v>Caixa Geral de Aposentações</v>
      </c>
      <c r="C40" s="4">
        <v>11387.646982570001</v>
      </c>
      <c r="D40" s="4">
        <v>11926.479568000001</v>
      </c>
      <c r="E40" s="4">
        <v>1638.3481443200001</v>
      </c>
      <c r="F40" s="4">
        <v>1701.2781292300001</v>
      </c>
      <c r="G40" s="4">
        <f t="shared" si="4"/>
        <v>14.26471340121781</v>
      </c>
      <c r="H40" s="4">
        <f t="shared" si="5"/>
        <v>3.8410630321871704</v>
      </c>
      <c r="I40" s="4">
        <f t="shared" si="12"/>
        <v>3.3591608886419202</v>
      </c>
    </row>
    <row r="41" spans="2:9" ht="14.1" customHeight="1">
      <c r="B41" s="302" t="str">
        <f>IF(Indice_index!$Z$1=1,"Orçamento do Estado","State Budget")</f>
        <v>Orçamento do Estado</v>
      </c>
      <c r="C41" s="4">
        <v>620.76269013000001</v>
      </c>
      <c r="D41" s="4">
        <v>693.49549999999999</v>
      </c>
      <c r="E41" s="4">
        <v>80.167696939999999</v>
      </c>
      <c r="F41" s="4">
        <v>84.536284039999998</v>
      </c>
      <c r="G41" s="4">
        <f t="shared" si="4"/>
        <v>12.189882131895592</v>
      </c>
      <c r="H41" s="4">
        <f t="shared" si="5"/>
        <v>5.4493109653250809</v>
      </c>
      <c r="I41" s="4">
        <f t="shared" si="12"/>
        <v>0.23319228418587618</v>
      </c>
    </row>
    <row r="42" spans="2:9" ht="14.1" customHeight="1">
      <c r="B42" s="302" t="str">
        <f>IF(Indice_index!$Z$1=1,"Outras entidades","Other entities")</f>
        <v>Outras entidades</v>
      </c>
      <c r="C42" s="4">
        <v>717.14825818000008</v>
      </c>
      <c r="D42" s="4">
        <v>760.33050000000003</v>
      </c>
      <c r="E42" s="4">
        <v>103.01297303999999</v>
      </c>
      <c r="F42" s="4">
        <v>125.56799700000001</v>
      </c>
      <c r="G42" s="4">
        <f t="shared" si="4"/>
        <v>16.514923049910532</v>
      </c>
      <c r="H42" s="4">
        <f t="shared" si="5"/>
        <v>21.89532375814635</v>
      </c>
      <c r="I42" s="4">
        <f t="shared" si="12"/>
        <v>1.2039722309987981</v>
      </c>
    </row>
    <row r="43" spans="2:9" ht="14.1" customHeight="1">
      <c r="B43" s="165" t="str">
        <f>IF(Indice_index!$Z$1=1,"Outras transferências correntes","Other current transfers")</f>
        <v>Outras transferências correntes</v>
      </c>
      <c r="C43" s="4">
        <v>259.71636668000002</v>
      </c>
      <c r="D43" s="4">
        <v>280.68971800000003</v>
      </c>
      <c r="E43" s="4">
        <v>36.519761360000132</v>
      </c>
      <c r="F43" s="4">
        <v>38.553263299999955</v>
      </c>
      <c r="G43" s="4">
        <f t="shared" si="4"/>
        <v>13.735189010379051</v>
      </c>
      <c r="H43" s="4">
        <f t="shared" si="5"/>
        <v>5.5682235159047488</v>
      </c>
      <c r="I43" s="4">
        <f t="shared" si="12"/>
        <v>0.10854698588588731</v>
      </c>
    </row>
    <row r="44" spans="2:9" ht="14.1" customHeight="1">
      <c r="B44" s="121" t="str">
        <f>IF(Indice_index!$Z$1=1,"Outras despesas correntes","Other current expenditure")</f>
        <v>Outras despesas correntes</v>
      </c>
      <c r="C44" s="4">
        <v>3.7451969199999997</v>
      </c>
      <c r="D44" s="4">
        <v>7.1</v>
      </c>
      <c r="E44" s="4">
        <v>0.79523253999999988</v>
      </c>
      <c r="F44" s="4">
        <v>0.33405583</v>
      </c>
      <c r="G44" s="4">
        <f t="shared" si="4"/>
        <v>4.7050116901408447</v>
      </c>
      <c r="H44" s="4">
        <f t="shared" si="5"/>
        <v>-57.992686013577853</v>
      </c>
      <c r="I44" s="4">
        <f t="shared" si="12"/>
        <v>-2.4617307142217076E-2</v>
      </c>
    </row>
    <row r="45" spans="2:9" ht="14.1" customHeight="1">
      <c r="B45" s="167" t="str">
        <f>IF(Indice_index!$Z$1=1,"Despesa de capital","Capital expenditure")</f>
        <v>Despesa de capital</v>
      </c>
      <c r="C45" s="128"/>
      <c r="D45" s="128">
        <v>0</v>
      </c>
      <c r="E45" s="128"/>
      <c r="F45" s="128"/>
      <c r="G45" s="128" t="str">
        <f t="shared" si="4"/>
        <v>-</v>
      </c>
      <c r="H45" s="128" t="str">
        <f t="shared" si="5"/>
        <v>-</v>
      </c>
      <c r="I45" s="128">
        <f t="shared" si="12"/>
        <v>0</v>
      </c>
    </row>
    <row r="46" spans="2:9" ht="14.1" customHeight="1">
      <c r="B46" s="29" t="str">
        <f>IF(Indice_index!$Z$1=1,"Despesa efetiva","Effective expenditure")</f>
        <v>Despesa efetiva</v>
      </c>
      <c r="C46" s="18">
        <v>13029.88205742</v>
      </c>
      <c r="D46" s="18">
        <f>+D31+D45</f>
        <v>13724.543685999999</v>
      </c>
      <c r="E46" s="18">
        <f t="shared" ref="E46:F46" si="14">+E31+E45</f>
        <v>1873.38406811</v>
      </c>
      <c r="F46" s="18">
        <f t="shared" si="14"/>
        <v>1964.5486365500001</v>
      </c>
      <c r="G46" s="18">
        <f t="shared" si="4"/>
        <v>14.314127168788701</v>
      </c>
      <c r="H46" s="18">
        <f t="shared" si="5"/>
        <v>4.8663042454488892</v>
      </c>
      <c r="I46" s="18"/>
    </row>
    <row r="47" spans="2:9" ht="14.1" customHeight="1">
      <c r="B47" s="29" t="str">
        <f>IF(Indice_index!$Z$1=1,"Saldo global","Overall balance")</f>
        <v>Saldo global</v>
      </c>
      <c r="C47" s="18">
        <v>-119.50134522999906</v>
      </c>
      <c r="D47" s="18">
        <f>+D30-D46</f>
        <v>-145.59328899999855</v>
      </c>
      <c r="E47" s="18">
        <f t="shared" ref="E47:F47" si="15">+E30-E46</f>
        <v>248.77121605000002</v>
      </c>
      <c r="F47" s="18">
        <f t="shared" si="15"/>
        <v>217.22469797999975</v>
      </c>
      <c r="G47" s="18"/>
      <c r="H47" s="18"/>
      <c r="I47" s="18"/>
    </row>
    <row r="48" spans="2:9" ht="14.1" customHeight="1">
      <c r="B48" s="121" t="str">
        <f>IF(Indice_index!$Z$1=1,"Ativos financeiros líquidos de reembolsos","Financial assets net of reimbursements")</f>
        <v>Ativos financeiros líquidos de reembolsos</v>
      </c>
      <c r="C48" s="258">
        <v>-141.98064925</v>
      </c>
      <c r="D48" s="4">
        <v>-145.593289</v>
      </c>
      <c r="E48" s="258">
        <v>-371.25003493999998</v>
      </c>
      <c r="F48" s="258">
        <v>-596.14215044000002</v>
      </c>
      <c r="G48" s="4"/>
      <c r="H48" s="4"/>
      <c r="I48" s="4"/>
    </row>
    <row r="49" spans="2:9" ht="13.5" customHeight="1">
      <c r="B49" s="121" t="str">
        <f>IF(Indice_index!$Z$1=1,"Passivos financeiros líquidos de amortizações","Financial liabilities net of amortizations")</f>
        <v>Passivos financeiros líquidos de amortizações</v>
      </c>
      <c r="C49" s="4">
        <v>0</v>
      </c>
      <c r="D49" s="4">
        <v>0</v>
      </c>
      <c r="E49" s="4"/>
      <c r="F49" s="4"/>
      <c r="G49" s="4"/>
      <c r="H49" s="4"/>
      <c r="I49" s="4"/>
    </row>
    <row r="50" spans="2:9" ht="14.1" customHeight="1">
      <c r="B50" s="166" t="str">
        <f>IF(Indice_index!$Z$1=1,"Poupança (+) / Utilização (-) de saldo da gerência anterior","Saving (+) / Usage (-) of balance from previous management")</f>
        <v>Poupança (+) / Utilização (-) de saldo da gerência anterior</v>
      </c>
      <c r="C50" s="19">
        <v>22.479304020000939</v>
      </c>
      <c r="D50" s="19">
        <f>D47-D48+D49</f>
        <v>1.4495071809506044E-12</v>
      </c>
      <c r="E50" s="19">
        <f>E47-E48+E49</f>
        <v>620.02125099</v>
      </c>
      <c r="F50" s="19">
        <f t="shared" ref="F50" si="16">F47-F48+F49</f>
        <v>813.36684841999977</v>
      </c>
      <c r="G50" s="19"/>
      <c r="H50" s="19"/>
      <c r="I50" s="19"/>
    </row>
    <row r="51" spans="2:9">
      <c r="B51" s="9" t="str">
        <f>IF(Indice_index!$Z$1=1,"Notas:","Notes:")</f>
        <v>Notas:</v>
      </c>
      <c r="C51" s="9"/>
      <c r="D51" s="9"/>
      <c r="E51" s="9"/>
      <c r="F51" s="9"/>
      <c r="G51" s="9"/>
      <c r="H51" s="9"/>
      <c r="I51" s="9"/>
    </row>
    <row r="52" spans="2:9">
      <c r="B52" s="376" t="str">
        <f>+'3 - Conta AC + SS'!$B$61</f>
        <v>Os dados de 2025 são mensalmente revistos e atualizados face ao publicado nas Sínteses de Execução Orçamental de 2025.</v>
      </c>
      <c r="C52" s="376"/>
      <c r="D52" s="376"/>
      <c r="E52" s="376"/>
      <c r="F52" s="376"/>
      <c r="G52" s="376"/>
      <c r="H52" s="376"/>
      <c r="I52" s="376"/>
    </row>
    <row r="53" spans="2:9">
      <c r="B53" s="141" t="str">
        <f>IF(Indice_index!$Z$1=1,"Fonte: Entidade Orçamental.","Source: Budgetary Entity.")</f>
        <v>Fonte: Entidade Orçamental.</v>
      </c>
      <c r="C53" s="141"/>
      <c r="D53" s="141"/>
      <c r="F53" s="154"/>
    </row>
    <row r="54" spans="2:9"/>
  </sheetData>
  <mergeCells count="4">
    <mergeCell ref="B10:B11"/>
    <mergeCell ref="E10:F10"/>
    <mergeCell ref="H10:I10"/>
    <mergeCell ref="B52:I52"/>
  </mergeCells>
  <conditionalFormatting sqref="C12:I29 C31:I45 C48:I50">
    <cfRule type="cellIs" dxfId="43"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10"/>
  <sheetViews>
    <sheetView showGridLines="0" zoomScaleNormal="100" workbookViewId="0"/>
  </sheetViews>
  <sheetFormatPr defaultColWidth="0" defaultRowHeight="14.85" customHeight="1" zeroHeight="1"/>
  <cols>
    <col min="1" max="1" width="8.5703125" style="67" customWidth="1"/>
    <col min="2" max="2" width="63" style="70" customWidth="1"/>
    <col min="3" max="4" width="10.42578125" style="70" customWidth="1"/>
    <col min="5" max="6" width="10.42578125" style="71" customWidth="1"/>
    <col min="7" max="8" width="10.42578125" style="70" customWidth="1"/>
    <col min="9" max="9" width="8.5703125" style="70" customWidth="1"/>
    <col min="10" max="15" width="0" hidden="1" customWidth="1"/>
    <col min="16" max="16384" width="9.42578125" hidden="1"/>
  </cols>
  <sheetData>
    <row r="1" spans="1:9" ht="14.85" customHeight="1"/>
    <row r="2" spans="1:9" ht="15"/>
    <row r="3" spans="1:9" ht="15"/>
    <row r="4" spans="1:9" ht="15"/>
    <row r="5" spans="1:9" ht="18" customHeight="1">
      <c r="A5"/>
      <c r="B5" s="254" t="str">
        <f>IF(Indice_index!$Z$1=1,"ANEXOS ESTATÍSTICOS","STATISTICAL ANNEXES")</f>
        <v>ANEXOS ESTATÍSTICOS</v>
      </c>
      <c r="C5"/>
      <c r="D5"/>
      <c r="E5"/>
      <c r="F5"/>
      <c r="G5"/>
      <c r="H5"/>
      <c r="I5"/>
    </row>
    <row r="6" spans="1:9" ht="18" customHeight="1">
      <c r="A6"/>
      <c r="B6" s="255" t="str">
        <f>IF(Indice_index!$Z$1=1,"Fevereiro de 2026","February 2026")</f>
        <v>Fevereiro de 2026</v>
      </c>
      <c r="C6"/>
      <c r="D6"/>
      <c r="E6"/>
      <c r="F6"/>
      <c r="G6"/>
      <c r="H6"/>
      <c r="I6"/>
    </row>
    <row r="7" spans="1:9" ht="50.1" customHeight="1">
      <c r="B7" s="12"/>
      <c r="C7" s="13"/>
      <c r="D7" s="11"/>
      <c r="E7" s="11"/>
      <c r="F7" s="11"/>
      <c r="G7" s="72"/>
      <c r="H7" s="11"/>
    </row>
    <row r="8" spans="1:9" ht="15.75">
      <c r="B8" s="1" t="str">
        <f>IF(Indice_index!$Z$1=1,"Quadro 10 - Execução Orçamental da Segurança Social","10 - Social Security Budget Execution")</f>
        <v>Quadro 10 - Execução Orçamental da Segurança Social</v>
      </c>
      <c r="C8" s="2"/>
      <c r="D8" s="2"/>
      <c r="E8" s="2"/>
      <c r="F8" s="2"/>
      <c r="G8" s="2"/>
      <c r="H8" s="2"/>
    </row>
    <row r="9" spans="1:9" ht="15">
      <c r="B9" s="3" t="str">
        <f>+'3 - Conta AC + SS'!B9</f>
        <v>Período: janeiro a fevereiro</v>
      </c>
      <c r="C9" s="3"/>
      <c r="D9" s="3"/>
      <c r="E9" s="3"/>
      <c r="F9" s="3"/>
      <c r="G9" s="3"/>
      <c r="H9" s="3" t="str">
        <f>IF(Indice_index!$Z$1=1,"€ Milhões","€ Millions")</f>
        <v>€ Milhões</v>
      </c>
    </row>
    <row r="10" spans="1:9"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375" t="str">
        <f>IF(Indice_index!$Z$1=1,"Variação Homóloga Acumulada","YOY Change Rate")</f>
        <v>Variação Homóloga Acumulada</v>
      </c>
      <c r="H10" s="371"/>
    </row>
    <row r="11" spans="1:9" ht="26.85" customHeight="1">
      <c r="B11" s="373"/>
      <c r="C11" s="22">
        <v>2025</v>
      </c>
      <c r="D11" s="22">
        <v>2026</v>
      </c>
      <c r="E11" s="22">
        <v>2025</v>
      </c>
      <c r="F11" s="22">
        <v>2026</v>
      </c>
      <c r="G11" s="22" t="str">
        <f>IF(Indice_index!$Z$1=1,"Relativa (%)","Relative change (%)")</f>
        <v>Relativa (%)</v>
      </c>
      <c r="H11" s="22" t="str">
        <f>IF(Indice_index!$Z$1=1,"Contributo VHA (pp)","YOY Change Rate Contrib. (pp)")</f>
        <v>Contributo VHA (pp)</v>
      </c>
    </row>
    <row r="12" spans="1:9" ht="14.1" customHeight="1">
      <c r="B12" s="167" t="str">
        <f>IF(Indice_index!$Z$1=1,"Receita corrente","Current revenue")</f>
        <v>Receita corrente</v>
      </c>
      <c r="C12" s="128">
        <f>+SUM(C13:C15)+SUM(C26:C29)</f>
        <v>46118.065655660001</v>
      </c>
      <c r="D12" s="128">
        <f>+SUM(D13:D15)+SUM(D26:D29)</f>
        <v>49354.216638999998</v>
      </c>
      <c r="E12" s="128">
        <f>+SUM(E13:E15)+SUM(E26:E29)</f>
        <v>7135.4803122300009</v>
      </c>
      <c r="F12" s="128">
        <f>+SUM(F13:F15)+SUM(F26:F29)</f>
        <v>7600.911620169999</v>
      </c>
      <c r="G12" s="128">
        <f>IF(IFERROR((F12-E12)/E12*100,"")&gt;500,"-",IFERROR((F12-E12)/E12*100,""))</f>
        <v>6.52277474779466</v>
      </c>
      <c r="H12" s="128">
        <f>IFERROR((F12-E12)/$E$34*100,"-")</f>
        <v>6.5227698507628924</v>
      </c>
    </row>
    <row r="13" spans="1:9" ht="14.1" customHeight="1">
      <c r="B13" s="121" t="str">
        <f>IF(Indice_index!$Z$1=1,"Impostos indiretos","Indirect taxes")</f>
        <v>Impostos indiretos</v>
      </c>
      <c r="C13" s="4">
        <v>236.15871943000002</v>
      </c>
      <c r="D13" s="4">
        <v>254.73170300000001</v>
      </c>
      <c r="E13" s="4">
        <v>36.27173329</v>
      </c>
      <c r="F13" s="4">
        <v>48.012818450000005</v>
      </c>
      <c r="G13" s="4">
        <f>IF(IFERROR((F13-E13)/E13*100,"")&gt;500,"-",IFERROR((F13-E13)/E13*100,""))</f>
        <v>32.369793486645932</v>
      </c>
      <c r="H13" s="4">
        <f>IFERROR((F13-E13)/$E$34*100,"-")</f>
        <v>0.16454500372106606</v>
      </c>
    </row>
    <row r="14" spans="1:9" ht="14.1" customHeight="1">
      <c r="B14" s="121" t="str">
        <f>IF(Indice_index!$Z$1=1,"Contribuições e quotizações","Contributions and membership fees")</f>
        <v>Contribuições e quotizações</v>
      </c>
      <c r="C14" s="4">
        <v>30145.729156929996</v>
      </c>
      <c r="D14" s="4">
        <v>32091.173593</v>
      </c>
      <c r="E14" s="4">
        <v>4719.8169242399999</v>
      </c>
      <c r="F14" s="4">
        <v>5110.5480923300001</v>
      </c>
      <c r="G14" s="4">
        <f>IF(IFERROR((F14-E14)/E14*100,"")&gt;500,"-",IFERROR((F14-E14)/E14*100,""))</f>
        <v>8.2785238148387918</v>
      </c>
      <c r="H14" s="4">
        <f>IFERROR((F14-E14)/$E$34*100,"-")</f>
        <v>5.4758875036816059</v>
      </c>
    </row>
    <row r="15" spans="1:9" ht="14.1" customHeight="1">
      <c r="B15" s="121" t="str">
        <f>IF(Indice_index!$Z$1=1,"Transferências correntes da Administração Central","Central Government current transfers")</f>
        <v>Transferências correntes da Administração Central</v>
      </c>
      <c r="C15" s="4">
        <v>12772.451008490003</v>
      </c>
      <c r="D15" s="4">
        <v>13574.450061</v>
      </c>
      <c r="E15" s="4">
        <v>1938.2861554300005</v>
      </c>
      <c r="F15" s="4">
        <v>2093.4386812899993</v>
      </c>
      <c r="G15" s="4">
        <f t="shared" ref="G15:G61" si="0">IF(IFERROR((F15-E15)/E15*100,"")&gt;500,"-",IFERROR((F15-E15)/E15*100,""))</f>
        <v>8.0046243649498141</v>
      </c>
      <c r="H15" s="4">
        <f>IFERROR((F15-E15)/$E$34*100,"-")</f>
        <v>2.1743793352203484</v>
      </c>
    </row>
    <row r="16" spans="1:9" ht="14.1" customHeight="1">
      <c r="B16" s="271" t="str">
        <f>IF(Indice_index!$Z$1=1,"dos quais:","of which:")</f>
        <v>dos quais:</v>
      </c>
      <c r="C16" s="4"/>
      <c r="D16" s="4"/>
      <c r="E16" s="4"/>
      <c r="F16" s="4"/>
      <c r="G16" s="4"/>
      <c r="H16" s="4"/>
    </row>
    <row r="17" spans="2:8" ht="14.1" customHeight="1">
      <c r="B17" s="302" t="str">
        <f>IF(Indice_index!$Z$1=1,"Transferências do Orçamento do Estado","State Budget transfers")</f>
        <v>Transferências do Orçamento do Estado</v>
      </c>
      <c r="C17" s="4">
        <v>11628.44033494</v>
      </c>
      <c r="D17" s="4">
        <v>12783.283226</v>
      </c>
      <c r="E17" s="4">
        <v>1896.3707406499998</v>
      </c>
      <c r="F17" s="4">
        <v>2026.0920866199999</v>
      </c>
      <c r="G17" s="4">
        <f t="shared" si="0"/>
        <v>6.8405055609293388</v>
      </c>
      <c r="H17" s="4">
        <f t="shared" ref="H17:H31" si="1">IFERROR((F17-E17)/$E$34*100,"-")</f>
        <v>1.8179750052452019</v>
      </c>
    </row>
    <row r="18" spans="2:8" ht="14.1" customHeight="1">
      <c r="B18" s="311" t="str">
        <f>IF(Indice_index!$Z$1=1,"Financiamento da Lei de Bases da Segurança Social","Social Security Framework Law financing")</f>
        <v>Financiamento da Lei de Bases da Segurança Social</v>
      </c>
      <c r="C18" s="4">
        <v>9573.4008432899991</v>
      </c>
      <c r="D18" s="4">
        <v>10576.274036999999</v>
      </c>
      <c r="E18" s="4">
        <v>1557.84379999</v>
      </c>
      <c r="F18" s="4">
        <v>1762.7540061599998</v>
      </c>
      <c r="G18" s="4">
        <f t="shared" si="0"/>
        <v>13.153450055218318</v>
      </c>
      <c r="H18" s="4">
        <f t="shared" si="1"/>
        <v>2.8717065055958613</v>
      </c>
    </row>
    <row r="19" spans="2:8" ht="14.1" hidden="1" customHeight="1">
      <c r="B19" s="311" t="str">
        <f>IF(Indice_index!$Z$1=1,"Medidas excecionais e temporárias (COVID-19)","Exceptional and temporary measures (COVID-19)")</f>
        <v>Medidas excecionais e temporárias (COVID-19)</v>
      </c>
      <c r="C19" s="4">
        <v>0</v>
      </c>
      <c r="D19" s="4">
        <v>0</v>
      </c>
      <c r="E19" s="4">
        <v>0</v>
      </c>
      <c r="F19" s="4">
        <v>0</v>
      </c>
      <c r="G19" s="4" t="str">
        <f t="shared" si="0"/>
        <v>-</v>
      </c>
      <c r="H19" s="4">
        <f t="shared" si="1"/>
        <v>0</v>
      </c>
    </row>
    <row r="20" spans="2:8" ht="14.1" customHeight="1">
      <c r="B20" s="311" t="str">
        <f>IF(Indice_index!$Z$1=1,"Restantes transferências","Other transfers")</f>
        <v>Restantes transferências</v>
      </c>
      <c r="C20" s="4">
        <v>10.247130449999998</v>
      </c>
      <c r="D20" s="4">
        <v>0.25</v>
      </c>
      <c r="E20" s="4">
        <v>0</v>
      </c>
      <c r="F20" s="4">
        <v>0</v>
      </c>
      <c r="G20" s="4" t="str">
        <f t="shared" si="0"/>
        <v>-</v>
      </c>
      <c r="H20" s="4">
        <f t="shared" si="1"/>
        <v>0</v>
      </c>
    </row>
    <row r="21" spans="2:8" ht="14.1" customHeight="1">
      <c r="B21" s="311" t="str">
        <f>IF(Indice_index!$Z$1=1,"IVA Social","Social tax")</f>
        <v>IVA Social</v>
      </c>
      <c r="C21" s="4">
        <v>1142.5590019999997</v>
      </c>
      <c r="D21" s="4">
        <v>1192.831598</v>
      </c>
      <c r="E21" s="4">
        <v>190.42650033999999</v>
      </c>
      <c r="F21" s="4">
        <v>198.80526634</v>
      </c>
      <c r="G21" s="4">
        <f t="shared" si="0"/>
        <v>4.3999999921439574</v>
      </c>
      <c r="H21" s="4">
        <f t="shared" si="1"/>
        <v>0.11742390621140367</v>
      </c>
    </row>
    <row r="22" spans="2:8" ht="14.1" customHeight="1">
      <c r="B22" s="311" t="str">
        <f>IF(Indice_index!$Z$1=1,"Adicional ao IMI","Additional to the real estate municipal tax")</f>
        <v>Adicional ao IMI</v>
      </c>
      <c r="C22" s="4">
        <v>154.07824099999999</v>
      </c>
      <c r="D22" s="4">
        <v>162.59120300000001</v>
      </c>
      <c r="E22" s="4">
        <v>1.265036</v>
      </c>
      <c r="F22" s="4">
        <v>0</v>
      </c>
      <c r="G22" s="4">
        <f t="shared" si="0"/>
        <v>-100</v>
      </c>
      <c r="H22" s="4">
        <f t="shared" si="1"/>
        <v>-1.7728800233596336E-2</v>
      </c>
    </row>
    <row r="23" spans="2:8" ht="14.1" customHeight="1">
      <c r="B23" s="311" t="str">
        <f>IF(Indice_index!$Z$1=1,"Consignação do IRC","Assignment of Corporate Income Tax")</f>
        <v>Consignação do IRC</v>
      </c>
      <c r="C23" s="4">
        <v>375.57612399999999</v>
      </c>
      <c r="D23" s="4">
        <v>493.55577599999998</v>
      </c>
      <c r="E23" s="4">
        <v>75.997765000000001</v>
      </c>
      <c r="F23" s="4">
        <v>0</v>
      </c>
      <c r="G23" s="4">
        <f t="shared" si="0"/>
        <v>-100</v>
      </c>
      <c r="H23" s="4">
        <f t="shared" si="1"/>
        <v>-1.0650678667522502</v>
      </c>
    </row>
    <row r="24" spans="2:8" ht="14.1" customHeight="1">
      <c r="B24" s="311" t="str">
        <f>IF(Indice_index!$Z$1=1,"Adicional à contribuição do setor bancário","Additional contribution on the Banking sector")</f>
        <v>Adicional à contribuição do setor bancário</v>
      </c>
      <c r="C24" s="4">
        <v>3.8602910000000001</v>
      </c>
      <c r="D24" s="4">
        <v>0</v>
      </c>
      <c r="E24" s="4">
        <v>3.8602910000000001</v>
      </c>
      <c r="F24" s="4">
        <v>0</v>
      </c>
      <c r="G24" s="4">
        <f t="shared" si="0"/>
        <v>-100</v>
      </c>
      <c r="H24" s="4">
        <f t="shared" si="1"/>
        <v>-5.4099905443441794E-2</v>
      </c>
    </row>
    <row r="25" spans="2:8" ht="14.1" customHeight="1">
      <c r="B25" s="311" t="str">
        <f>IF(Indice_index!$Z$1=1,"Pensões bancários","Old age pension scheme from Banking regime")</f>
        <v>Pensões bancários</v>
      </c>
      <c r="C25" s="4">
        <v>368.71870319999999</v>
      </c>
      <c r="D25" s="4">
        <v>357.78061200000002</v>
      </c>
      <c r="E25" s="4">
        <v>66.977348320000004</v>
      </c>
      <c r="F25" s="4">
        <v>64.532814120000012</v>
      </c>
      <c r="G25" s="4">
        <f t="shared" si="0"/>
        <v>-3.6497924467249088</v>
      </c>
      <c r="H25" s="4">
        <f t="shared" si="1"/>
        <v>-3.4258834132778908E-2</v>
      </c>
    </row>
    <row r="26" spans="2:8" ht="14.1" customHeight="1">
      <c r="B26" s="121" t="str">
        <f>IF(Indice_index!$Z$1=1,"Transferências da UE  - Programas Operacionais (PO)","Transferências da UE  - Programas Operacionais (PO)")</f>
        <v>Transferências da UE  - Programas Operacionais (PO)</v>
      </c>
      <c r="C26" s="4">
        <v>1299.8273140100002</v>
      </c>
      <c r="D26" s="4">
        <v>1685.3224270000001</v>
      </c>
      <c r="E26" s="4">
        <v>170.87243268999993</v>
      </c>
      <c r="F26" s="4">
        <v>127.05070702999998</v>
      </c>
      <c r="G26" s="4">
        <f t="shared" si="0"/>
        <v>-25.645872169153328</v>
      </c>
      <c r="H26" s="4">
        <f t="shared" si="1"/>
        <v>-0.6141379534792698</v>
      </c>
    </row>
    <row r="27" spans="2:8" ht="14.1" customHeight="1">
      <c r="B27" s="121" t="str">
        <f>IF(Indice_index!$Z$1=1,"Transferências da União Europeia - Plano de Recuperação e Resiliência","Recovery and Resilience Plan")</f>
        <v>Transferências da União Europeia - Plano de Recuperação e Resiliência</v>
      </c>
      <c r="C27" s="4">
        <v>213.19224853</v>
      </c>
      <c r="D27" s="4">
        <v>426.93735600000002</v>
      </c>
      <c r="E27" s="4">
        <v>72.199900939999992</v>
      </c>
      <c r="F27" s="4">
        <v>15.860037029999999</v>
      </c>
      <c r="G27" s="4">
        <f t="shared" si="0"/>
        <v>-78.033159570149408</v>
      </c>
      <c r="H27" s="4">
        <f t="shared" si="1"/>
        <v>-0.78957293899018965</v>
      </c>
    </row>
    <row r="28" spans="2:8" ht="14.1" customHeight="1">
      <c r="B28" s="121" t="str">
        <f>IF(Indice_index!$Z$1=1,"Outras transferências","Other transfers")</f>
        <v>Outras transferências</v>
      </c>
      <c r="C28" s="4">
        <v>3.1779108300000001</v>
      </c>
      <c r="D28" s="4">
        <v>0</v>
      </c>
      <c r="E28" s="4">
        <v>0</v>
      </c>
      <c r="F28" s="4">
        <v>0</v>
      </c>
      <c r="G28" s="4" t="str">
        <f t="shared" si="0"/>
        <v>-</v>
      </c>
      <c r="H28" s="4">
        <f t="shared" si="1"/>
        <v>0</v>
      </c>
    </row>
    <row r="29" spans="2:8" ht="14.1" customHeight="1">
      <c r="B29" s="121" t="str">
        <f>IF(Indice_index!$Z$1=1,"Restantes receitas correntes","Other current revenue")</f>
        <v>Restantes receitas correntes</v>
      </c>
      <c r="C29" s="4">
        <v>1447.5292974400002</v>
      </c>
      <c r="D29" s="4">
        <v>1321.6014990000001</v>
      </c>
      <c r="E29" s="4">
        <v>198.03316563999999</v>
      </c>
      <c r="F29" s="4">
        <v>206.00128404</v>
      </c>
      <c r="G29" s="4">
        <f t="shared" si="0"/>
        <v>4.0236282514844364</v>
      </c>
      <c r="H29" s="4">
        <f t="shared" si="1"/>
        <v>0.11166890060934503</v>
      </c>
    </row>
    <row r="30" spans="2:8" ht="14.1" customHeight="1">
      <c r="B30" s="167" t="str">
        <f>IF(Indice_index!$Z$1=1,"Receita de capital","Capital revenue")</f>
        <v>Receita de capital</v>
      </c>
      <c r="C30" s="128">
        <f>+C32+C33+C31</f>
        <v>1.3358027600000002</v>
      </c>
      <c r="D30" s="128">
        <f>+D32+D33+D31</f>
        <v>4.4661049999999998</v>
      </c>
      <c r="E30" s="128">
        <f>+E32+E33+E31</f>
        <v>5.3570300000000005E-3</v>
      </c>
      <c r="F30" s="128">
        <f>+F32+F33+F31</f>
        <v>2.7609459999999999E-2</v>
      </c>
      <c r="G30" s="128">
        <f t="shared" si="0"/>
        <v>415.38744416215695</v>
      </c>
      <c r="H30" s="128">
        <f t="shared" si="1"/>
        <v>3.1185585721045571E-4</v>
      </c>
    </row>
    <row r="31" spans="2:8" ht="14.1" customHeight="1">
      <c r="B31" s="121" t="str">
        <f>IF(Indice_index!$Z$1=1,"Transferências da União Europeia - Plano de Recuperação e Resiliência","Transfers from the European Union - Recovery and Resilience Plan")</f>
        <v>Transferências da União Europeia - Plano de Recuperação e Resiliência</v>
      </c>
      <c r="C31" s="4">
        <v>0</v>
      </c>
      <c r="D31" s="4">
        <v>0.2185</v>
      </c>
      <c r="E31" s="4">
        <v>0</v>
      </c>
      <c r="F31" s="4">
        <v>0</v>
      </c>
      <c r="G31" s="4" t="str">
        <f t="shared" si="0"/>
        <v>-</v>
      </c>
      <c r="H31" s="4">
        <f t="shared" si="1"/>
        <v>0</v>
      </c>
    </row>
    <row r="32" spans="2:8" ht="14.1" customHeight="1">
      <c r="B32" s="121" t="str">
        <f>IF(Indice_index!$Z$1=1,"Transferências do Orçamento do Estado","State Budget transfers")</f>
        <v>Transferências do Orçamento do Estado</v>
      </c>
      <c r="C32" s="4">
        <v>0.99280193000000005</v>
      </c>
      <c r="D32" s="4">
        <v>3.5476999999999999</v>
      </c>
      <c r="E32" s="4">
        <v>0</v>
      </c>
      <c r="F32" s="4">
        <v>0</v>
      </c>
      <c r="G32" s="4" t="str">
        <f t="shared" si="0"/>
        <v>-</v>
      </c>
      <c r="H32" s="4">
        <f>IFERROR((F32-E32)/$E$34*100,"-")</f>
        <v>0</v>
      </c>
    </row>
    <row r="33" spans="2:8" ht="14.1" customHeight="1">
      <c r="B33" s="121" t="str">
        <f>IF(Indice_index!$Z$1=1,"Restantes receitas de capital","Other capital revenue")</f>
        <v>Restantes receitas de capital</v>
      </c>
      <c r="C33" s="4">
        <v>0.34300083000000009</v>
      </c>
      <c r="D33" s="4">
        <v>0.699905</v>
      </c>
      <c r="E33" s="4">
        <v>5.3570300000000005E-3</v>
      </c>
      <c r="F33" s="4">
        <v>2.7609459999999999E-2</v>
      </c>
      <c r="G33" s="4">
        <f t="shared" si="0"/>
        <v>415.38744416215695</v>
      </c>
      <c r="H33" s="4">
        <f>IFERROR((F33-E33)/$E$34*100,"-")</f>
        <v>3.1185585721045571E-4</v>
      </c>
    </row>
    <row r="34" spans="2:8" ht="14.1" customHeight="1">
      <c r="B34" s="29" t="str">
        <f>IF(Indice_index!$Z$1=1,"Receita efetiva","Effective revenue")</f>
        <v>Receita efetiva</v>
      </c>
      <c r="C34" s="18">
        <f>+C12+C30</f>
        <v>46119.401458419998</v>
      </c>
      <c r="D34" s="18">
        <f>+D12+D30</f>
        <v>49358.682743999998</v>
      </c>
      <c r="E34" s="18">
        <f>+E12+E30</f>
        <v>7135.4856692600006</v>
      </c>
      <c r="F34" s="18">
        <f>+F12+F30</f>
        <v>7600.9392296299993</v>
      </c>
      <c r="G34" s="18">
        <f t="shared" si="0"/>
        <v>6.5230817066201112</v>
      </c>
      <c r="H34" s="18"/>
    </row>
    <row r="35" spans="2:8" ht="14.1" customHeight="1">
      <c r="B35" s="167" t="str">
        <f>IF(Indice_index!$Z$1=1,"Despesa corrente","Current expenditure")</f>
        <v>Despesa corrente</v>
      </c>
      <c r="C35" s="128">
        <f>+C36+C58+C59+C60+C61+C64</f>
        <v>39290.16099887</v>
      </c>
      <c r="D35" s="128">
        <f>+D36+D58+D59+D60+D61+D64</f>
        <v>42755.792410999988</v>
      </c>
      <c r="E35" s="128">
        <f>+E36+E58+E59+E60+E61+E64</f>
        <v>5906.4710234900012</v>
      </c>
      <c r="F35" s="128">
        <f>+F36+F58+F59+F60+F61+F64</f>
        <v>6113.2628007600006</v>
      </c>
      <c r="G35" s="128">
        <f t="shared" si="0"/>
        <v>3.5011054223002129</v>
      </c>
      <c r="H35" s="128">
        <f t="shared" ref="H35:H61" si="2">IFERROR((F35-E35)/$E$68*100,"-")</f>
        <v>3.5001374059680774</v>
      </c>
    </row>
    <row r="36" spans="2:8" ht="14.1" customHeight="1">
      <c r="B36" s="121" t="str">
        <f>IF(Indice_index!$Z$1=1,"Prestações sociais","Social Benefits")</f>
        <v>Prestações sociais</v>
      </c>
      <c r="C36" s="4">
        <f>+C37+SUM(C45:C57)</f>
        <v>35413.350685400001</v>
      </c>
      <c r="D36" s="4">
        <f>+D37+SUM(D45:D57)</f>
        <v>38252.457821999997</v>
      </c>
      <c r="E36" s="4">
        <f>+E37+SUM(E45:E57)</f>
        <v>5252.7150693500007</v>
      </c>
      <c r="F36" s="4">
        <f>+F37+SUM(F45:F57)</f>
        <v>5503.00445304</v>
      </c>
      <c r="G36" s="4">
        <f t="shared" si="0"/>
        <v>4.7649526080418347</v>
      </c>
      <c r="H36" s="4">
        <f t="shared" si="2"/>
        <v>4.2363736398775904</v>
      </c>
    </row>
    <row r="37" spans="2:8" ht="14.1" customHeight="1">
      <c r="B37" s="165" t="str">
        <f>IF(Indice_index!$Z$1=1,"      Pensões","      Pensions")</f>
        <v xml:space="preserve">      Pensões</v>
      </c>
      <c r="C37" s="4">
        <v>24485.706571280003</v>
      </c>
      <c r="D37" s="4">
        <v>25990.760539999999</v>
      </c>
      <c r="E37" s="4">
        <v>3508.2850279800009</v>
      </c>
      <c r="F37" s="4">
        <v>3651.5403683599998</v>
      </c>
      <c r="G37" s="4">
        <f t="shared" si="0"/>
        <v>4.0833438343087645</v>
      </c>
      <c r="H37" s="4">
        <f t="shared" si="2"/>
        <v>2.4247258865329488</v>
      </c>
    </row>
    <row r="38" spans="2:8" ht="14.1" customHeight="1">
      <c r="B38" s="165" t="str">
        <f>IF(Indice_index!$Z$1=1,"            Sobrevivência","            Survival")</f>
        <v xml:space="preserve">            Sobrevivência</v>
      </c>
      <c r="C38" s="4">
        <v>3284.1443081800003</v>
      </c>
      <c r="D38" s="4">
        <v>3495.690513</v>
      </c>
      <c r="E38" s="4">
        <v>481.05799197999994</v>
      </c>
      <c r="F38" s="4">
        <v>493.82500137</v>
      </c>
      <c r="G38" s="4">
        <f t="shared" si="0"/>
        <v>2.6539439325084211</v>
      </c>
      <c r="H38" s="4">
        <f t="shared" si="2"/>
        <v>0.21609315282367283</v>
      </c>
    </row>
    <row r="39" spans="2:8" ht="14.1" customHeight="1">
      <c r="B39" s="165" t="str">
        <f>IF(Indice_index!$Z$1=1,"            Invalidez","            Disability")</f>
        <v xml:space="preserve">            Invalidez</v>
      </c>
      <c r="C39" s="4">
        <v>1369.2312771500001</v>
      </c>
      <c r="D39" s="4">
        <v>1458.7671539999999</v>
      </c>
      <c r="E39" s="4">
        <v>198.77770383999999</v>
      </c>
      <c r="F39" s="4">
        <v>204.22301325000001</v>
      </c>
      <c r="G39" s="4">
        <f t="shared" si="0"/>
        <v>2.7393964739541694</v>
      </c>
      <c r="H39" s="4">
        <f t="shared" si="2"/>
        <v>9.2166774736531579E-2</v>
      </c>
    </row>
    <row r="40" spans="2:8" ht="14.1" customHeight="1">
      <c r="B40" s="165" t="str">
        <f>IF(Indice_index!$Z$1=1,"            Velhice","            Old-age")</f>
        <v xml:space="preserve">            Velhice</v>
      </c>
      <c r="C40" s="4">
        <v>18426.0944495</v>
      </c>
      <c r="D40" s="4">
        <v>19960.328110999999</v>
      </c>
      <c r="E40" s="4">
        <v>2683.0137329700005</v>
      </c>
      <c r="F40" s="4">
        <v>2808.43448141</v>
      </c>
      <c r="G40" s="4">
        <f t="shared" si="0"/>
        <v>4.6746219334913031</v>
      </c>
      <c r="H40" s="4">
        <f t="shared" si="2"/>
        <v>2.1228593268782823</v>
      </c>
    </row>
    <row r="41" spans="2:8" ht="14.1" customHeight="1">
      <c r="B41" s="165" t="str">
        <f>IF(Indice_index!$Z$1=1,"            Beneficiários dos antigos combatentes","            War veteran beneficiaries")</f>
        <v xml:space="preserve">            Beneficiários dos antigos combatentes</v>
      </c>
      <c r="C41" s="4">
        <v>51.544465890000005</v>
      </c>
      <c r="D41" s="4">
        <v>54.058306000000002</v>
      </c>
      <c r="E41" s="4">
        <v>0.17602166</v>
      </c>
      <c r="F41" s="4">
        <v>0.10794182000000001</v>
      </c>
      <c r="G41" s="4">
        <f t="shared" si="0"/>
        <v>-38.676967368674966</v>
      </c>
      <c r="H41" s="4">
        <f t="shared" si="2"/>
        <v>-1.1523127163088215E-3</v>
      </c>
    </row>
    <row r="42" spans="2:8" ht="14.1" customHeight="1">
      <c r="B42" s="165" t="str">
        <f>IF(Indice_index!$Z$1=1,"            Parcela de atualização extraordinária de pensões","            Portion of extraordinary pensions update")</f>
        <v xml:space="preserve">            Parcela de atualização extraordinária de pensões</v>
      </c>
      <c r="C42" s="4">
        <v>1000.9016811200001</v>
      </c>
      <c r="D42" s="4">
        <v>1021.916456</v>
      </c>
      <c r="E42" s="4">
        <v>145.25957753</v>
      </c>
      <c r="F42" s="4">
        <v>144.94993051</v>
      </c>
      <c r="G42" s="4">
        <f t="shared" si="0"/>
        <v>-0.2131680576697598</v>
      </c>
      <c r="H42" s="4">
        <f t="shared" si="2"/>
        <v>-5.2410551892180107E-3</v>
      </c>
    </row>
    <row r="43" spans="2:8" ht="14.1" customHeight="1">
      <c r="B43" s="165" t="str">
        <f>IF(Indice_index!$Z$1=1,"            Complemento excecional de pensão","            Exceptional pension supplement")</f>
        <v xml:space="preserve">            Complemento excecional de pensão</v>
      </c>
      <c r="C43" s="4">
        <v>5.6641499999999997E-3</v>
      </c>
      <c r="D43" s="4">
        <v>0</v>
      </c>
      <c r="E43" s="4">
        <v>0</v>
      </c>
      <c r="F43" s="4">
        <v>0</v>
      </c>
      <c r="G43" s="4" t="str">
        <f t="shared" si="0"/>
        <v>-</v>
      </c>
      <c r="H43" s="4">
        <f t="shared" si="2"/>
        <v>0</v>
      </c>
    </row>
    <row r="44" spans="2:8" ht="14.1" customHeight="1">
      <c r="B44" s="165" t="str">
        <f>IF(Indice_index!$Z$1=1,"            Suplemento extraordinário de pensão","            Extraordinary pension supplement")</f>
        <v xml:space="preserve">            Suplemento extraordinário de pensão</v>
      </c>
      <c r="C44" s="4">
        <v>353.78472528999998</v>
      </c>
      <c r="D44" s="4">
        <v>0</v>
      </c>
      <c r="E44" s="4">
        <v>0</v>
      </c>
      <c r="F44" s="4">
        <v>0</v>
      </c>
      <c r="G44" s="4" t="str">
        <f t="shared" si="0"/>
        <v>-</v>
      </c>
      <c r="H44" s="4">
        <f t="shared" si="2"/>
        <v>0</v>
      </c>
    </row>
    <row r="45" spans="2:8" ht="14.1" customHeight="1">
      <c r="B45" s="165" t="str">
        <f>IF(Indice_index!$Z$1=1,"Subsídio familiar a crianças e jovens","Family benefit")</f>
        <v>Subsídio familiar a crianças e jovens</v>
      </c>
      <c r="C45" s="4">
        <v>1397.16349885</v>
      </c>
      <c r="D45" s="4">
        <v>1441.619647</v>
      </c>
      <c r="E45" s="4">
        <v>223.21771969999998</v>
      </c>
      <c r="F45" s="4">
        <v>228.44493707999999</v>
      </c>
      <c r="G45" s="4">
        <f t="shared" si="0"/>
        <v>2.3417573600452894</v>
      </c>
      <c r="H45" s="4">
        <f t="shared" si="2"/>
        <v>8.8475370357575703E-2</v>
      </c>
    </row>
    <row r="46" spans="2:8" ht="14.1" customHeight="1">
      <c r="B46" s="165" t="str">
        <f>IF(Indice_index!$Z$1=1,"Subsídio por doença","Illness benefit")</f>
        <v>Subsídio por doença</v>
      </c>
      <c r="C46" s="4">
        <v>1000.8733883799998</v>
      </c>
      <c r="D46" s="4">
        <v>1001.157773</v>
      </c>
      <c r="E46" s="4">
        <v>181.64071926000003</v>
      </c>
      <c r="F46" s="4">
        <v>198.00583367999997</v>
      </c>
      <c r="G46" s="4">
        <f t="shared" si="0"/>
        <v>9.0096067041966297</v>
      </c>
      <c r="H46" s="4">
        <f t="shared" si="2"/>
        <v>0.27699432680827096</v>
      </c>
    </row>
    <row r="47" spans="2:8" ht="14.1" customHeight="1">
      <c r="B47" s="165" t="str">
        <f>IF(Indice_index!$Z$1=1,"Prestações de desemprego","Unemployment benefits")</f>
        <v>Prestações de desemprego</v>
      </c>
      <c r="C47" s="4">
        <v>1688.0999547099998</v>
      </c>
      <c r="D47" s="4">
        <v>1740.1055180000001</v>
      </c>
      <c r="E47" s="4">
        <v>298.36232461999998</v>
      </c>
      <c r="F47" s="4">
        <v>305.42870464999993</v>
      </c>
      <c r="G47" s="4">
        <f t="shared" si="0"/>
        <v>2.3683888503683654</v>
      </c>
      <c r="H47" s="4">
        <f t="shared" si="2"/>
        <v>0.11960485757369073</v>
      </c>
    </row>
    <row r="48" spans="2:8" ht="14.1" customHeight="1">
      <c r="B48" s="165" t="str">
        <f>IF(Indice_index!$Z$1=1,"Complemento Solidário para Idosos","Elderly pension supplement")</f>
        <v>Complemento Solidário para Idosos</v>
      </c>
      <c r="C48" s="4">
        <v>535.43869367999991</v>
      </c>
      <c r="D48" s="4">
        <v>671.80635400000006</v>
      </c>
      <c r="E48" s="4">
        <v>82.988553249999981</v>
      </c>
      <c r="F48" s="4">
        <v>97.100052890000001</v>
      </c>
      <c r="G48" s="4">
        <f t="shared" si="0"/>
        <v>17.004151882838158</v>
      </c>
      <c r="H48" s="4">
        <f t="shared" si="2"/>
        <v>0.23884986335689656</v>
      </c>
    </row>
    <row r="49" spans="2:8" ht="14.1" customHeight="1">
      <c r="B49" s="165" t="str">
        <f>IF(Indice_index!$Z$1=1,"Prestação Social para a Inclusão","Social benefits for inclusion")</f>
        <v>Prestação Social para a Inclusão</v>
      </c>
      <c r="C49" s="4">
        <v>803.06513804999997</v>
      </c>
      <c r="D49" s="4">
        <v>886.06460900000002</v>
      </c>
      <c r="E49" s="4">
        <v>126.75118870999999</v>
      </c>
      <c r="F49" s="4">
        <v>141.31172570999999</v>
      </c>
      <c r="G49" s="4">
        <f t="shared" si="0"/>
        <v>11.487495421690864</v>
      </c>
      <c r="H49" s="4">
        <f t="shared" si="2"/>
        <v>0.24645022581406029</v>
      </c>
    </row>
    <row r="50" spans="2:8" ht="14.1" customHeight="1">
      <c r="B50" s="165" t="str">
        <f>IF(Indice_index!$Z$1=1,"Prestações de parentalidade","Parenthood benefits")</f>
        <v>Prestações de parentalidade</v>
      </c>
      <c r="C50" s="4">
        <v>1009.4689786400003</v>
      </c>
      <c r="D50" s="4">
        <v>1232.5205840000001</v>
      </c>
      <c r="E50" s="4">
        <v>170.33341729999998</v>
      </c>
      <c r="F50" s="4">
        <v>193.36666274999999</v>
      </c>
      <c r="G50" s="4">
        <f t="shared" si="0"/>
        <v>13.522446631498431</v>
      </c>
      <c r="H50" s="4">
        <f t="shared" si="2"/>
        <v>0.38985846074105518</v>
      </c>
    </row>
    <row r="51" spans="2:8" ht="14.1" customHeight="1">
      <c r="B51" s="165" t="str">
        <f>IF(Indice_index!$Z$1=1,"Medidas excecionais e temporárias (COVID-19)","Exceptional and temporary measures (COVID-19)")</f>
        <v>Medidas excecionais e temporárias (COVID-19)</v>
      </c>
      <c r="C51" s="4">
        <v>1.5353687600000001</v>
      </c>
      <c r="D51" s="4">
        <v>4.3925380000000001</v>
      </c>
      <c r="E51" s="4">
        <v>9.1346730000000015E-2</v>
      </c>
      <c r="F51" s="4">
        <v>6.0388560000000001E-2</v>
      </c>
      <c r="G51" s="4">
        <f t="shared" si="0"/>
        <v>-33.890835501172297</v>
      </c>
      <c r="H51" s="4">
        <f t="shared" si="2"/>
        <v>-5.2399495892837427E-4</v>
      </c>
    </row>
    <row r="52" spans="2:8" ht="14.1" customHeight="1">
      <c r="B52" s="165" t="str">
        <f>IF(Indice_index!$Z$1=1,"Garantia Infância","European Child Guarantee")</f>
        <v>Garantia Infância</v>
      </c>
      <c r="C52" s="4">
        <v>86.20160623999999</v>
      </c>
      <c r="D52" s="4">
        <v>88.47972</v>
      </c>
      <c r="E52" s="4">
        <v>13.324433750000001</v>
      </c>
      <c r="F52" s="4">
        <v>12.91573114</v>
      </c>
      <c r="G52" s="4">
        <f t="shared" si="0"/>
        <v>-3.0673169131859028</v>
      </c>
      <c r="H52" s="4">
        <f t="shared" si="2"/>
        <v>-6.917660421816586E-3</v>
      </c>
    </row>
    <row r="53" spans="2:8" ht="14.1" customHeight="1">
      <c r="B53" s="165" t="str">
        <f>IF(Indice_index!$Z$1=1,"Complemento ao apoio extraordinário para crianças e jovens","Complement to the extraordinary support for children and young people")</f>
        <v>Complemento ao apoio extraordinário para crianças e jovens</v>
      </c>
      <c r="C53" s="4">
        <v>0.20079875999999999</v>
      </c>
      <c r="D53" s="4">
        <v>5</v>
      </c>
      <c r="E53" s="4">
        <v>4.9242639999999997E-2</v>
      </c>
      <c r="F53" s="4">
        <v>3.4206359999999998E-2</v>
      </c>
      <c r="G53" s="4">
        <f>IF(IFERROR((F53-E53)/E53*100,"")&gt;500,"-",IFERROR((F53-E53)/E53*100,""))</f>
        <v>-30.535080978599034</v>
      </c>
      <c r="H53" s="4">
        <f t="shared" si="2"/>
        <v>-2.5450260532310309E-4</v>
      </c>
    </row>
    <row r="54" spans="2:8" ht="14.1" customHeight="1">
      <c r="B54" s="165" t="str">
        <f>IF(Indice_index!$Z$1=1,"Outras prestações","Other benefits")</f>
        <v>Outras prestações</v>
      </c>
      <c r="C54" s="4">
        <v>671.13867761000017</v>
      </c>
      <c r="D54" s="4">
        <v>762.43545500000005</v>
      </c>
      <c r="E54" s="4">
        <v>96.241317360000011</v>
      </c>
      <c r="F54" s="4">
        <v>82.844555439999979</v>
      </c>
      <c r="G54" s="4">
        <f>IF(IFERROR((F54-E54)/E54*100,"")&gt;500,"-",IFERROR((F54-E54)/E54*100,""))</f>
        <v>-13.919969393070691</v>
      </c>
      <c r="H54" s="4">
        <f t="shared" si="2"/>
        <v>-0.22675228258141941</v>
      </c>
    </row>
    <row r="55" spans="2:8" ht="14.1" customHeight="1">
      <c r="B55" s="165" t="str">
        <f>IF(Indice_index!$Z$1=1,"Ação social","Social assistance")</f>
        <v>Ação social</v>
      </c>
      <c r="C55" s="4">
        <v>3357.7688504899997</v>
      </c>
      <c r="D55" s="4">
        <v>4030.5475729999998</v>
      </c>
      <c r="E55" s="4">
        <v>488.32866346000014</v>
      </c>
      <c r="F55" s="4">
        <v>529.77281520999998</v>
      </c>
      <c r="G55" s="4">
        <f t="shared" si="0"/>
        <v>8.4869381732277933</v>
      </c>
      <c r="H55" s="4">
        <f t="shared" si="2"/>
        <v>0.70147966091220704</v>
      </c>
    </row>
    <row r="56" spans="2:8" ht="14.1" customHeight="1">
      <c r="B56" s="165" t="str">
        <f>IF(Indice_index!$Z$1=1,"Rendimento Social de Inserção","Social Integration Income")</f>
        <v>Rendimento Social de Inserção</v>
      </c>
      <c r="C56" s="4">
        <v>341.53071940999996</v>
      </c>
      <c r="D56" s="4">
        <v>354.096542</v>
      </c>
      <c r="E56" s="4">
        <v>57.688219150000002</v>
      </c>
      <c r="F56" s="4">
        <v>55.432188170000003</v>
      </c>
      <c r="G56" s="4">
        <f t="shared" si="0"/>
        <v>-3.9107308446008746</v>
      </c>
      <c r="H56" s="4">
        <f t="shared" si="2"/>
        <v>-3.8185359816366359E-2</v>
      </c>
    </row>
    <row r="57" spans="2:8" ht="14.1" customHeight="1">
      <c r="B57" s="165" t="str">
        <f>IF(Indice_index!$Z$1=1,"Subsídio de Apoio ao Cuidador Informal","Social Benefit for Informal Caregivers")</f>
        <v>Subsídio de Apoio ao Cuidador Informal</v>
      </c>
      <c r="C57" s="4">
        <v>35.158440539999994</v>
      </c>
      <c r="D57" s="4">
        <v>43.470968999999997</v>
      </c>
      <c r="E57" s="4">
        <v>5.4128954399999998</v>
      </c>
      <c r="F57" s="4">
        <v>6.7462830400000007</v>
      </c>
      <c r="G57" s="4">
        <f t="shared" si="0"/>
        <v>24.633536981826513</v>
      </c>
      <c r="H57" s="4">
        <f t="shared" si="2"/>
        <v>2.2568788164726909E-2</v>
      </c>
    </row>
    <row r="58" spans="2:8" ht="14.1" customHeight="1">
      <c r="B58" s="121" t="str">
        <f>IF(Indice_index!$Z$1=1,"Pensão velhice do regime substitutivo dos bancários","Old age pension scheme from Banking regime")</f>
        <v>Pensão velhice do regime substitutivo dos bancários</v>
      </c>
      <c r="C58" s="4">
        <v>377.94546713999995</v>
      </c>
      <c r="D58" s="4">
        <v>366.800454</v>
      </c>
      <c r="E58" s="4">
        <v>68.298220810000004</v>
      </c>
      <c r="F58" s="4">
        <v>65.918670390000003</v>
      </c>
      <c r="G58" s="4">
        <f t="shared" si="0"/>
        <v>-3.4840591625654693</v>
      </c>
      <c r="H58" s="4">
        <f t="shared" si="2"/>
        <v>-4.027603778246245E-2</v>
      </c>
    </row>
    <row r="59" spans="2:8" ht="14.1" customHeight="1">
      <c r="B59" s="121" t="str">
        <f>IF(Indice_index!$Z$1=1,"Administração","Administration")</f>
        <v>Administração</v>
      </c>
      <c r="C59" s="4">
        <v>404.15823505999992</v>
      </c>
      <c r="D59" s="4">
        <v>479.34318400000001</v>
      </c>
      <c r="E59" s="4">
        <v>49.968251639999998</v>
      </c>
      <c r="F59" s="4">
        <v>51.32824767000001</v>
      </c>
      <c r="G59" s="4">
        <f t="shared" si="0"/>
        <v>2.7217202630946646</v>
      </c>
      <c r="H59" s="4">
        <f t="shared" si="2"/>
        <v>2.3019159849648991E-2</v>
      </c>
    </row>
    <row r="60" spans="2:8" ht="14.1" customHeight="1">
      <c r="B60" s="121" t="str">
        <f>IF(Indice_index!$Z$1=1,"Transferências correntes","Current transfers")</f>
        <v>Transferências correntes</v>
      </c>
      <c r="C60" s="4">
        <v>1756.8035593400011</v>
      </c>
      <c r="D60" s="4">
        <v>1905.5087619999999</v>
      </c>
      <c r="E60" s="4">
        <v>356.32797601999999</v>
      </c>
      <c r="F60" s="4">
        <v>372.05530208000005</v>
      </c>
      <c r="G60" s="4">
        <f>IF(IFERROR((F60-E60)/E60*100,"")&gt;500,"-",IFERROR((F60-E60)/E60*100,""))</f>
        <v>4.4137219411358561</v>
      </c>
      <c r="H60" s="4">
        <f t="shared" si="2"/>
        <v>0.26619918337753401</v>
      </c>
    </row>
    <row r="61" spans="2:8" ht="14.1" customHeight="1">
      <c r="B61" s="121" t="str">
        <f>IF(Indice_index!$Z$1=1,"Ações de Formação Profissional","Vocational Training Programs")</f>
        <v>Ações de Formação Profissional</v>
      </c>
      <c r="C61" s="4">
        <v>1199.5483644599999</v>
      </c>
      <c r="D61" s="4">
        <v>1425.606086</v>
      </c>
      <c r="E61" s="4">
        <v>173.01667714999999</v>
      </c>
      <c r="F61" s="4">
        <v>108.71935249999997</v>
      </c>
      <c r="G61" s="4">
        <f t="shared" si="0"/>
        <v>-37.162501158345719</v>
      </c>
      <c r="H61" s="4">
        <f t="shared" si="2"/>
        <v>-1.0882902312759795</v>
      </c>
    </row>
    <row r="62" spans="2:8" ht="14.1" customHeight="1">
      <c r="B62" s="271" t="str">
        <f>IF(Indice_index!$Z$1=1,"dos quais:","of which:")</f>
        <v>dos quais:</v>
      </c>
      <c r="C62" s="4">
        <v>0</v>
      </c>
      <c r="D62" s="4">
        <v>0</v>
      </c>
      <c r="E62" s="4">
        <v>0</v>
      </c>
      <c r="F62" s="4">
        <v>0</v>
      </c>
      <c r="G62" s="4"/>
      <c r="H62" s="4"/>
    </row>
    <row r="63" spans="2:8" ht="14.1" customHeight="1">
      <c r="B63" s="165" t="str">
        <f>IF(Indice_index!$Z$1=1,"Com suporte no Fundo Social Europeu","Supported by the European Social Fund")</f>
        <v>Com suporte no Fundo Social Europeu</v>
      </c>
      <c r="C63" s="4">
        <v>1103.29189855</v>
      </c>
      <c r="D63" s="4">
        <v>1296.445215</v>
      </c>
      <c r="E63" s="4">
        <v>157.73176868000002</v>
      </c>
      <c r="F63" s="4">
        <v>101.46296139999997</v>
      </c>
      <c r="G63" s="4">
        <f t="shared" ref="G63:G67" si="3">IF(IFERROR((F63-E63)/E63*100,"")&gt;500,"-",IFERROR((F63-E63)/E63*100,""))</f>
        <v>-35.673731265992444</v>
      </c>
      <c r="H63" s="4">
        <f>IFERROR((F63-E63)/$E$68*100,"-")</f>
        <v>-0.95240033114464495</v>
      </c>
    </row>
    <row r="64" spans="2:8" ht="14.1" customHeight="1">
      <c r="B64" s="121" t="str">
        <f>IF(Indice_index!$Z$1=1,"Subsídios Correntes - Programas Operacionais (PO)","Subsídios Correntes - Programas Operacionais (PO)")</f>
        <v>Subsídios Correntes - Programas Operacionais (PO)</v>
      </c>
      <c r="C64" s="4">
        <v>138.35468746999999</v>
      </c>
      <c r="D64" s="4">
        <v>326.07610299999999</v>
      </c>
      <c r="E64" s="4">
        <v>6.1448285200000017</v>
      </c>
      <c r="F64" s="4">
        <v>12.236775079999997</v>
      </c>
      <c r="G64" s="4">
        <f t="shared" si="3"/>
        <v>99.139407066806058</v>
      </c>
      <c r="H64" s="4">
        <f>IFERROR((F64-E64)/$E$68*100,"-")</f>
        <v>0.10311169192174624</v>
      </c>
    </row>
    <row r="65" spans="2:8" ht="14.1" customHeight="1">
      <c r="B65" s="167" t="str">
        <f>IF(Indice_index!$Z$1=1,"Despesa de Capital","Capital expenditure")</f>
        <v>Despesa de Capital</v>
      </c>
      <c r="C65" s="128">
        <f>+C66+C67</f>
        <v>96.939661550000011</v>
      </c>
      <c r="D65" s="128">
        <f>+D66+D67</f>
        <v>164.374482</v>
      </c>
      <c r="E65" s="128">
        <f>+E66+E67</f>
        <v>1.6335245600000001</v>
      </c>
      <c r="F65" s="128">
        <f>+F66+F67</f>
        <v>1.5520454500000003</v>
      </c>
      <c r="G65" s="128">
        <f t="shared" si="3"/>
        <v>-4.9879329637994454</v>
      </c>
      <c r="H65" s="128">
        <f>IFERROR((F65-E65)/$E$68*100,"-")</f>
        <v>-1.3791074504071264E-3</v>
      </c>
    </row>
    <row r="66" spans="2:8" ht="14.1" customHeight="1">
      <c r="B66" s="121" t="str">
        <f>IF(Indice_index!$Z$1=1,"PIDDAC","PIDDAC - Central Admin. Invest. and Expend. Develop. Program")</f>
        <v>PIDDAC</v>
      </c>
      <c r="C66" s="4">
        <v>0.89413365</v>
      </c>
      <c r="D66" s="4">
        <v>3.5476999999999999</v>
      </c>
      <c r="E66" s="4">
        <v>6.5937000000000005E-4</v>
      </c>
      <c r="F66" s="4">
        <v>2.6429899999999996E-3</v>
      </c>
      <c r="G66" s="4">
        <f t="shared" si="3"/>
        <v>300.83564614707967</v>
      </c>
      <c r="H66" s="4">
        <f>IFERROR((F66-E66)/$E$68*100,"-")</f>
        <v>3.3574558199967918E-5</v>
      </c>
    </row>
    <row r="67" spans="2:8" ht="14.1" customHeight="1">
      <c r="B67" s="121" t="str">
        <f>IF(Indice_index!$Z$1=1,"Outras","Others")</f>
        <v>Outras</v>
      </c>
      <c r="C67" s="4">
        <v>96.04552790000001</v>
      </c>
      <c r="D67" s="4">
        <v>160.82678200000001</v>
      </c>
      <c r="E67" s="4">
        <v>1.6328651900000002</v>
      </c>
      <c r="F67" s="4">
        <v>1.5494024600000003</v>
      </c>
      <c r="G67" s="4">
        <f t="shared" si="3"/>
        <v>-5.111428090398566</v>
      </c>
      <c r="H67" s="4">
        <f>IFERROR((F67-E67)/$E$68*100,"-")</f>
        <v>-1.4126820086070957E-3</v>
      </c>
    </row>
    <row r="68" spans="2:8" ht="14.1" customHeight="1">
      <c r="B68" s="29" t="str">
        <f>IF(Indice_index!$Z$1=1,"Despesa efetiva","Effective expenditure")</f>
        <v>Despesa efetiva</v>
      </c>
      <c r="C68" s="18">
        <f>+C35+C65</f>
        <v>39387.100660420001</v>
      </c>
      <c r="D68" s="18">
        <f>+D35+D65</f>
        <v>42920.166892999987</v>
      </c>
      <c r="E68" s="18">
        <f>+E35+E65</f>
        <v>5908.1045480500015</v>
      </c>
      <c r="F68" s="18">
        <f>+F35+F65</f>
        <v>6114.8148462100007</v>
      </c>
      <c r="G68" s="18">
        <f>IF(IFERROR((F68-E68)/E68*100,"")&gt;500,"-",IFERROR((F68-E68)/E68*100,""))</f>
        <v>3.498758298517668</v>
      </c>
      <c r="H68" s="18"/>
    </row>
    <row r="69" spans="2:8" ht="14.1" customHeight="1">
      <c r="B69" s="29" t="str">
        <f>IF(Indice_index!$Z$1=1,"Saldo global","Overall balance")</f>
        <v>Saldo global</v>
      </c>
      <c r="C69" s="18">
        <f>+C34-C68</f>
        <v>6732.3007979999966</v>
      </c>
      <c r="D69" s="18">
        <f>+D34-D68</f>
        <v>6438.515851000011</v>
      </c>
      <c r="E69" s="18">
        <f>+E34-E68</f>
        <v>1227.381121209999</v>
      </c>
      <c r="F69" s="18">
        <f>+F34-F68</f>
        <v>1486.1243834199986</v>
      </c>
      <c r="G69" s="18"/>
      <c r="H69" s="18"/>
    </row>
    <row r="70" spans="2:8" ht="14.1" customHeight="1">
      <c r="B70" s="121" t="str">
        <f>IF(Indice_index!$Z$1=1,"Ativos financeiros líquidos de reembolsos","Financial assets net of reimbursements")</f>
        <v>Ativos financeiros líquidos de reembolsos</v>
      </c>
      <c r="C70" s="328">
        <v>5600.5324520100003</v>
      </c>
      <c r="D70" s="4">
        <v>731.06709499999999</v>
      </c>
      <c r="E70" s="329">
        <v>-1984.9479351500006</v>
      </c>
      <c r="F70" s="328">
        <v>-2863.3581610400001</v>
      </c>
      <c r="G70" s="4"/>
      <c r="H70" s="4"/>
    </row>
    <row r="71" spans="2:8" ht="12.75" hidden="1" customHeight="1">
      <c r="B71" s="121" t="str">
        <f>IF(Indice_index!$Z$1=1,"Alienação de partes de capital","Disposal of Capital Shares")</f>
        <v>Alienação de partes de capital</v>
      </c>
      <c r="C71" s="262">
        <v>0</v>
      </c>
      <c r="D71" s="4">
        <v>0</v>
      </c>
      <c r="E71" s="4">
        <v>0</v>
      </c>
      <c r="F71" s="262">
        <v>0</v>
      </c>
      <c r="G71" s="4"/>
      <c r="H71" s="4"/>
    </row>
    <row r="72" spans="2:8" ht="14.1" customHeight="1">
      <c r="B72" s="121" t="str">
        <f>IF(Indice_index!$Z$1=1,"Passivos financeiros líquidos de amortizações","Financial liabilities net of amortizations")</f>
        <v>Passivos financeiros líquidos de amortizações</v>
      </c>
      <c r="C72" s="262">
        <v>0</v>
      </c>
      <c r="D72" s="4">
        <v>-40</v>
      </c>
      <c r="E72" s="4">
        <v>0</v>
      </c>
      <c r="F72" s="262">
        <v>0</v>
      </c>
      <c r="G72" s="4"/>
      <c r="H72" s="4"/>
    </row>
    <row r="73" spans="2:8" ht="14.1" customHeight="1">
      <c r="B73" s="166" t="str">
        <f>IF(Indice_index!$Z$1=1,"Poupança (+) / Utilização (-) de saldo da gerência anterior","Saving (+) / Usage (-) of balance from previous management")</f>
        <v>Poupança (+) / Utilização (-) de saldo da gerência anterior</v>
      </c>
      <c r="C73" s="19">
        <f>(+C69-C70+C72)</f>
        <v>1131.7683459899963</v>
      </c>
      <c r="D73" s="19">
        <f>(+D69-D70+D72)</f>
        <v>5667.4487560000107</v>
      </c>
      <c r="E73" s="19">
        <f>(+E69-E70+E72)</f>
        <v>3212.3290563599994</v>
      </c>
      <c r="F73" s="19">
        <f>(+F69-F70+F72)</f>
        <v>4349.4825444599992</v>
      </c>
      <c r="G73" s="19"/>
      <c r="H73" s="19"/>
    </row>
    <row r="74" spans="2:8" ht="15">
      <c r="B74" s="9" t="str">
        <f>IF(Indice_index!$Z$1=1,"Notas:","Notes:")</f>
        <v>Notas:</v>
      </c>
      <c r="C74" s="9"/>
      <c r="D74" s="9"/>
      <c r="E74" s="9"/>
      <c r="F74" s="9"/>
      <c r="G74" s="9"/>
      <c r="H74" s="9"/>
    </row>
    <row r="75" spans="2:8" ht="15">
      <c r="B75" s="393" t="str">
        <f>IF(Indice_index!$Z$1=1,"Valores consolidados - são excluídas transferências intra-setoriais.","Consolidated data - transfers within the subsector are excluded.")</f>
        <v>Valores consolidados - são excluídas transferências intra-setoriais.</v>
      </c>
      <c r="C75" s="393"/>
      <c r="D75" s="393"/>
      <c r="E75" s="393"/>
      <c r="F75" s="393"/>
      <c r="G75" s="393"/>
      <c r="H75" s="393"/>
    </row>
    <row r="76" spans="2:8" ht="15">
      <c r="B76" s="393"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6" s="393"/>
      <c r="D76" s="393"/>
      <c r="E76" s="393"/>
      <c r="F76" s="393"/>
      <c r="G76" s="393"/>
      <c r="H76" s="393"/>
    </row>
    <row r="77" spans="2:8" ht="15">
      <c r="B77" s="376" t="str">
        <f>+'3 - Conta AC + SS'!$B$61</f>
        <v>Os dados de 2025 são mensalmente revistos e atualizados face ao publicado nas Sínteses de Execução Orçamental de 2025.</v>
      </c>
      <c r="C77" s="376"/>
      <c r="D77" s="376"/>
      <c r="E77" s="376"/>
      <c r="F77" s="376"/>
      <c r="G77" s="376"/>
      <c r="H77" s="376"/>
    </row>
    <row r="78" spans="2:8" ht="57.75" customHeight="1">
      <c r="B78" s="392" t="str">
        <f>IF(Indice_index!$Z$1=1,B109,B110)</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8" s="392"/>
      <c r="D78" s="392"/>
      <c r="E78" s="392"/>
      <c r="F78" s="392"/>
      <c r="G78" s="392"/>
      <c r="H78" s="392"/>
    </row>
    <row r="79" spans="2:8" ht="15">
      <c r="B79" s="70" t="str">
        <f>IF(Indice_index!$Z$1=1,"Fonte: Instituto de Gestão Financeira da Segurança Social, I.P.","Souce: Social Security Finance Management Institute.")</f>
        <v>Fonte: Instituto de Gestão Financeira da Segurança Social, I.P.</v>
      </c>
      <c r="E79" s="73"/>
      <c r="F79" s="73"/>
    </row>
    <row r="80" spans="2:8" ht="14.85" customHeight="1"/>
    <row r="109" spans="2:2" ht="102" hidden="1">
      <c r="B109" s="156" t="s">
        <v>317</v>
      </c>
    </row>
    <row r="110" spans="2:2" ht="79.5" hidden="1">
      <c r="B110" s="156" t="s">
        <v>316</v>
      </c>
    </row>
  </sheetData>
  <mergeCells count="7">
    <mergeCell ref="B78:H78"/>
    <mergeCell ref="B10:B11"/>
    <mergeCell ref="E10:F10"/>
    <mergeCell ref="G10:H10"/>
    <mergeCell ref="B75:H75"/>
    <mergeCell ref="B76:H76"/>
    <mergeCell ref="B77:H77"/>
  </mergeCells>
  <conditionalFormatting sqref="C12:H33 C35:H67">
    <cfRule type="cellIs" dxfId="42" priority="2" operator="equal">
      <formula>0</formula>
    </cfRule>
  </conditionalFormatting>
  <conditionalFormatting sqref="C70:H73">
    <cfRule type="cellIs" dxfId="41"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F12 D36:F36" formulaRange="1"/>
    <ignoredError sqref="B75:H7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85" customHeight="1" zeroHeight="1"/>
  <cols>
    <col min="1" max="1" width="8.5703125" style="74" customWidth="1"/>
    <col min="2" max="2" width="43.5703125" style="75" customWidth="1"/>
    <col min="3" max="6" width="10.42578125" style="76" customWidth="1"/>
    <col min="7" max="7" width="10.42578125" style="77" customWidth="1"/>
    <col min="8" max="8" width="10.42578125" style="76" customWidth="1"/>
    <col min="9" max="9" width="8.5703125" style="74" customWidth="1"/>
    <col min="10" max="16384" width="9.42578125" hidden="1"/>
  </cols>
  <sheetData>
    <row r="1" spans="1:9" ht="14.85" customHeight="1"/>
    <row r="2" spans="1:9" ht="15"/>
    <row r="3" spans="1:9" ht="15"/>
    <row r="4" spans="1:9" ht="15"/>
    <row r="5" spans="1:9" ht="18" customHeight="1">
      <c r="A5"/>
      <c r="B5" s="254" t="str">
        <f>IF(Indice_index!$Z$1=1,"ANEXOS ESTATÍSTICOS","STATISTICAL ANNEXES")</f>
        <v>ANEXOS ESTATÍSTICOS</v>
      </c>
      <c r="C5"/>
      <c r="D5"/>
      <c r="E5"/>
      <c r="F5"/>
      <c r="G5"/>
      <c r="H5"/>
      <c r="I5"/>
    </row>
    <row r="6" spans="1:9" ht="18" customHeight="1">
      <c r="A6"/>
      <c r="B6" s="255" t="str">
        <f>IF(Indice_index!$Z$1=1,"Fevereiro de 2026","February 2026")</f>
        <v>Fevereiro de 2026</v>
      </c>
      <c r="C6"/>
      <c r="D6"/>
      <c r="E6"/>
      <c r="F6"/>
      <c r="G6"/>
      <c r="H6"/>
      <c r="I6"/>
    </row>
    <row r="7" spans="1:9" ht="50.1" customHeight="1">
      <c r="B7" s="12"/>
      <c r="C7" s="13"/>
      <c r="D7" s="11"/>
      <c r="E7" s="11"/>
      <c r="F7" s="11"/>
      <c r="G7" s="11"/>
      <c r="H7" s="11"/>
    </row>
    <row r="8" spans="1:9" ht="15.7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1:9" ht="15">
      <c r="B9" s="3" t="str">
        <f>+'3 - Conta AC + SS'!B9</f>
        <v>Período: janeiro a fevereiro</v>
      </c>
      <c r="C9" s="3"/>
      <c r="D9" s="3"/>
      <c r="E9" s="3"/>
      <c r="F9" s="3"/>
      <c r="G9" s="3"/>
      <c r="H9" s="3" t="str">
        <f>IF(Indice_index!$Z$1=1,"€ Milhões","€ Millions")</f>
        <v>€ Milhões</v>
      </c>
    </row>
    <row r="10" spans="1:9"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375" t="str">
        <f>IF(Indice_index!$Z$1=1,"Variação Homóloga Acumulada","YOY Change Rate")</f>
        <v>Variação Homóloga Acumulada</v>
      </c>
      <c r="H10" s="371"/>
    </row>
    <row r="11" spans="1:9" ht="26.85" customHeight="1">
      <c r="B11" s="373"/>
      <c r="C11" s="22">
        <v>2025</v>
      </c>
      <c r="D11" s="22">
        <v>2026</v>
      </c>
      <c r="E11" s="22">
        <v>2025</v>
      </c>
      <c r="F11" s="22">
        <v>2026</v>
      </c>
      <c r="G11" s="22" t="str">
        <f>IF(Indice_index!$Z$1=1,"Relativa (%)","Relative change (%)")</f>
        <v>Relativa (%)</v>
      </c>
      <c r="H11" s="22" t="str">
        <f>IF(Indice_index!$Z$1=1,"Contributo VHA (pp)","YOY Change Rate Contrib. (pp)")</f>
        <v>Contributo VHA (pp)</v>
      </c>
    </row>
    <row r="12" spans="1:9" ht="14.1" customHeight="1">
      <c r="B12" s="167" t="str">
        <f>IF(Indice_index!$Z$1=1,"Receita corrente","Current revenue")</f>
        <v>Receita corrente</v>
      </c>
      <c r="C12" s="128">
        <f>+C13+C16+C17+C18+C23</f>
        <v>46118.089655659998</v>
      </c>
      <c r="D12" s="128">
        <f>+D13+D16+D17+D18+D23</f>
        <v>49354.216698999997</v>
      </c>
      <c r="E12" s="128">
        <f>+E13+E16+E17+E18+E23</f>
        <v>7135.484312229999</v>
      </c>
      <c r="F12" s="128">
        <f>+F13+F16+F17+F18+F23</f>
        <v>7600.9156201700007</v>
      </c>
      <c r="G12" s="128">
        <f t="shared" ref="G12:G31" si="0">IF(IFERROR((F12-E12)/E12*100,"")&gt;500,"-",IFERROR((F12-E12)/E12*100,""))</f>
        <v>6.5227710912665993</v>
      </c>
      <c r="H12" s="128">
        <f t="shared" ref="H12:H31" si="1">IFERROR((F12-E12)/$E$32*100,"-")</f>
        <v>6.5227698507629439</v>
      </c>
    </row>
    <row r="13" spans="1:9" ht="14.1" customHeight="1">
      <c r="B13" s="121" t="str">
        <f>IF(Indice_index!$Z$1=1,"Receitas fiscais","Tax revenue")</f>
        <v>Receitas fiscais</v>
      </c>
      <c r="C13" s="4">
        <f>+C14+C15</f>
        <v>236.15871943000002</v>
      </c>
      <c r="D13" s="4">
        <f>+D14+D15</f>
        <v>254.73170300000001</v>
      </c>
      <c r="E13" s="4">
        <f>+E14+E15</f>
        <v>36.27173329</v>
      </c>
      <c r="F13" s="4">
        <f>+F14+F15</f>
        <v>48.012818449999997</v>
      </c>
      <c r="G13" s="4">
        <f t="shared" si="0"/>
        <v>32.369793486645918</v>
      </c>
      <c r="H13" s="4">
        <f t="shared" si="1"/>
        <v>0.16454500372106604</v>
      </c>
    </row>
    <row r="14" spans="1:9" ht="15" hidden="1">
      <c r="B14" s="165" t="str">
        <f>IF(Indice_index!$Z$1=1,"Impostos diretos","Direct taxes")</f>
        <v>Impostos diretos</v>
      </c>
      <c r="C14" s="4">
        <v>0</v>
      </c>
      <c r="D14" s="4">
        <v>0</v>
      </c>
      <c r="E14" s="4">
        <v>0</v>
      </c>
      <c r="F14" s="4">
        <v>0</v>
      </c>
      <c r="G14" s="4" t="str">
        <f t="shared" si="0"/>
        <v>-</v>
      </c>
      <c r="H14" s="4">
        <f t="shared" si="1"/>
        <v>0</v>
      </c>
    </row>
    <row r="15" spans="1:9" ht="14.1" customHeight="1">
      <c r="B15" s="165" t="str">
        <f>IF(Indice_index!$Z$1=1,"Impostos indiretos","Indirect taxes")</f>
        <v>Impostos indiretos</v>
      </c>
      <c r="C15" s="4">
        <v>236.15871943000002</v>
      </c>
      <c r="D15" s="4">
        <v>254.73170300000001</v>
      </c>
      <c r="E15" s="4">
        <v>36.27173329</v>
      </c>
      <c r="F15" s="4">
        <v>48.012818449999997</v>
      </c>
      <c r="G15" s="4">
        <f t="shared" si="0"/>
        <v>32.369793486645918</v>
      </c>
      <c r="H15" s="4">
        <f t="shared" si="1"/>
        <v>0.16454500372106604</v>
      </c>
    </row>
    <row r="16" spans="1:9" ht="14.1" customHeight="1">
      <c r="B16" s="121" t="str">
        <f>IF(Indice_index!$Z$1=1,"Contribuições para Segurança Social, CGA e ADSE","Contributions to the Social Security, Public Servants Social and ADSE")</f>
        <v>Contribuições para Segurança Social, CGA e ADSE</v>
      </c>
      <c r="C16" s="4">
        <v>30145.729156929996</v>
      </c>
      <c r="D16" s="4">
        <v>32091.173593</v>
      </c>
      <c r="E16" s="4">
        <v>4719.8169242399999</v>
      </c>
      <c r="F16" s="4">
        <v>5110.5480923300001</v>
      </c>
      <c r="G16" s="4">
        <f t="shared" si="0"/>
        <v>8.2785238148387918</v>
      </c>
      <c r="H16" s="4">
        <f t="shared" si="1"/>
        <v>5.4758875036816077</v>
      </c>
    </row>
    <row r="17" spans="2:8" ht="14.1" customHeight="1">
      <c r="B17" s="121" t="str">
        <f>IF(Indice_index!$Z$1=1,"Taxas, multas e outras penalidades","Taxes, fines and other penalties")</f>
        <v>Taxas, multas e outras penalidades</v>
      </c>
      <c r="C17" s="4">
        <v>180.43844788999996</v>
      </c>
      <c r="D17" s="4">
        <v>116.637023</v>
      </c>
      <c r="E17" s="4">
        <v>23.055297989999996</v>
      </c>
      <c r="F17" s="4">
        <v>29.031588079999999</v>
      </c>
      <c r="G17" s="4">
        <f t="shared" si="0"/>
        <v>25.921547804726526</v>
      </c>
      <c r="H17" s="4">
        <f t="shared" si="1"/>
        <v>8.3754496428268876E-2</v>
      </c>
    </row>
    <row r="18" spans="2:8" ht="14.1" customHeight="1">
      <c r="B18" s="121" t="str">
        <f>IF(Indice_index!$Z$1=1,"Transferências correntes","Current transfers")</f>
        <v>Transferências correntes</v>
      </c>
      <c r="C18" s="4">
        <f>SUM(C19:C22)</f>
        <v>14285.468109029996</v>
      </c>
      <c r="D18" s="4">
        <f>SUM(D19:D22)</f>
        <v>15686.709843999999</v>
      </c>
      <c r="E18" s="4">
        <f>SUM(E19:E22)</f>
        <v>2180.8840028499994</v>
      </c>
      <c r="F18" s="4">
        <f>SUM(F19:F22)</f>
        <v>2236.3494253500003</v>
      </c>
      <c r="G18" s="4">
        <f t="shared" si="0"/>
        <v>2.5432541312384389</v>
      </c>
      <c r="H18" s="4">
        <f t="shared" si="1"/>
        <v>0.77731811219169622</v>
      </c>
    </row>
    <row r="19" spans="2:8" ht="13.5" customHeight="1">
      <c r="B19" s="165" t="str">
        <f>IF(Indice_index!$Z$1=1,"Administração Central","Central Administration")</f>
        <v>Administração Central</v>
      </c>
      <c r="C19" s="4">
        <v>12772.451008489998</v>
      </c>
      <c r="D19" s="4">
        <v>13574.450061</v>
      </c>
      <c r="E19" s="4">
        <v>1938.2861554299996</v>
      </c>
      <c r="F19" s="4">
        <v>2093.4386812900002</v>
      </c>
      <c r="G19" s="4">
        <f t="shared" si="0"/>
        <v>8.0046243649499118</v>
      </c>
      <c r="H19" s="4">
        <f t="shared" si="1"/>
        <v>2.1743793352203746</v>
      </c>
    </row>
    <row r="20" spans="2:8" ht="15" hidden="1">
      <c r="B20" s="165" t="str">
        <f>IF(Indice_index!$Z$1=1,"Outros subsectores das AP","Other General Government subsectors")</f>
        <v>Outros subsectores das AP</v>
      </c>
      <c r="C20" s="4">
        <v>0</v>
      </c>
      <c r="D20" s="4">
        <v>0</v>
      </c>
      <c r="E20" s="4">
        <v>0</v>
      </c>
      <c r="F20" s="4">
        <v>0</v>
      </c>
      <c r="G20" s="4" t="str">
        <f t="shared" si="0"/>
        <v>-</v>
      </c>
      <c r="H20" s="4">
        <f t="shared" si="1"/>
        <v>0</v>
      </c>
    </row>
    <row r="21" spans="2:8" ht="14.1" customHeight="1">
      <c r="B21" s="165" t="str">
        <f>IF(Indice_index!$Z$1=1,"União Europeia","European Union")</f>
        <v>União Europeia</v>
      </c>
      <c r="C21" s="4">
        <v>1509.83918971</v>
      </c>
      <c r="D21" s="4">
        <v>2112.259783</v>
      </c>
      <c r="E21" s="4">
        <v>242.59784741999999</v>
      </c>
      <c r="F21" s="4">
        <v>142.91074406000001</v>
      </c>
      <c r="G21" s="4">
        <f t="shared" si="0"/>
        <v>-41.09150366343345</v>
      </c>
      <c r="H21" s="4">
        <f t="shared" si="1"/>
        <v>-1.3970612230286807</v>
      </c>
    </row>
    <row r="22" spans="2:8" ht="14.1" customHeight="1">
      <c r="B22" s="165" t="str">
        <f>IF(Indice_index!$Z$1=1,"Outras transferências","Other transfers")</f>
        <v>Outras transferências</v>
      </c>
      <c r="C22" s="4">
        <v>3.1779108300000001</v>
      </c>
      <c r="D22" s="4">
        <v>0</v>
      </c>
      <c r="E22" s="4">
        <v>0</v>
      </c>
      <c r="F22" s="4">
        <v>0</v>
      </c>
      <c r="G22" s="4" t="str">
        <f t="shared" si="0"/>
        <v>-</v>
      </c>
      <c r="H22" s="4">
        <f t="shared" si="1"/>
        <v>0</v>
      </c>
    </row>
    <row r="23" spans="2:8" ht="14.1" customHeight="1">
      <c r="B23" s="121" t="str">
        <f>IF(Indice_index!$Z$1=1,"Outras receitas correntes","Other current revenue")</f>
        <v>Outras receitas correntes</v>
      </c>
      <c r="C23" s="4">
        <v>1270.2952223799998</v>
      </c>
      <c r="D23" s="4">
        <v>1204.964536</v>
      </c>
      <c r="E23" s="4">
        <v>175.45635386000001</v>
      </c>
      <c r="F23" s="4">
        <v>176.97369596000001</v>
      </c>
      <c r="G23" s="4">
        <f t="shared" si="0"/>
        <v>0.86479746479328079</v>
      </c>
      <c r="H23" s="4">
        <f t="shared" si="1"/>
        <v>2.1264734740296477E-2</v>
      </c>
    </row>
    <row r="24" spans="2:8" ht="14.1" customHeight="1">
      <c r="B24" s="167" t="str">
        <f>IF(Indice_index!$Z$1=1,"Receita de capital","Capital revenue")</f>
        <v>Receita de capital</v>
      </c>
      <c r="C24" s="128">
        <f>+C25+C26+C31</f>
        <v>1.31180276</v>
      </c>
      <c r="D24" s="128">
        <f>+D25+D26+D31</f>
        <v>4.4660450000000003</v>
      </c>
      <c r="E24" s="128">
        <f>+E25+E26+E31</f>
        <v>1.3570300000000002E-3</v>
      </c>
      <c r="F24" s="128">
        <f>+F25+F26+F31</f>
        <v>2.3609459999999999E-2</v>
      </c>
      <c r="G24" s="128" t="str">
        <f t="shared" si="0"/>
        <v>-</v>
      </c>
      <c r="H24" s="128">
        <f t="shared" si="1"/>
        <v>3.1185585721045582E-4</v>
      </c>
    </row>
    <row r="25" spans="2:8" ht="14.1" customHeight="1">
      <c r="B25" s="121" t="str">
        <f>IF(Indice_index!$Z$1=1,"Venda de bens de investimento","Sale of investment goods")</f>
        <v>Venda de bens de investimento</v>
      </c>
      <c r="C25" s="4">
        <v>0.31439319000000004</v>
      </c>
      <c r="D25" s="4">
        <v>0.68469500000000005</v>
      </c>
      <c r="E25" s="4">
        <v>0</v>
      </c>
      <c r="F25" s="4">
        <v>2.353334E-2</v>
      </c>
      <c r="G25" s="4" t="str">
        <f t="shared" si="0"/>
        <v>-</v>
      </c>
      <c r="H25" s="4">
        <f t="shared" si="1"/>
        <v>3.2980712302993915E-4</v>
      </c>
    </row>
    <row r="26" spans="2:8" ht="14.1" customHeight="1">
      <c r="B26" s="121" t="str">
        <f>IF(Indice_index!$Z$1=1,"Transferências de capital","Capital transfers")</f>
        <v>Transferências de capital</v>
      </c>
      <c r="C26" s="4">
        <f t="shared" ref="C26" si="2">+SUM(C27:C30)</f>
        <v>0.99280193000000005</v>
      </c>
      <c r="D26" s="4">
        <f>+SUM(D27:D30)</f>
        <v>3.7662</v>
      </c>
      <c r="E26" s="4">
        <f t="shared" ref="E26:F26" si="3">+SUM(E27:E30)</f>
        <v>0</v>
      </c>
      <c r="F26" s="4">
        <f t="shared" si="3"/>
        <v>0</v>
      </c>
      <c r="G26" s="4" t="str">
        <f t="shared" si="0"/>
        <v>-</v>
      </c>
      <c r="H26" s="4">
        <f t="shared" si="1"/>
        <v>0</v>
      </c>
    </row>
    <row r="27" spans="2:8" ht="14.1" customHeight="1">
      <c r="B27" s="165" t="str">
        <f>IF(Indice_index!$Z$1=1,"Administração Central","Central Administration")</f>
        <v>Administração Central</v>
      </c>
      <c r="C27" s="4">
        <v>0.99280193000000005</v>
      </c>
      <c r="D27" s="4">
        <v>3.7662</v>
      </c>
      <c r="E27" s="4">
        <v>0</v>
      </c>
      <c r="F27" s="4">
        <v>0</v>
      </c>
      <c r="G27" s="4" t="str">
        <f t="shared" si="0"/>
        <v>-</v>
      </c>
      <c r="H27" s="4">
        <f t="shared" si="1"/>
        <v>0</v>
      </c>
    </row>
    <row r="28" spans="2:8" ht="15" hidden="1">
      <c r="B28" s="165" t="str">
        <f>IF(Indice_index!$Z$1=1,"Outros subsectores das AP","Other General Government subsectors")</f>
        <v>Outros subsectores das AP</v>
      </c>
      <c r="C28" s="4">
        <v>0</v>
      </c>
      <c r="D28" s="4">
        <v>0</v>
      </c>
      <c r="E28" s="4">
        <v>0</v>
      </c>
      <c r="F28" s="4">
        <v>0</v>
      </c>
      <c r="G28" s="4" t="str">
        <f t="shared" si="0"/>
        <v>-</v>
      </c>
      <c r="H28" s="4">
        <f t="shared" si="1"/>
        <v>0</v>
      </c>
    </row>
    <row r="29" spans="2:8" ht="15" hidden="1">
      <c r="B29" s="165" t="str">
        <f>IF(Indice_index!$Z$1=1,"União Europeia","European Union")</f>
        <v>União Europeia</v>
      </c>
      <c r="C29" s="4">
        <v>0</v>
      </c>
      <c r="D29" s="4">
        <v>0</v>
      </c>
      <c r="E29" s="4">
        <v>0</v>
      </c>
      <c r="F29" s="4">
        <v>0</v>
      </c>
      <c r="G29" s="4" t="str">
        <f t="shared" si="0"/>
        <v>-</v>
      </c>
      <c r="H29" s="4">
        <f t="shared" si="1"/>
        <v>0</v>
      </c>
    </row>
    <row r="30" spans="2:8" ht="15">
      <c r="B30" s="165" t="str">
        <f>IF(Indice_index!$Z$1=1,"Outras transferências","Other transfers")</f>
        <v>Outras transferências</v>
      </c>
      <c r="C30" s="4">
        <v>0</v>
      </c>
      <c r="D30" s="4">
        <v>0</v>
      </c>
      <c r="E30" s="4">
        <v>0</v>
      </c>
      <c r="F30" s="4">
        <v>0</v>
      </c>
      <c r="G30" s="4" t="str">
        <f t="shared" si="0"/>
        <v>-</v>
      </c>
      <c r="H30" s="4">
        <f t="shared" si="1"/>
        <v>0</v>
      </c>
    </row>
    <row r="31" spans="2:8" ht="14.1" customHeight="1">
      <c r="B31" s="121" t="str">
        <f>IF(Indice_index!$Z$1=1,"Outras receitas de capital","Other capital revenue")</f>
        <v>Outras receitas de capital</v>
      </c>
      <c r="C31" s="4">
        <v>4.6076399999999997E-3</v>
      </c>
      <c r="D31" s="4">
        <v>1.515E-2</v>
      </c>
      <c r="E31" s="4">
        <v>1.3570300000000002E-3</v>
      </c>
      <c r="F31" s="4">
        <v>7.612000000000001E-5</v>
      </c>
      <c r="G31" s="4">
        <f t="shared" si="0"/>
        <v>-94.390691436445763</v>
      </c>
      <c r="H31" s="4">
        <f t="shared" si="1"/>
        <v>-1.7951265819483312E-5</v>
      </c>
    </row>
    <row r="32" spans="2:8" ht="14.1" customHeight="1">
      <c r="B32" s="29" t="str">
        <f>IF(Indice_index!$Z$1=1,"Receita efetiva","Effective revenue")</f>
        <v>Receita efetiva</v>
      </c>
      <c r="C32" s="18">
        <f>+C12+C24</f>
        <v>46119.401458419998</v>
      </c>
      <c r="D32" s="18">
        <f>+D12+D24</f>
        <v>49358.682743999998</v>
      </c>
      <c r="E32" s="18">
        <f>+E12+E24</f>
        <v>7135.4856692599988</v>
      </c>
      <c r="F32" s="18">
        <f>+F12+F24</f>
        <v>7600.9392296300011</v>
      </c>
      <c r="G32" s="18">
        <f t="shared" ref="G32:G55" si="4">IF(IFERROR((F32-E32)/E32*100,"")&gt;500,"-",IFERROR((F32-E32)/E32*100,""))</f>
        <v>6.5230817066201636</v>
      </c>
      <c r="H32" s="18"/>
    </row>
    <row r="33" spans="2:8" ht="14.1" customHeight="1">
      <c r="B33" s="167" t="str">
        <f>IF(Indice_index!$Z$1=1,"Despesa corrente","Current Expenditure")</f>
        <v>Despesa corrente</v>
      </c>
      <c r="C33" s="128">
        <f>+C34+C38+C39+C40+C45+C46</f>
        <v>39229.801327689995</v>
      </c>
      <c r="D33" s="128">
        <f>+D34+D38+D39+D40+D45+D46</f>
        <v>42718.444776000004</v>
      </c>
      <c r="E33" s="128">
        <f>+E34+E38+E39+E40+E45+E46</f>
        <v>5901.5438767000014</v>
      </c>
      <c r="F33" s="128">
        <f>+F34+F38+F39+F40+F45+F46</f>
        <v>6111.2430792200012</v>
      </c>
      <c r="G33" s="128">
        <f t="shared" si="4"/>
        <v>3.5532939668197199</v>
      </c>
      <c r="H33" s="128">
        <f t="shared" ref="H33:H54" si="5">IFERROR((F33-E33)/$E$55*100,"-")</f>
        <v>3.5493482015177271</v>
      </c>
    </row>
    <row r="34" spans="2:8" ht="14.1" customHeight="1">
      <c r="B34" s="121" t="str">
        <f>IF(Indice_index!$Z$1=1,"Despesas com pessoal","Employees")</f>
        <v>Despesas com pessoal</v>
      </c>
      <c r="C34" s="4">
        <f>+C35+C36+C37</f>
        <v>352.72210404000009</v>
      </c>
      <c r="D34" s="4">
        <f>+D35+D36+D37</f>
        <v>409.597669</v>
      </c>
      <c r="E34" s="4">
        <f>+E35+E36+E37</f>
        <v>49.670222170000009</v>
      </c>
      <c r="F34" s="4">
        <f>+F35+F36+F37</f>
        <v>50.931540540000007</v>
      </c>
      <c r="G34" s="4">
        <f t="shared" si="4"/>
        <v>2.5393854001358047</v>
      </c>
      <c r="H34" s="4">
        <f t="shared" si="5"/>
        <v>2.1348951423283496E-2</v>
      </c>
    </row>
    <row r="35" spans="2:8" ht="14.1" customHeight="1">
      <c r="B35" s="165" t="str">
        <f>IF(Indice_index!$Z$1=1,"Remunerações certas e permanentes","Certain and permanent wages")</f>
        <v>Remunerações certas e permanentes</v>
      </c>
      <c r="C35" s="4">
        <v>281.13410141000008</v>
      </c>
      <c r="D35" s="4">
        <v>337.512745</v>
      </c>
      <c r="E35" s="4">
        <v>39.92049793000001</v>
      </c>
      <c r="F35" s="4">
        <v>41.100945120000006</v>
      </c>
      <c r="G35" s="4">
        <f t="shared" si="4"/>
        <v>2.9569951558968315</v>
      </c>
      <c r="H35" s="4">
        <f t="shared" si="5"/>
        <v>1.9980133736624679E-2</v>
      </c>
    </row>
    <row r="36" spans="2:8" ht="14.1" customHeight="1">
      <c r="B36" s="165" t="str">
        <f>IF(Indice_index!$Z$1=1,"Abonos variáveis ou eventuais","Variable or contingent bonuses")</f>
        <v>Abonos variáveis ou eventuais</v>
      </c>
      <c r="C36" s="4">
        <v>6.811363280000001</v>
      </c>
      <c r="D36" s="4">
        <v>8.2891569999999994</v>
      </c>
      <c r="E36" s="4">
        <v>0.80873450999999996</v>
      </c>
      <c r="F36" s="4">
        <v>0.7791322100000001</v>
      </c>
      <c r="G36" s="4">
        <f t="shared" si="4"/>
        <v>-3.6603235838173718</v>
      </c>
      <c r="H36" s="4">
        <f t="shared" si="5"/>
        <v>-5.0104563585913931E-4</v>
      </c>
    </row>
    <row r="37" spans="2:8" ht="14.1" customHeight="1">
      <c r="B37" s="165" t="str">
        <f>IF(Indice_index!$Z$1=1,"Segurança Social","Social security")</f>
        <v>Segurança Social</v>
      </c>
      <c r="C37" s="4">
        <v>64.776639350000011</v>
      </c>
      <c r="D37" s="4">
        <v>63.795766999999998</v>
      </c>
      <c r="E37" s="4">
        <v>8.9409897300000001</v>
      </c>
      <c r="F37" s="4">
        <v>9.0514632100000014</v>
      </c>
      <c r="G37" s="4">
        <f t="shared" si="4"/>
        <v>1.2355844636452942</v>
      </c>
      <c r="H37" s="4">
        <f t="shared" si="5"/>
        <v>1.869863322517941E-3</v>
      </c>
    </row>
    <row r="38" spans="2:8" ht="14.1" customHeight="1">
      <c r="B38" s="121" t="str">
        <f>IF(Indice_index!$Z$1=1,"Aquisição de bens e serviços","Purchase of goods and services")</f>
        <v>Aquisição de bens e serviços</v>
      </c>
      <c r="C38" s="4">
        <v>101.66751397000002</v>
      </c>
      <c r="D38" s="4">
        <v>239.93615299999999</v>
      </c>
      <c r="E38" s="4">
        <v>9.9138184599999999</v>
      </c>
      <c r="F38" s="4">
        <v>4.9795953400000004</v>
      </c>
      <c r="G38" s="4">
        <f t="shared" si="4"/>
        <v>-49.771166780070324</v>
      </c>
      <c r="H38" s="4">
        <f t="shared" si="5"/>
        <v>-8.3516178156132381E-2</v>
      </c>
    </row>
    <row r="39" spans="2:8" ht="14.1" customHeight="1">
      <c r="B39" s="121" t="str">
        <f>IF(Indice_index!$Z$1=1,"Juros e outros encargos","Interests")</f>
        <v>Juros e outros encargos</v>
      </c>
      <c r="C39" s="4">
        <v>7.7487314999999999</v>
      </c>
      <c r="D39" s="4">
        <v>13.005388</v>
      </c>
      <c r="E39" s="4">
        <v>1.3499346700000003</v>
      </c>
      <c r="F39" s="4">
        <v>1.5962132299999994</v>
      </c>
      <c r="G39" s="4">
        <f t="shared" si="4"/>
        <v>18.243739158132666</v>
      </c>
      <c r="H39" s="4">
        <f t="shared" si="5"/>
        <v>4.1684868302014804E-3</v>
      </c>
    </row>
    <row r="40" spans="2:8" ht="14.1" customHeight="1">
      <c r="B40" s="121" t="str">
        <f>IF(Indice_index!$Z$1=1,"Transferências correntes","Current transfers")</f>
        <v>Transferências correntes</v>
      </c>
      <c r="C40" s="4">
        <f>+C41+C42+C43+C44</f>
        <v>37770.009589919995</v>
      </c>
      <c r="D40" s="4">
        <f>+D41+D42+D43+D44</f>
        <v>40744.427571</v>
      </c>
      <c r="E40" s="4">
        <f>+E41+E42+E43+E44</f>
        <v>5697.2444488300007</v>
      </c>
      <c r="F40" s="4">
        <f>+F41+F42+F43+F44</f>
        <v>5960.8289345800004</v>
      </c>
      <c r="G40" s="4">
        <f t="shared" si="4"/>
        <v>4.6265258252018651</v>
      </c>
      <c r="H40" s="4">
        <f t="shared" si="5"/>
        <v>4.4614052376069919</v>
      </c>
    </row>
    <row r="41" spans="2:8" ht="14.1" customHeight="1">
      <c r="B41" s="165" t="str">
        <f>IF(Indice_index!$Z$1=1,"Administração Central","Central Administration")</f>
        <v>Administração Central</v>
      </c>
      <c r="C41" s="4">
        <v>2058.9438614000005</v>
      </c>
      <c r="D41" s="4">
        <v>2314.9229329999998</v>
      </c>
      <c r="E41" s="4">
        <v>402.41731977000001</v>
      </c>
      <c r="F41" s="4">
        <v>404.07234078999994</v>
      </c>
      <c r="G41" s="4">
        <f t="shared" si="4"/>
        <v>0.41126982828320013</v>
      </c>
      <c r="H41" s="4">
        <f t="shared" si="5"/>
        <v>2.8012723988545245E-2</v>
      </c>
    </row>
    <row r="42" spans="2:8" ht="14.1" customHeight="1">
      <c r="B42" s="165" t="str">
        <f>IF(Indice_index!$Z$1=1,"Outros subsetores das Administrações Públicas","Other General Government subsectors")</f>
        <v>Outros subsetores das Administrações Públicas</v>
      </c>
      <c r="C42" s="4">
        <v>178.95647648000002</v>
      </c>
      <c r="D42" s="4">
        <v>252.576976</v>
      </c>
      <c r="E42" s="4">
        <v>5.4493823100000007</v>
      </c>
      <c r="F42" s="4">
        <v>12.353454220000001</v>
      </c>
      <c r="G42" s="4">
        <f t="shared" si="4"/>
        <v>126.69457779334994</v>
      </c>
      <c r="H42" s="4">
        <f t="shared" si="5"/>
        <v>0.11685764620192314</v>
      </c>
    </row>
    <row r="43" spans="2:8" ht="13.5" customHeight="1">
      <c r="B43" s="165" t="str">
        <f>IF(Indice_index!$Z$1=1,"União Europeia","European Union")</f>
        <v>União Europeia</v>
      </c>
      <c r="C43" s="4">
        <v>0</v>
      </c>
      <c r="D43" s="4">
        <v>0</v>
      </c>
      <c r="E43" s="4">
        <v>0</v>
      </c>
      <c r="F43" s="4">
        <v>0</v>
      </c>
      <c r="G43" s="4" t="str">
        <f t="shared" si="4"/>
        <v>-</v>
      </c>
      <c r="H43" s="4">
        <f t="shared" si="5"/>
        <v>0</v>
      </c>
    </row>
    <row r="44" spans="2:8" ht="14.1" customHeight="1">
      <c r="B44" s="165" t="str">
        <f>IF(Indice_index!$Z$1=1,"Outras transferências","Other transfers")</f>
        <v>Outras transferências</v>
      </c>
      <c r="C44" s="4">
        <v>35532.109252039998</v>
      </c>
      <c r="D44" s="4">
        <v>38176.927662000002</v>
      </c>
      <c r="E44" s="4">
        <v>5289.3777467500004</v>
      </c>
      <c r="F44" s="4">
        <v>5544.4031395700003</v>
      </c>
      <c r="G44" s="4">
        <f t="shared" si="4"/>
        <v>4.8214630346017069</v>
      </c>
      <c r="H44" s="4">
        <f t="shared" si="5"/>
        <v>4.3165348674165278</v>
      </c>
    </row>
    <row r="45" spans="2:8" ht="14.1" customHeight="1">
      <c r="B45" s="121" t="str">
        <f>IF(Indice_index!$Z$1=1,"Subsídios","Subsidies")</f>
        <v>Subsídios</v>
      </c>
      <c r="C45" s="4">
        <v>989.49082967000004</v>
      </c>
      <c r="D45" s="4">
        <v>1301.8124459999999</v>
      </c>
      <c r="E45" s="4">
        <v>143.00483901999999</v>
      </c>
      <c r="F45" s="4">
        <v>92.374789360000008</v>
      </c>
      <c r="G45" s="4">
        <f t="shared" si="4"/>
        <v>-35.404431071677998</v>
      </c>
      <c r="H45" s="4">
        <f t="shared" si="5"/>
        <v>-0.85695927091728041</v>
      </c>
    </row>
    <row r="46" spans="2:8" ht="14.1" customHeight="1">
      <c r="B46" s="121" t="str">
        <f>IF(Indice_index!$Z$1=1,"Outras despesas correntes","Other current expenditure")</f>
        <v>Outras despesas correntes</v>
      </c>
      <c r="C46" s="4">
        <v>8.1625585899999997</v>
      </c>
      <c r="D46" s="4">
        <v>9.6655490000000004</v>
      </c>
      <c r="E46" s="4">
        <v>0.36061355000000006</v>
      </c>
      <c r="F46" s="4">
        <v>0.53200616999999994</v>
      </c>
      <c r="G46" s="4">
        <f t="shared" si="4"/>
        <v>47.528058776493523</v>
      </c>
      <c r="H46" s="4">
        <f t="shared" si="5"/>
        <v>2.9009747306616104E-3</v>
      </c>
    </row>
    <row r="47" spans="2:8" ht="14.1" customHeight="1">
      <c r="B47" s="167" t="str">
        <f>IF(Indice_index!$Z$1=1,"Despesa de capital","Capital expenditure")</f>
        <v>Despesa de capital</v>
      </c>
      <c r="C47" s="128">
        <f>+C48+C49+C54</f>
        <v>157.29933272999997</v>
      </c>
      <c r="D47" s="128">
        <f>+D48+D49+D54</f>
        <v>201.72211699640002</v>
      </c>
      <c r="E47" s="128">
        <f>+E48+E49+E54</f>
        <v>6.5606713500000007</v>
      </c>
      <c r="F47" s="128">
        <f>+F48+F49+F54</f>
        <v>3.5717669900000004</v>
      </c>
      <c r="G47" s="128">
        <f t="shared" si="4"/>
        <v>-45.55790407029</v>
      </c>
      <c r="H47" s="128">
        <f t="shared" si="5"/>
        <v>-5.0589903000049362E-2</v>
      </c>
    </row>
    <row r="48" spans="2:8" ht="14.1" customHeight="1">
      <c r="B48" s="121" t="str">
        <f>IF(Indice_index!$Z$1=1,"Investimento","Investment")</f>
        <v>Investimento</v>
      </c>
      <c r="C48" s="4">
        <v>94.554172339999994</v>
      </c>
      <c r="D48" s="4">
        <v>157.8065969964</v>
      </c>
      <c r="E48" s="4">
        <v>1.6441025600000003</v>
      </c>
      <c r="F48" s="4">
        <v>1.5437865500000001</v>
      </c>
      <c r="G48" s="4">
        <f t="shared" si="4"/>
        <v>-6.1015664375585068</v>
      </c>
      <c r="H48" s="4">
        <f t="shared" si="5"/>
        <v>-1.6979389782990557E-3</v>
      </c>
    </row>
    <row r="49" spans="2:8" ht="14.1" customHeight="1">
      <c r="B49" s="121" t="str">
        <f>IF(Indice_index!$Z$1=1,"Transferências de capital","Capital transfers")</f>
        <v>Transferências de capital</v>
      </c>
      <c r="C49" s="4">
        <f>(+C51+C53+C50+C52)</f>
        <v>62.745160389999988</v>
      </c>
      <c r="D49" s="4">
        <f>(+D51+D53+D50+D52)</f>
        <v>43.915520000000001</v>
      </c>
      <c r="E49" s="4">
        <f>(+E51+E53+E50+E52)</f>
        <v>4.9165687900000004</v>
      </c>
      <c r="F49" s="4">
        <f>(+F51+F53+F50+F52)</f>
        <v>2.0279804400000003</v>
      </c>
      <c r="G49" s="4">
        <f t="shared" si="4"/>
        <v>-58.752119076930477</v>
      </c>
      <c r="H49" s="4">
        <f t="shared" si="5"/>
        <v>-4.8891964021750299E-2</v>
      </c>
    </row>
    <row r="50" spans="2:8" ht="15" hidden="1">
      <c r="B50" s="165" t="str">
        <f>IF(Indice_index!$Z$1=1,"Administração Central","Central Administration")</f>
        <v>Administração Central</v>
      </c>
      <c r="C50" s="4">
        <v>0</v>
      </c>
      <c r="D50" s="4">
        <v>0</v>
      </c>
      <c r="E50" s="4">
        <v>0</v>
      </c>
      <c r="F50" s="4">
        <v>0</v>
      </c>
      <c r="G50" s="4" t="str">
        <f t="shared" si="4"/>
        <v>-</v>
      </c>
      <c r="H50" s="4">
        <f t="shared" si="5"/>
        <v>0</v>
      </c>
    </row>
    <row r="51" spans="2:8" ht="15" hidden="1">
      <c r="B51" s="165" t="str">
        <f>IF(Indice_index!$Z$1=1,"Outros subsectores das AP","Other General Government subsectors")</f>
        <v>Outros subsectores das AP</v>
      </c>
      <c r="C51" s="4">
        <v>0</v>
      </c>
      <c r="D51" s="4">
        <v>0</v>
      </c>
      <c r="E51" s="4">
        <v>0</v>
      </c>
      <c r="F51" s="4">
        <v>0</v>
      </c>
      <c r="G51" s="4" t="str">
        <f t="shared" si="4"/>
        <v>-</v>
      </c>
      <c r="H51" s="4">
        <f t="shared" si="5"/>
        <v>0</v>
      </c>
    </row>
    <row r="52" spans="2:8" ht="14.1" customHeight="1">
      <c r="B52" s="165" t="str">
        <f>IF(Indice_index!$Z$1=1,"União Europeia","European Union")</f>
        <v>União Europeia</v>
      </c>
      <c r="C52" s="4">
        <v>0.27521682000000003</v>
      </c>
      <c r="D52" s="4">
        <v>0.2944</v>
      </c>
      <c r="E52" s="4">
        <v>0</v>
      </c>
      <c r="F52" s="4">
        <v>0</v>
      </c>
      <c r="G52" s="4" t="str">
        <f t="shared" si="4"/>
        <v>-</v>
      </c>
      <c r="H52" s="4">
        <f t="shared" si="5"/>
        <v>0</v>
      </c>
    </row>
    <row r="53" spans="2:8" ht="14.1" customHeight="1">
      <c r="B53" s="165" t="str">
        <f>IF(Indice_index!$Z$1=1,"Outras transferências","Other transfers")</f>
        <v>Outras transferências</v>
      </c>
      <c r="C53" s="4">
        <v>62.469943569999991</v>
      </c>
      <c r="D53" s="4">
        <v>43.621119999999998</v>
      </c>
      <c r="E53" s="4">
        <v>4.9165687900000004</v>
      </c>
      <c r="F53" s="4">
        <v>2.0279804400000003</v>
      </c>
      <c r="G53" s="4">
        <f t="shared" si="4"/>
        <v>-58.752119076930477</v>
      </c>
      <c r="H53" s="4">
        <f t="shared" si="5"/>
        <v>-4.8891964021750299E-2</v>
      </c>
    </row>
    <row r="54" spans="2:8" ht="15" hidden="1">
      <c r="B54" s="121" t="str">
        <f>IF(Indice_index!$Z$1=1,"Outras despesas de capital","Other capital expenditure")</f>
        <v>Outras despesas de capital</v>
      </c>
      <c r="C54" s="4">
        <v>0</v>
      </c>
      <c r="D54" s="4">
        <v>0</v>
      </c>
      <c r="E54" s="4">
        <v>0</v>
      </c>
      <c r="F54" s="4">
        <v>0</v>
      </c>
      <c r="G54" s="4" t="str">
        <f t="shared" si="4"/>
        <v>-</v>
      </c>
      <c r="H54" s="4">
        <f t="shared" si="5"/>
        <v>0</v>
      </c>
    </row>
    <row r="55" spans="2:8" ht="14.1" customHeight="1">
      <c r="B55" s="29" t="str">
        <f>IF(Indice_index!$Z$1=1,"Despesa efetiva","Effective Expenditure")</f>
        <v>Despesa efetiva</v>
      </c>
      <c r="C55" s="18">
        <f>+C47+C33</f>
        <v>39387.100660419994</v>
      </c>
      <c r="D55" s="18">
        <f>+D47+D33</f>
        <v>42920.166892996407</v>
      </c>
      <c r="E55" s="18">
        <f>+E47+E33</f>
        <v>5908.1045480500015</v>
      </c>
      <c r="F55" s="18">
        <f>+F47+F33</f>
        <v>6114.8148462100007</v>
      </c>
      <c r="G55" s="18">
        <f t="shared" si="4"/>
        <v>3.498758298517668</v>
      </c>
      <c r="H55" s="18"/>
    </row>
    <row r="56" spans="2:8" ht="14.1" customHeight="1">
      <c r="B56" s="29" t="str">
        <f>IF(Indice_index!$Z$1=1,"Saldo global","Overall Balance")</f>
        <v>Saldo global</v>
      </c>
      <c r="C56" s="18">
        <f>+C32-C55</f>
        <v>6732.3007980000039</v>
      </c>
      <c r="D56" s="18">
        <f>+D32-D55</f>
        <v>6438.5158510035908</v>
      </c>
      <c r="E56" s="18">
        <f>+E32-E55</f>
        <v>1227.3811212099972</v>
      </c>
      <c r="F56" s="18">
        <f>+F32-F55</f>
        <v>1486.1243834200004</v>
      </c>
      <c r="G56" s="18"/>
      <c r="H56" s="18"/>
    </row>
    <row r="57" spans="2:8" ht="14.1" customHeight="1">
      <c r="B57" s="121" t="str">
        <f>IF(Indice_index!$Z$1=1,"Despesa primária","Primary Expenditure")</f>
        <v>Despesa primária</v>
      </c>
      <c r="C57" s="4">
        <f>+C55-C39</f>
        <v>39379.35192891999</v>
      </c>
      <c r="D57" s="4">
        <f>+D55-D39</f>
        <v>42907.161504996409</v>
      </c>
      <c r="E57" s="4">
        <f>+E55-E39</f>
        <v>5906.7546133800015</v>
      </c>
      <c r="F57" s="4">
        <f>+F55-F39</f>
        <v>6113.2186329800006</v>
      </c>
      <c r="G57" s="4">
        <f>IF(IFERROR((F57-E57)/E57*100,"")&gt;500,"-",IFERROR((F57-E57)/E57*100,""))</f>
        <v>3.4953884681837994</v>
      </c>
      <c r="H57" s="4"/>
    </row>
    <row r="58" spans="2:8" ht="14.1" customHeight="1">
      <c r="B58" s="121" t="str">
        <f>IF(Indice_index!$Z$1=1,"Saldo primário","Primary balance")</f>
        <v>Saldo primário</v>
      </c>
      <c r="C58" s="4">
        <f>+C56+C39</f>
        <v>6740.0495295000037</v>
      </c>
      <c r="D58" s="4">
        <f>+D56+D39</f>
        <v>6451.5212390035904</v>
      </c>
      <c r="E58" s="4">
        <f>+E56+E39</f>
        <v>1228.7310558799973</v>
      </c>
      <c r="F58" s="4">
        <f>+F56+F39</f>
        <v>1487.7205966500005</v>
      </c>
      <c r="G58" s="4"/>
      <c r="H58" s="4"/>
    </row>
    <row r="59" spans="2:8" ht="14.1" customHeight="1">
      <c r="B59" s="121" t="str">
        <f>IF(Indice_index!$Z$1=1,"Saldo corrente","Current balance")</f>
        <v>Saldo corrente</v>
      </c>
      <c r="C59" s="4">
        <f>+C12-C33</f>
        <v>6888.2883279700036</v>
      </c>
      <c r="D59" s="4">
        <f>+D12-D33</f>
        <v>6635.771922999993</v>
      </c>
      <c r="E59" s="4">
        <f>+E12-E33</f>
        <v>1233.9404355299976</v>
      </c>
      <c r="F59" s="4">
        <f>+F12-F33</f>
        <v>1489.6725409499995</v>
      </c>
      <c r="G59" s="4"/>
      <c r="H59" s="4"/>
    </row>
    <row r="60" spans="2:8" ht="14.1" customHeight="1">
      <c r="B60" s="121" t="str">
        <f>IF(Indice_index!$Z$1=1,"Saldo de capital","Capital balance")</f>
        <v>Saldo de capital</v>
      </c>
      <c r="C60" s="4">
        <f>+C24-C47</f>
        <v>-155.98752996999997</v>
      </c>
      <c r="D60" s="4">
        <f>+D24-D47</f>
        <v>-197.25607199640001</v>
      </c>
      <c r="E60" s="4">
        <f>+E24-E47</f>
        <v>-6.5593143200000004</v>
      </c>
      <c r="F60" s="4">
        <f>+F24-F47</f>
        <v>-3.5481575300000006</v>
      </c>
      <c r="G60" s="4"/>
      <c r="H60" s="4"/>
    </row>
    <row r="61" spans="2:8" ht="14.1" customHeight="1">
      <c r="B61" s="121" t="str">
        <f>IF(Indice_index!$Z$1=1,"Ativos financeiros líquidos de reembolsos","Financial assets net of reimbursements")</f>
        <v>Ativos financeiros líquidos de reembolsos</v>
      </c>
      <c r="C61" s="4">
        <v>5600.5324520100003</v>
      </c>
      <c r="D61" s="4">
        <v>731.06709499999999</v>
      </c>
      <c r="E61" s="4">
        <v>-1984.9479351500006</v>
      </c>
      <c r="F61" s="4">
        <v>-2863.3581610400001</v>
      </c>
      <c r="G61" s="4"/>
      <c r="H61" s="4"/>
    </row>
    <row r="62" spans="2:8" ht="14.1" customHeight="1">
      <c r="B62" s="271" t="str">
        <f>IF(Indice_index!$Z$1=1,"dos quais Receitas de:","of which revenue from:")</f>
        <v>dos quais Receitas de:</v>
      </c>
      <c r="C62" s="4"/>
      <c r="D62" s="4">
        <v>0</v>
      </c>
      <c r="E62" s="4"/>
      <c r="F62" s="4"/>
      <c r="G62" s="4"/>
      <c r="H62" s="4"/>
    </row>
    <row r="63" spans="2:8" ht="15" hidden="1">
      <c r="B63" s="165" t="str">
        <f>IF(Indice_index!$Z$1=1,"Alienação de partes de Capital","Disposal of Capital Shares")</f>
        <v>Alienação de partes de Capital</v>
      </c>
      <c r="C63" s="4">
        <v>0</v>
      </c>
      <c r="D63" s="4">
        <v>0</v>
      </c>
      <c r="E63" s="4">
        <v>0</v>
      </c>
      <c r="F63" s="4">
        <v>0</v>
      </c>
      <c r="G63" s="4"/>
      <c r="H63" s="4"/>
    </row>
    <row r="64" spans="2:8" ht="14.1" customHeight="1">
      <c r="B64" s="165" t="str">
        <f>IF(Indice_index!$Z$1=1,"Outros ativos","Other Assets")</f>
        <v>Outros ativos</v>
      </c>
      <c r="C64" s="4">
        <v>10813.859815869999</v>
      </c>
      <c r="D64" s="4">
        <v>45674.072499000002</v>
      </c>
      <c r="E64" s="4">
        <v>5918.9494355200004</v>
      </c>
      <c r="F64" s="4">
        <v>6375.9110570500006</v>
      </c>
      <c r="G64" s="4"/>
      <c r="H64" s="4"/>
    </row>
    <row r="65" spans="2:8" ht="14.1" customHeight="1">
      <c r="B65" s="121" t="str">
        <f>IF(Indice_index!$Z$1=1,"Passivos financeiros líquidos de amortizações","Financial liabilities net of amortizations")</f>
        <v>Passivos financeiros líquidos de amortizações</v>
      </c>
      <c r="C65" s="4">
        <v>0</v>
      </c>
      <c r="D65" s="4">
        <v>-40</v>
      </c>
      <c r="E65" s="4">
        <v>0</v>
      </c>
      <c r="F65" s="4">
        <v>0</v>
      </c>
      <c r="G65" s="4"/>
      <c r="H65" s="4"/>
    </row>
    <row r="66" spans="2:8" ht="14.1" customHeight="1">
      <c r="B66" s="166" t="str">
        <f>IF(Indice_index!$Z$1=1,"Poupança (+) / Utilização (-) de saldo da gerência anterior","Saving (+) / Usage (-) of balance from previous management")</f>
        <v>Poupança (+) / Utilização (-) de saldo da gerência anterior</v>
      </c>
      <c r="C66" s="19">
        <f>+C56-C61+C65</f>
        <v>1131.7683459900036</v>
      </c>
      <c r="D66" s="19">
        <f>+D56-D61+D65</f>
        <v>5667.4487560035905</v>
      </c>
      <c r="E66" s="19">
        <f>+E56-E61+E65</f>
        <v>3212.3290563599976</v>
      </c>
      <c r="F66" s="19">
        <f>+F56-F61+F65</f>
        <v>4349.482544460001</v>
      </c>
      <c r="G66" s="19"/>
      <c r="H66" s="19"/>
    </row>
    <row r="67" spans="2:8" ht="15">
      <c r="B67" s="9" t="str">
        <f>IF(Indice_index!$Z$1=1,"Notas:","Notes:")</f>
        <v>Notas:</v>
      </c>
      <c r="C67" s="9"/>
      <c r="D67" s="9"/>
      <c r="E67" s="9"/>
      <c r="F67" s="9"/>
      <c r="G67" s="9"/>
      <c r="H67" s="9"/>
    </row>
    <row r="68" spans="2:8" ht="15">
      <c r="B68" s="393" t="str">
        <f>IF(Indice_index!$Z$1=1,"Valores consolidados - são excluídas transferências intra-setoriais.","Consolidated data - transfers within the subsector are excluded.")</f>
        <v>Valores consolidados - são excluídas transferências intra-setoriais.</v>
      </c>
      <c r="C68" s="393"/>
      <c r="D68" s="393"/>
      <c r="E68" s="393"/>
      <c r="F68" s="393"/>
      <c r="G68" s="393"/>
      <c r="H68" s="393"/>
    </row>
    <row r="69" spans="2:8" ht="15">
      <c r="B69" s="393"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393"/>
      <c r="D69" s="393"/>
      <c r="E69" s="393"/>
      <c r="F69" s="393"/>
      <c r="G69" s="393"/>
      <c r="H69" s="393"/>
    </row>
    <row r="70" spans="2:8" ht="15">
      <c r="B70" s="376" t="str">
        <f>+'3 - Conta AC + SS'!$B$61</f>
        <v>Os dados de 2025 são mensalmente revistos e atualizados face ao publicado nas Sínteses de Execução Orçamental de 2025.</v>
      </c>
      <c r="C70" s="376"/>
      <c r="D70" s="376"/>
      <c r="E70" s="376"/>
      <c r="F70" s="376"/>
      <c r="G70" s="376"/>
      <c r="H70" s="376"/>
    </row>
    <row r="71" spans="2:8" ht="15">
      <c r="B71" s="70" t="str">
        <f>IF(Indice_index!$Z$1=1,"Fonte: Instituto de Gestão Financeira da Segurança Social, I.P.","Souce: Social Security Finance Management Institute")</f>
        <v>Fonte: Instituto de Gestão Financeira da Segurança Social, I.P.</v>
      </c>
      <c r="C71" s="73"/>
      <c r="D71" s="73"/>
      <c r="E71" s="73"/>
      <c r="F71" s="157"/>
      <c r="G71" s="70"/>
      <c r="H71" s="70"/>
    </row>
    <row r="72" spans="2:8" ht="14.85" customHeight="1"/>
  </sheetData>
  <mergeCells count="6">
    <mergeCell ref="B70:H70"/>
    <mergeCell ref="B10:B11"/>
    <mergeCell ref="E10:F10"/>
    <mergeCell ref="G10:H10"/>
    <mergeCell ref="B68:H68"/>
    <mergeCell ref="B69:H69"/>
  </mergeCells>
  <conditionalFormatting sqref="C33:D54">
    <cfRule type="cellIs" dxfId="40" priority="1" operator="equal">
      <formula>0</formula>
    </cfRule>
  </conditionalFormatting>
  <conditionalFormatting sqref="C12:H31">
    <cfRule type="cellIs" dxfId="39" priority="8" operator="equal">
      <formula>0</formula>
    </cfRule>
  </conditionalFormatting>
  <conditionalFormatting sqref="C57:H66">
    <cfRule type="cellIs" dxfId="38" priority="7" operator="equal">
      <formula>0</formula>
    </cfRule>
  </conditionalFormatting>
  <conditionalFormatting sqref="E33:E34">
    <cfRule type="cellIs" dxfId="37" priority="18" operator="equal">
      <formula>0</formula>
    </cfRule>
  </conditionalFormatting>
  <conditionalFormatting sqref="E36:E54">
    <cfRule type="cellIs" dxfId="36" priority="5" operator="equal">
      <formula>0</formula>
    </cfRule>
  </conditionalFormatting>
  <conditionalFormatting sqref="E35:F39">
    <cfRule type="cellIs" dxfId="35" priority="19" operator="equal">
      <formula>0</formula>
    </cfRule>
  </conditionalFormatting>
  <conditionalFormatting sqref="F33:H54">
    <cfRule type="cellIs" dxfId="34" priority="4"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C26:D26 C18:D18 E18:F18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5" zeroHeight="1"/>
  <cols>
    <col min="1" max="1" width="8.5703125" style="79" customWidth="1"/>
    <col min="2" max="2" width="42.42578125" style="79" customWidth="1"/>
    <col min="3" max="7" width="8.42578125" style="79" customWidth="1"/>
    <col min="8" max="11" width="8.42578125" style="80" customWidth="1"/>
    <col min="12" max="12" width="8.42578125" style="42" customWidth="1"/>
    <col min="13" max="13" width="8.5703125" style="79" customWidth="1"/>
    <col min="14" max="16384" width="8.5703125" hidden="1"/>
  </cols>
  <sheetData>
    <row r="1" spans="1:13"/>
    <row r="2" spans="1:13"/>
    <row r="3" spans="1:13"/>
    <row r="4" spans="1:13"/>
    <row r="5" spans="1:13" ht="18" customHeight="1">
      <c r="A5"/>
      <c r="B5" s="254" t="str">
        <f>IF(Indice_index!$Z$1=1,"ANEXOS ESTATÍSTICOS","STATISTICAL ANNEXES")</f>
        <v>ANEXOS ESTATÍSTICOS</v>
      </c>
      <c r="C5"/>
      <c r="D5"/>
      <c r="E5"/>
      <c r="F5"/>
      <c r="G5"/>
      <c r="H5"/>
      <c r="I5"/>
      <c r="J5"/>
      <c r="K5"/>
      <c r="L5"/>
      <c r="M5"/>
    </row>
    <row r="6" spans="1:13" ht="18" customHeight="1">
      <c r="A6"/>
      <c r="B6" s="255" t="str">
        <f>IF(Indice_index!$Z$1=1,"Fevereiro de 2026","February 2026")</f>
        <v>Fevereiro de 2026</v>
      </c>
      <c r="C6"/>
      <c r="D6"/>
      <c r="E6"/>
      <c r="F6"/>
      <c r="G6"/>
      <c r="H6"/>
      <c r="I6"/>
      <c r="J6"/>
      <c r="K6"/>
      <c r="L6"/>
      <c r="M6"/>
    </row>
    <row r="7" spans="1:13" ht="48.75" customHeight="1">
      <c r="B7" s="12"/>
      <c r="C7" s="13"/>
      <c r="D7" s="11"/>
      <c r="E7" s="11"/>
      <c r="F7" s="11"/>
      <c r="G7" s="11"/>
      <c r="H7" s="11"/>
      <c r="I7" s="11"/>
      <c r="J7" s="11"/>
      <c r="K7" s="11"/>
      <c r="L7" s="10"/>
    </row>
    <row r="8" spans="1:13" ht="15.7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1:13">
      <c r="B9" s="3" t="str">
        <f>+'3 - Conta AC + SS'!B9</f>
        <v>Período: janeiro a fevereiro</v>
      </c>
      <c r="C9" s="116"/>
      <c r="D9" s="116"/>
      <c r="E9" s="116"/>
      <c r="F9" s="116"/>
      <c r="G9" s="116"/>
      <c r="H9" s="116"/>
      <c r="I9" s="116"/>
      <c r="J9" s="116"/>
      <c r="K9" s="116"/>
      <c r="L9" s="116" t="str">
        <f>IF(Indice_index!$Z$1=1,"€ Milhões","€ Millions")</f>
        <v>€ Milhões</v>
      </c>
    </row>
    <row r="10" spans="1:13" ht="16.350000000000001" customHeight="1">
      <c r="B10" s="394"/>
      <c r="C10" s="395" t="str">
        <f>IF(Indice_index!$Z$1=1,"R. Autónoma dos Açores","Azores Autonomous Region")</f>
        <v>R. Autónoma dos Açores</v>
      </c>
      <c r="D10" s="396"/>
      <c r="E10" s="397"/>
      <c r="F10" s="395" t="str">
        <f>IF(Indice_index!$Z$1=1,"R. Autónoma da Madeira","Madeira Autonomous Region")</f>
        <v>R. Autónoma da Madeira</v>
      </c>
      <c r="G10" s="396"/>
      <c r="H10" s="397"/>
      <c r="I10" s="395" t="str">
        <f>IF(Indice_index!$Z$1=1,"Administração Regional","Regional Government")</f>
        <v>Administração Regional</v>
      </c>
      <c r="J10" s="396"/>
      <c r="K10" s="396"/>
      <c r="L10" s="397"/>
    </row>
    <row r="11" spans="1:13" ht="16.350000000000001" customHeight="1">
      <c r="B11" s="343"/>
      <c r="C11" s="398" t="str">
        <f>IF(Indice_index!$Z$1=1,"Execução Acumulada","Accumulated Execution")</f>
        <v>Execução Acumulada</v>
      </c>
      <c r="D11" s="399"/>
      <c r="E11" s="400"/>
      <c r="F11" s="398" t="str">
        <f>IF(Indice_index!$Z$1=1,"Execução Acumulada","Accumulated Execution")</f>
        <v>Execução Acumulada</v>
      </c>
      <c r="G11" s="399"/>
      <c r="H11" s="400"/>
      <c r="I11" s="398" t="str">
        <f>IF(Indice_index!$Z$1=1,"Execução Acumulada","Accumulated Execution")</f>
        <v>Execução Acumulada</v>
      </c>
      <c r="J11" s="399"/>
      <c r="K11" s="399"/>
      <c r="L11" s="400"/>
    </row>
    <row r="12" spans="1:13" ht="24">
      <c r="B12" s="343"/>
      <c r="C12" s="22">
        <v>2025</v>
      </c>
      <c r="D12" s="22">
        <v>2026</v>
      </c>
      <c r="E12" s="22" t="str">
        <f>IF(Indice_index!$Z$1=1,"TVHA (%)","YOY Change Rate (%)")</f>
        <v>TVHA (%)</v>
      </c>
      <c r="F12" s="22">
        <v>2025</v>
      </c>
      <c r="G12" s="22">
        <v>2026</v>
      </c>
      <c r="H12" s="22" t="str">
        <f>IF(Indice_index!$Z$1=1,"TVHA (%)","YOY Change Rate (%)")</f>
        <v>TVHA (%)</v>
      </c>
      <c r="I12" s="22">
        <v>2025</v>
      </c>
      <c r="J12" s="22">
        <v>2026</v>
      </c>
      <c r="K12" s="22" t="str">
        <f>IF(Indice_index!$Z$1=1,"TVHA (%)","YOY Change Rate (%)")</f>
        <v>TVHA (%)</v>
      </c>
      <c r="L12" s="22" t="str">
        <f>IF(Indice_index!$Z$1=1,"Contributo VHA (pp)","YOY Change Contrib. (pp)")</f>
        <v>Contributo VHA (pp)</v>
      </c>
    </row>
    <row r="13" spans="1:13" ht="14.1" customHeight="1">
      <c r="B13" s="167" t="str">
        <f>IF(Indice_index!$Z$1=1,"Receita corrente","Current revenue")</f>
        <v>Receita corrente</v>
      </c>
      <c r="C13" s="128">
        <f>+C14+C22+C23+C30+C31</f>
        <v>228.65186839000003</v>
      </c>
      <c r="D13" s="128">
        <f>+D14+D22+D23+D30+D31</f>
        <v>213.58561192999997</v>
      </c>
      <c r="E13" s="128">
        <f t="shared" ref="E13:E24" si="0">IFERROR(IF(ABS((D13-C13)/C13)*100&gt;500,"-",((D13-C13)/C13)*100),0)</f>
        <v>-6.5891683134214771</v>
      </c>
      <c r="F13" s="128">
        <f>+F14+F22+F23+F30+F31</f>
        <v>242.69464600999999</v>
      </c>
      <c r="G13" s="128">
        <f>+G14+G22+G23+G30+G31</f>
        <v>266.95339934999998</v>
      </c>
      <c r="H13" s="128">
        <f t="shared" ref="H13:H24" si="1">IFERROR(IF(ABS((G13-F13)/F13)*100&gt;500,"-",((G13-F13)/F13)*100),0)</f>
        <v>9.9955865276897953</v>
      </c>
      <c r="I13" s="128">
        <f>+I14+I22+I23+I30+I31</f>
        <v>471.34409619000007</v>
      </c>
      <c r="J13" s="128">
        <f>+J14+J22+J23+J30+J31</f>
        <v>480.53901128000007</v>
      </c>
      <c r="K13" s="128">
        <f t="shared" ref="K13:K24" si="2">IFERROR(IF(ABS((J13-I13)/I13)*100&gt;500,"-",((J13-I13)/I13)*100),0)</f>
        <v>1.9507860954077805</v>
      </c>
      <c r="L13" s="128">
        <f t="shared" ref="L13:L24" si="3">IFERROR((J13-I13)/$I$43*100,"-")</f>
        <v>1.6669083568326617</v>
      </c>
    </row>
    <row r="14" spans="1:13" ht="14.1" customHeight="1">
      <c r="B14" s="121" t="str">
        <f>IF(Indice_index!$Z$1=1,"Receita fiscal","Tax revenue")</f>
        <v>Receita fiscal</v>
      </c>
      <c r="C14" s="4">
        <f>+C15+C19</f>
        <v>142.04027899000005</v>
      </c>
      <c r="D14" s="4">
        <f>+D15+D19</f>
        <v>139.89774698999997</v>
      </c>
      <c r="E14" s="4">
        <f t="shared" si="0"/>
        <v>-1.508397487835766</v>
      </c>
      <c r="F14" s="4">
        <f>+F15+F19</f>
        <v>146.69313828</v>
      </c>
      <c r="G14" s="4">
        <f>+G15+G19</f>
        <v>160.61735808999998</v>
      </c>
      <c r="H14" s="4">
        <f t="shared" si="1"/>
        <v>9.4920730262257926</v>
      </c>
      <c r="I14" s="4">
        <f>+I15+I19</f>
        <v>288.73341727000002</v>
      </c>
      <c r="J14" s="4">
        <f>+J15+J19</f>
        <v>300.51510508000001</v>
      </c>
      <c r="K14" s="4">
        <f t="shared" si="2"/>
        <v>4.0804725415564613</v>
      </c>
      <c r="L14" s="4">
        <f t="shared" si="3"/>
        <v>2.1358537491489225</v>
      </c>
    </row>
    <row r="15" spans="1:13" ht="14.1" customHeight="1">
      <c r="B15" s="165" t="str">
        <f>IF(Indice_index!$Z$1=1,"Impostos diretos","Direct taxes")</f>
        <v>Impostos diretos</v>
      </c>
      <c r="C15" s="4">
        <f>+C16+C17</f>
        <v>42.319032700000001</v>
      </c>
      <c r="D15" s="4">
        <f t="shared" ref="D15" si="4">+D16+D17</f>
        <v>40.93296857</v>
      </c>
      <c r="E15" s="4">
        <f t="shared" si="0"/>
        <v>-3.275273657188297</v>
      </c>
      <c r="F15" s="4">
        <f>+F16+F17</f>
        <v>29.860143929999996</v>
      </c>
      <c r="G15" s="4">
        <f t="shared" ref="G15" si="5">+G16+G17</f>
        <v>34.58773875</v>
      </c>
      <c r="H15" s="4">
        <f t="shared" si="1"/>
        <v>15.8324582462922</v>
      </c>
      <c r="I15" s="4">
        <f>+I16+I17</f>
        <v>72.179176630000001</v>
      </c>
      <c r="J15" s="4">
        <f t="shared" ref="J15" si="6">+J16+J17</f>
        <v>75.52070732</v>
      </c>
      <c r="K15" s="4">
        <f t="shared" si="2"/>
        <v>4.6294940535677309</v>
      </c>
      <c r="L15" s="4">
        <f t="shared" si="3"/>
        <v>0.60577236192550976</v>
      </c>
    </row>
    <row r="16" spans="1:13" ht="14.1" customHeight="1">
      <c r="B16" s="302" t="str">
        <f>IF(Indice_index!$Z$1=1,"Imposto s/ Rendimento Pessoas Singulares (IRS)","Personal income tax")</f>
        <v>Imposto s/ Rendimento Pessoas Singulares (IRS)</v>
      </c>
      <c r="C16" s="4">
        <v>40.133963000000001</v>
      </c>
      <c r="D16" s="4">
        <v>39.073475729999998</v>
      </c>
      <c r="E16" s="4">
        <f t="shared" si="0"/>
        <v>-2.6423686840993077</v>
      </c>
      <c r="F16" s="4">
        <v>27.756531489999997</v>
      </c>
      <c r="G16" s="4">
        <v>28.88447416</v>
      </c>
      <c r="H16" s="4">
        <f t="shared" si="1"/>
        <v>4.0637018008045178</v>
      </c>
      <c r="I16" s="4">
        <v>67.890494489999995</v>
      </c>
      <c r="J16" s="4">
        <v>67.957949889999995</v>
      </c>
      <c r="K16" s="4">
        <f t="shared" si="2"/>
        <v>9.9359123109548086E-2</v>
      </c>
      <c r="L16" s="4">
        <f t="shared" si="3"/>
        <v>1.2228712160243568E-2</v>
      </c>
    </row>
    <row r="17" spans="2:12" ht="14.1" customHeight="1">
      <c r="B17" s="302" t="str">
        <f>IF(Indice_index!$Z$1=1,"Imposto s/ Rendimento Pessoas Colectivas (IRC)","Corporate income tax")</f>
        <v>Imposto s/ Rendimento Pessoas Colectivas (IRC)</v>
      </c>
      <c r="C17" s="4">
        <v>2.1850697000000001</v>
      </c>
      <c r="D17" s="4">
        <v>1.8594928400000001</v>
      </c>
      <c r="E17" s="4">
        <f t="shared" si="0"/>
        <v>-14.900067489837966</v>
      </c>
      <c r="F17" s="4">
        <v>2.10361244</v>
      </c>
      <c r="G17" s="4">
        <v>5.7032645899999999</v>
      </c>
      <c r="H17" s="4">
        <f t="shared" si="1"/>
        <v>171.11764893346987</v>
      </c>
      <c r="I17" s="4">
        <v>4.2886821399999997</v>
      </c>
      <c r="J17" s="4">
        <v>7.5627574299999996</v>
      </c>
      <c r="K17" s="4">
        <f t="shared" si="2"/>
        <v>76.342223161355577</v>
      </c>
      <c r="L17" s="4">
        <f t="shared" si="3"/>
        <v>0.5935436497652663</v>
      </c>
    </row>
    <row r="18" spans="2:12" ht="14.1" customHeight="1">
      <c r="B18" s="302" t="str">
        <f>IF(Indice_index!$Z$1=1,"Outros","Others")</f>
        <v>Outros</v>
      </c>
      <c r="C18" s="4">
        <v>0</v>
      </c>
      <c r="D18" s="4"/>
      <c r="E18" s="4">
        <f t="shared" si="0"/>
        <v>0</v>
      </c>
      <c r="F18" s="4">
        <v>0</v>
      </c>
      <c r="G18" s="4">
        <v>0</v>
      </c>
      <c r="H18" s="4">
        <f t="shared" si="1"/>
        <v>0</v>
      </c>
      <c r="I18" s="4">
        <v>0</v>
      </c>
      <c r="J18" s="4">
        <v>0</v>
      </c>
      <c r="K18" s="4">
        <f t="shared" si="2"/>
        <v>0</v>
      </c>
      <c r="L18" s="4">
        <f t="shared" si="3"/>
        <v>0</v>
      </c>
    </row>
    <row r="19" spans="2:12" ht="14.1" customHeight="1">
      <c r="B19" s="165" t="str">
        <f>IF(Indice_index!$Z$1=1,"Impostos indiretos","Indirect taxes")</f>
        <v>Impostos indiretos</v>
      </c>
      <c r="C19" s="4">
        <f>+C20+C21</f>
        <v>99.721246290000039</v>
      </c>
      <c r="D19" s="4">
        <f>+D20+D21</f>
        <v>98.964778419999988</v>
      </c>
      <c r="E19" s="4">
        <f t="shared" si="0"/>
        <v>-0.75858244671367425</v>
      </c>
      <c r="F19" s="4">
        <f t="shared" ref="F19:G19" si="7">+F20+F21</f>
        <v>116.83299435000001</v>
      </c>
      <c r="G19" s="4">
        <f t="shared" si="7"/>
        <v>126.02961934</v>
      </c>
      <c r="H19" s="4">
        <f t="shared" si="1"/>
        <v>7.8715991498509332</v>
      </c>
      <c r="I19" s="4">
        <f>+I20+I21</f>
        <v>216.55424063999999</v>
      </c>
      <c r="J19" s="4">
        <f>+J20+J21</f>
        <v>224.99439776000003</v>
      </c>
      <c r="K19" s="4">
        <f t="shared" si="2"/>
        <v>3.8974794929234218</v>
      </c>
      <c r="L19" s="4">
        <f t="shared" si="3"/>
        <v>1.5300813872234202</v>
      </c>
    </row>
    <row r="20" spans="2:12" ht="14.1" customHeight="1">
      <c r="B20" s="302" t="str">
        <f>IF(Indice_index!$Z$1=1,"Imposto sobre Valor Acrescentado (IVA)","Value-added tax")</f>
        <v>Imposto sobre Valor Acrescentado (IVA)</v>
      </c>
      <c r="C20" s="4">
        <v>67.237270420000002</v>
      </c>
      <c r="D20" s="4">
        <v>71.415280949999996</v>
      </c>
      <c r="E20" s="4">
        <f t="shared" si="0"/>
        <v>6.2138312633780393</v>
      </c>
      <c r="F20" s="4">
        <v>100.15866703</v>
      </c>
      <c r="G20" s="4">
        <v>106.9154745</v>
      </c>
      <c r="H20" s="4">
        <f t="shared" si="1"/>
        <v>6.7461036277331523</v>
      </c>
      <c r="I20" s="4">
        <v>167.39593744999999</v>
      </c>
      <c r="J20" s="4">
        <v>178.33075545</v>
      </c>
      <c r="K20" s="4">
        <f t="shared" si="2"/>
        <v>6.5323078723258519</v>
      </c>
      <c r="L20" s="4">
        <f t="shared" si="3"/>
        <v>1.9823282027332165</v>
      </c>
    </row>
    <row r="21" spans="2:12" ht="14.1" customHeight="1">
      <c r="B21" s="302" t="str">
        <f>IF(Indice_index!$Z$1=1,"Outros","Others")</f>
        <v>Outros</v>
      </c>
      <c r="C21" s="4">
        <v>32.48397587000003</v>
      </c>
      <c r="D21" s="4">
        <v>27.549497469999999</v>
      </c>
      <c r="E21" s="4">
        <f t="shared" si="0"/>
        <v>-15.190500139969556</v>
      </c>
      <c r="F21" s="4">
        <v>16.674327319999996</v>
      </c>
      <c r="G21" s="4">
        <v>19.114144839999991</v>
      </c>
      <c r="H21" s="4">
        <f t="shared" si="1"/>
        <v>14.632179596675899</v>
      </c>
      <c r="I21" s="4">
        <v>49.158303190000012</v>
      </c>
      <c r="J21" s="4">
        <v>46.663642310000029</v>
      </c>
      <c r="K21" s="4">
        <f t="shared" si="2"/>
        <v>-5.0747497739251868</v>
      </c>
      <c r="L21" s="4">
        <f t="shared" si="3"/>
        <v>-0.45224681550979901</v>
      </c>
    </row>
    <row r="22" spans="2:12" ht="14.1" customHeight="1">
      <c r="B22" s="121" t="str">
        <f>IF(Indice_index!$Z$1=1,"Contribuições para Segurança Social, CGA e ADSE","Social security, CGA and ADSE contributions")</f>
        <v>Contribuições para Segurança Social, CGA e ADSE</v>
      </c>
      <c r="C22" s="4"/>
      <c r="D22" s="4"/>
      <c r="E22" s="4">
        <f t="shared" si="0"/>
        <v>0</v>
      </c>
      <c r="F22" s="4">
        <v>0</v>
      </c>
      <c r="G22" s="4">
        <v>0</v>
      </c>
      <c r="H22" s="4">
        <f t="shared" si="1"/>
        <v>0</v>
      </c>
      <c r="I22" s="4">
        <v>0</v>
      </c>
      <c r="J22" s="4">
        <v>0</v>
      </c>
      <c r="K22" s="4">
        <f t="shared" si="2"/>
        <v>0</v>
      </c>
      <c r="L22" s="4">
        <f t="shared" si="3"/>
        <v>0</v>
      </c>
    </row>
    <row r="23" spans="2:12" ht="14.1" customHeight="1">
      <c r="B23" s="121" t="str">
        <f>IF(Indice_index!$Z$1=1,"Transferências correntes","Current transfers")</f>
        <v>Transferências correntes</v>
      </c>
      <c r="C23" s="4">
        <f>+C24+C27+C28+C29</f>
        <v>77.946502839999994</v>
      </c>
      <c r="D23" s="4">
        <f>+D24+D27+D28+D29</f>
        <v>65.418608710000015</v>
      </c>
      <c r="E23" s="4">
        <f t="shared" si="0"/>
        <v>-16.072426181474569</v>
      </c>
      <c r="F23" s="4">
        <f>+F24+F27+F28+F29</f>
        <v>71.53582157999999</v>
      </c>
      <c r="G23" s="4">
        <f>+G24+G27+G28+G29</f>
        <v>61.424367199999992</v>
      </c>
      <c r="H23" s="4">
        <f t="shared" si="1"/>
        <v>-14.134812680793985</v>
      </c>
      <c r="I23" s="4">
        <f>+I24+I27+I28+I29</f>
        <v>149.48232442000003</v>
      </c>
      <c r="J23" s="4">
        <f>+J24+J27+J28+J29</f>
        <v>126.84297590999999</v>
      </c>
      <c r="K23" s="4">
        <f t="shared" si="2"/>
        <v>-15.145167562681408</v>
      </c>
      <c r="L23" s="4">
        <f t="shared" si="3"/>
        <v>-4.104194422154924</v>
      </c>
    </row>
    <row r="24" spans="2:12" ht="14.1" customHeight="1">
      <c r="B24" s="165" t="str">
        <f>IF(Indice_index!$Z$1=1,"Administração Central","Central Administration")</f>
        <v>Administração Central</v>
      </c>
      <c r="C24" s="4">
        <v>70.664603149999991</v>
      </c>
      <c r="D24" s="4">
        <v>55.534866990000005</v>
      </c>
      <c r="E24" s="4">
        <f t="shared" si="0"/>
        <v>-21.410629205521815</v>
      </c>
      <c r="F24" s="4">
        <v>62.456598999999997</v>
      </c>
      <c r="G24" s="4">
        <v>53.590589999999999</v>
      </c>
      <c r="H24" s="4">
        <f t="shared" si="1"/>
        <v>-14.195471962858559</v>
      </c>
      <c r="I24" s="4">
        <v>133.12120215000002</v>
      </c>
      <c r="J24" s="4">
        <v>109.12545698999999</v>
      </c>
      <c r="K24" s="4">
        <f t="shared" si="2"/>
        <v>-18.025487129361853</v>
      </c>
      <c r="L24" s="4">
        <f t="shared" si="3"/>
        <v>-4.3500899947550211</v>
      </c>
    </row>
    <row r="25" spans="2:12" ht="14.1" customHeight="1">
      <c r="B25" s="309" t="str">
        <f>IF(Indice_index!$Z$1=1,"dos quais:","of which:")</f>
        <v>dos quais:</v>
      </c>
      <c r="C25" s="4"/>
      <c r="D25" s="4"/>
      <c r="E25" s="4"/>
      <c r="F25" s="4"/>
      <c r="G25" s="4"/>
      <c r="H25" s="4"/>
      <c r="I25" s="4"/>
      <c r="J25" s="4"/>
      <c r="K25" s="4"/>
      <c r="L25" s="4"/>
    </row>
    <row r="26" spans="2:12" ht="14.1" customHeight="1">
      <c r="B26" s="311" t="str">
        <f>IF(Indice_index!$Z$1=1,"Transferências do Orçamento do Estado","State Budget tranfers")</f>
        <v>Transferências do Orçamento do Estado</v>
      </c>
      <c r="C26" s="4">
        <v>70.246259499999994</v>
      </c>
      <c r="D26" s="4">
        <v>55.020511249999998</v>
      </c>
      <c r="E26" s="4">
        <f>IFERROR(IF(ABS((D26-C26)/C26)*100&gt;500,"-",((D26-C26)/C26)*100),0)</f>
        <v>-21.674817076914959</v>
      </c>
      <c r="F26" s="4">
        <v>62.456598999999997</v>
      </c>
      <c r="G26" s="4">
        <v>53.590589999999999</v>
      </c>
      <c r="H26" s="4">
        <f t="shared" ref="H26:H35" si="8">IFERROR(IF(ABS((G26-F26)/F26)*100&gt;500,"-",((G26-F26)/F26)*100),0)</f>
        <v>-14.195471962858559</v>
      </c>
      <c r="I26" s="4">
        <v>132.70285849999999</v>
      </c>
      <c r="J26" s="4">
        <v>108.61110125</v>
      </c>
      <c r="K26" s="4">
        <f t="shared" ref="K26:K35" si="9">IFERROR(IF(ABS((J26-I26)/I26)*100&gt;500,"-",((J26-I26)/I26)*100),0)</f>
        <v>-18.154663375242961</v>
      </c>
      <c r="L26" s="4">
        <f>(J26-I26)/I24*100</f>
        <v>-18.097610944689009</v>
      </c>
    </row>
    <row r="27" spans="2:12" ht="14.1" customHeight="1">
      <c r="B27" s="165" t="str">
        <f>IF(Indice_index!$Z$1=1,"Outros subsetores das Administrações Públicas","Other General Government subsectors")</f>
        <v>Outros subsetores das Administrações Públicas</v>
      </c>
      <c r="C27" s="4">
        <v>2.2071300000000003</v>
      </c>
      <c r="D27" s="4">
        <v>2.3988903599999998</v>
      </c>
      <c r="E27" s="4">
        <f>IFERROR(IF(ABS((D27-C27)/C27)*100&gt;500,"-",((D27-C27)/C27)*100),0)</f>
        <v>8.6882222614888782</v>
      </c>
      <c r="F27" s="4">
        <v>0.17986352999999999</v>
      </c>
      <c r="G27" s="4">
        <v>0.32835949000000003</v>
      </c>
      <c r="H27" s="4">
        <f t="shared" si="8"/>
        <v>82.560350060960133</v>
      </c>
      <c r="I27" s="4">
        <v>2.3869935299999998</v>
      </c>
      <c r="J27" s="4">
        <v>2.7272498500000002</v>
      </c>
      <c r="K27" s="4">
        <f t="shared" si="9"/>
        <v>14.254597497798848</v>
      </c>
      <c r="L27" s="4">
        <f t="shared" ref="L27:L35" si="10">IFERROR((J27-I27)/$I$43*100,"-")</f>
        <v>6.1683669476183201E-2</v>
      </c>
    </row>
    <row r="28" spans="2:12" ht="14.1" customHeight="1">
      <c r="B28" s="165" t="str">
        <f>IF(Indice_index!$Z$1=1,"União Europeia","European Union")</f>
        <v>União Europeia</v>
      </c>
      <c r="C28" s="4">
        <v>2.3626531999999996</v>
      </c>
      <c r="D28" s="4">
        <v>4.4702184999999997</v>
      </c>
      <c r="E28" s="4">
        <f>IFERROR(IF(ABS((D28-C28)/C28)*100&gt;500,"-",((D28-C28)/C28)*100),0)</f>
        <v>89.203328698431079</v>
      </c>
      <c r="F28" s="4">
        <v>8.88136905</v>
      </c>
      <c r="G28" s="4">
        <v>7.5050477100000004</v>
      </c>
      <c r="H28" s="4">
        <f t="shared" si="8"/>
        <v>-15.496725023491727</v>
      </c>
      <c r="I28" s="4">
        <v>11.244022250000002</v>
      </c>
      <c r="J28" s="4">
        <v>11.975266210000001</v>
      </c>
      <c r="K28" s="4">
        <f t="shared" si="9"/>
        <v>6.5034019298565378</v>
      </c>
      <c r="L28" s="4">
        <f t="shared" si="10"/>
        <v>0.13256421140126123</v>
      </c>
    </row>
    <row r="29" spans="2:12" ht="14.1" customHeight="1">
      <c r="B29" s="165" t="str">
        <f>IF(Indice_index!$Z$1=1,"Outras transferências","Other transfers")</f>
        <v>Outras transferências</v>
      </c>
      <c r="C29" s="4">
        <v>2.7121164900000005</v>
      </c>
      <c r="D29" s="4">
        <v>3.0146328599999999</v>
      </c>
      <c r="E29" s="4">
        <f>IFERROR(IF(ABS((D29-C29)/C29)*100&gt;500,"-",((D29-C29)/C29)*100),0)</f>
        <v>11.154254292373675</v>
      </c>
      <c r="F29" s="4">
        <v>1.7990000000001061E-2</v>
      </c>
      <c r="G29" s="4">
        <v>3.6999999999931532E-4</v>
      </c>
      <c r="H29" s="4">
        <f t="shared" si="8"/>
        <v>-97.943301834356348</v>
      </c>
      <c r="I29" s="4">
        <v>2.7301064900000007</v>
      </c>
      <c r="J29" s="4">
        <v>3.0150028599999992</v>
      </c>
      <c r="K29" s="4">
        <f t="shared" si="9"/>
        <v>10.43535741347578</v>
      </c>
      <c r="L29" s="4">
        <f t="shared" si="10"/>
        <v>5.1647691722652732E-2</v>
      </c>
    </row>
    <row r="30" spans="2:12" ht="14.1" customHeight="1">
      <c r="B30" s="121" t="str">
        <f>IF(Indice_index!$Z$1=1,"Outras receitas correntes","Other current revenue")</f>
        <v>Outras receitas correntes</v>
      </c>
      <c r="C30" s="4">
        <v>8.6650865600000007</v>
      </c>
      <c r="D30" s="4">
        <v>8.2406884199999997</v>
      </c>
      <c r="E30" s="4">
        <f>IFERROR(IF(ABS((D30-C30)/C30)*100&gt;500,"-",((D30-C30)/C30)*100),0)</f>
        <v>-4.8977945812926871</v>
      </c>
      <c r="F30" s="4">
        <v>19.340276330000002</v>
      </c>
      <c r="G30" s="4">
        <v>16.778974420000001</v>
      </c>
      <c r="H30" s="4">
        <f t="shared" si="8"/>
        <v>-13.243357366238834</v>
      </c>
      <c r="I30" s="4">
        <v>28.005362889999997</v>
      </c>
      <c r="J30" s="4">
        <v>25.019662840000002</v>
      </c>
      <c r="K30" s="4">
        <f t="shared" si="9"/>
        <v>-10.661172510876881</v>
      </c>
      <c r="L30" s="4">
        <f t="shared" si="10"/>
        <v>-0.54126528800177209</v>
      </c>
    </row>
    <row r="31" spans="2:12" ht="14.1" customHeight="1">
      <c r="B31" s="121" t="str">
        <f>IF(Indice_index!$Z$1=1,"Diferenças de consolidação","Consolidation differences")</f>
        <v>Diferenças de consolidação</v>
      </c>
      <c r="C31" s="4"/>
      <c r="D31" s="4">
        <v>2.8567810000000003E-2</v>
      </c>
      <c r="E31" s="4"/>
      <c r="F31" s="4">
        <v>5.1254098200000016</v>
      </c>
      <c r="G31" s="4">
        <v>28.132699640000013</v>
      </c>
      <c r="H31" s="4">
        <f t="shared" si="8"/>
        <v>448.88683301426238</v>
      </c>
      <c r="I31" s="4">
        <v>5.1229916100000139</v>
      </c>
      <c r="J31" s="4">
        <v>28.161267450000025</v>
      </c>
      <c r="K31" s="4">
        <f t="shared" si="9"/>
        <v>449.7035637347052</v>
      </c>
      <c r="L31" s="4">
        <f t="shared" si="10"/>
        <v>4.1765143178404323</v>
      </c>
    </row>
    <row r="32" spans="2:12" ht="14.1" customHeight="1">
      <c r="B32" s="167" t="str">
        <f>IF(Indice_index!$Z$1=1,"Receita de capital","Capital revenue")</f>
        <v>Receita de capital</v>
      </c>
      <c r="C32" s="128">
        <f>+C33+C34+C41+C42</f>
        <v>34.656637590000003</v>
      </c>
      <c r="D32" s="128">
        <f>+D33+D34+D41+D42</f>
        <v>55.970984759999993</v>
      </c>
      <c r="E32" s="128">
        <f>IFERROR(IF(ABS((D32-C32)/C32)*100&gt;500,"-",((D32-C32)/C32)*100),0)</f>
        <v>61.501486157301478</v>
      </c>
      <c r="F32" s="128">
        <f>+F33+F34+F41+F42</f>
        <v>45.614179680000007</v>
      </c>
      <c r="G32" s="128">
        <f>+G33+G34+G41+G42</f>
        <v>9.3958346100000014</v>
      </c>
      <c r="H32" s="128">
        <f t="shared" si="8"/>
        <v>-79.401504804174522</v>
      </c>
      <c r="I32" s="128">
        <f>+I33+I34+I41+I42</f>
        <v>80.270817269999981</v>
      </c>
      <c r="J32" s="128">
        <f>+J33+J34+J41+J42</f>
        <v>65.366819370000002</v>
      </c>
      <c r="K32" s="128">
        <f t="shared" si="9"/>
        <v>-18.567143585779991</v>
      </c>
      <c r="L32" s="128">
        <f t="shared" si="10"/>
        <v>-2.7018845097052897</v>
      </c>
    </row>
    <row r="33" spans="2:12" ht="14.1" customHeight="1">
      <c r="B33" s="121" t="str">
        <f>IF(Indice_index!$Z$1=1,"Venda de bens de investimento","Sale of investment goods")</f>
        <v>Venda de bens de investimento</v>
      </c>
      <c r="C33" s="4">
        <v>7.3565329999999984E-2</v>
      </c>
      <c r="D33" s="4">
        <v>7.8651910000000005E-2</v>
      </c>
      <c r="E33" s="4">
        <f>IFERROR(IF(ABS((D33-C33)/C33)*100&gt;500,"-",((D33-C33)/C33)*100),0)</f>
        <v>6.9143712126351122</v>
      </c>
      <c r="F33" s="4">
        <v>0.54339480000000007</v>
      </c>
      <c r="G33" s="4">
        <v>0.35222799999999999</v>
      </c>
      <c r="H33" s="4">
        <f t="shared" si="8"/>
        <v>-35.180093736634959</v>
      </c>
      <c r="I33" s="4">
        <v>0.61696013000000005</v>
      </c>
      <c r="J33" s="4">
        <v>0.43087991000000003</v>
      </c>
      <c r="K33" s="4">
        <f t="shared" si="9"/>
        <v>-30.160817685253015</v>
      </c>
      <c r="L33" s="4">
        <f t="shared" si="10"/>
        <v>-3.3733718117375279E-2</v>
      </c>
    </row>
    <row r="34" spans="2:12" ht="14.1" customHeight="1">
      <c r="B34" s="121" t="str">
        <f>IF(Indice_index!$Z$1=1,"Transferências de capital","Capital transfers")</f>
        <v>Transferências de capital</v>
      </c>
      <c r="C34" s="4">
        <f>+C35+C38+C39+C40</f>
        <v>34.488198150000002</v>
      </c>
      <c r="D34" s="4">
        <f>+D35+D38+D39+D40</f>
        <v>55.812757239999996</v>
      </c>
      <c r="E34" s="4">
        <f>IFERROR(IF(ABS((D34-C34)/C34)*100&gt;500,"-",((D34-C34)/C34)*100),0)</f>
        <v>61.831467672659471</v>
      </c>
      <c r="F34" s="4">
        <f>+F35+F38+F39+F40</f>
        <v>40.05323911</v>
      </c>
      <c r="G34" s="4">
        <f>+G35+G38+G39+G40</f>
        <v>8.5965742000000009</v>
      </c>
      <c r="H34" s="4">
        <f t="shared" si="8"/>
        <v>-78.53713110095579</v>
      </c>
      <c r="I34" s="4">
        <f>+I35+I38+I39+I40</f>
        <v>74.541437259999995</v>
      </c>
      <c r="J34" s="4">
        <f>+J35+J38+J39+J40</f>
        <v>64.409331439999988</v>
      </c>
      <c r="K34" s="4">
        <f t="shared" si="9"/>
        <v>-13.592581780599822</v>
      </c>
      <c r="L34" s="4">
        <f t="shared" si="10"/>
        <v>-1.8368078115304127</v>
      </c>
    </row>
    <row r="35" spans="2:12" ht="14.1" customHeight="1">
      <c r="B35" s="165" t="str">
        <f>IF(Indice_index!$Z$1=1,"Administração Central","Central Administration")</f>
        <v>Administração Central</v>
      </c>
      <c r="C35" s="4">
        <v>28.322942749999999</v>
      </c>
      <c r="D35" s="4">
        <v>30.26128125</v>
      </c>
      <c r="E35" s="4">
        <f>IFERROR(IF(ABS((D35-C35)/C35)*100&gt;500,"-",((D35-C35)/C35)*100),0)</f>
        <v>6.8437044734696588</v>
      </c>
      <c r="F35" s="4">
        <v>27.271150219999999</v>
      </c>
      <c r="G35" s="4">
        <v>0.24729671</v>
      </c>
      <c r="H35" s="4">
        <f t="shared" si="8"/>
        <v>-99.093192960307775</v>
      </c>
      <c r="I35" s="4">
        <v>55.594092969999998</v>
      </c>
      <c r="J35" s="4">
        <v>30.50857796</v>
      </c>
      <c r="K35" s="4">
        <f t="shared" si="9"/>
        <v>-45.122626649447788</v>
      </c>
      <c r="L35" s="4">
        <f t="shared" si="10"/>
        <v>-4.547649890872477</v>
      </c>
    </row>
    <row r="36" spans="2:12" ht="14.1" customHeight="1">
      <c r="B36" s="309" t="str">
        <f>IF(Indice_index!$Z$1=1,"dos quais:","of which:")</f>
        <v>dos quais:</v>
      </c>
      <c r="C36" s="4"/>
      <c r="D36" s="4"/>
      <c r="E36" s="4"/>
      <c r="F36" s="4"/>
      <c r="G36" s="4"/>
      <c r="H36" s="4"/>
      <c r="I36" s="4"/>
      <c r="J36" s="4"/>
      <c r="K36" s="4"/>
      <c r="L36" s="4"/>
    </row>
    <row r="37" spans="2:12" ht="14.1" customHeight="1">
      <c r="B37" s="311" t="str">
        <f>IF(Indice_index!$Z$1=1,"Transferências do Orçamento do Estado","State Budget tranfers")</f>
        <v>Transferências do Orçamento do Estado</v>
      </c>
      <c r="C37" s="4">
        <v>28.322942749999999</v>
      </c>
      <c r="D37" s="4">
        <v>30.26128125</v>
      </c>
      <c r="E37" s="4">
        <f>IFERROR(IF(ABS((D37-C37)/C37)*100&gt;500,"-",((D37-C37)/C37)*100),0)</f>
        <v>6.8437044734696588</v>
      </c>
      <c r="F37" s="4">
        <v>27.271150219999999</v>
      </c>
      <c r="G37" s="4">
        <v>0</v>
      </c>
      <c r="H37" s="4">
        <f>IFERROR(IF(ABS((G37-F37)/F37)*100&gt;500,"-",((G37-F37)/F37)*100),0)</f>
        <v>-100</v>
      </c>
      <c r="I37" s="4">
        <v>55.594092969999998</v>
      </c>
      <c r="J37" s="4">
        <v>30.26128125</v>
      </c>
      <c r="K37" s="4">
        <f>IFERROR(IF(ABS((J37-I37)/I37)*100&gt;500,"-",((J37-I37)/I37)*100),0)</f>
        <v>-45.567452163794151</v>
      </c>
      <c r="L37" s="4">
        <f>(J37-I37)/I35*100</f>
        <v>-45.567452163794151</v>
      </c>
    </row>
    <row r="38" spans="2:12" ht="14.1" customHeight="1">
      <c r="B38" s="165" t="str">
        <f>IF(Indice_index!$Z$1=1,"Outros subsetores das Administrações Públicas","Other General Government subsectors")</f>
        <v>Outros subsetores das Administrações Públicas</v>
      </c>
      <c r="C38" s="4">
        <v>0</v>
      </c>
      <c r="D38" s="4">
        <v>1.6000000000000001E-3</v>
      </c>
      <c r="E38" s="4">
        <f>IFERROR(IF(ABS((D38-C38)/C38)*100&gt;500,"-",((D38-C38)/C38)*100),0)</f>
        <v>0</v>
      </c>
      <c r="F38" s="4">
        <v>0</v>
      </c>
      <c r="G38" s="4">
        <v>0</v>
      </c>
      <c r="H38" s="4">
        <f>IFERROR(IF(ABS((G38-F38)/F38)*100&gt;500,"-",((G38-F38)/F38)*100),0)</f>
        <v>0</v>
      </c>
      <c r="I38" s="4">
        <v>0</v>
      </c>
      <c r="J38" s="4">
        <v>1.6000000000000001E-3</v>
      </c>
      <c r="K38" s="4">
        <f>IFERROR(IF(ABS((J38-I38)/I38)*100&gt;500,"-",((J38-I38)/I38)*100),0)</f>
        <v>0</v>
      </c>
      <c r="L38" s="4">
        <f>IFERROR((J38-I38)/$I$43*100,"-")</f>
        <v>2.9005742248047886E-4</v>
      </c>
    </row>
    <row r="39" spans="2:12" ht="14.1" customHeight="1">
      <c r="B39" s="165" t="str">
        <f>IF(Indice_index!$Z$1=1,"União Europeia","European Union")</f>
        <v>União Europeia</v>
      </c>
      <c r="C39" s="4">
        <v>6.0390071500000007</v>
      </c>
      <c r="D39" s="4">
        <v>25.544875989999998</v>
      </c>
      <c r="E39" s="4">
        <f>IFERROR(IF(ABS((D39-C39)/C39)*100&gt;500,"-",((D39-C39)/C39)*100),0)</f>
        <v>322.99794246807602</v>
      </c>
      <c r="F39" s="4">
        <v>12.782045829999999</v>
      </c>
      <c r="G39" s="4">
        <v>8.3492774900000004</v>
      </c>
      <c r="H39" s="4">
        <f>IFERROR(IF(ABS((G39-F39)/F39)*100&gt;500,"-",((G39-F39)/F39)*100),0)</f>
        <v>-34.679646740086831</v>
      </c>
      <c r="I39" s="4">
        <v>18.821052980000001</v>
      </c>
      <c r="J39" s="4">
        <v>33.89415348</v>
      </c>
      <c r="K39" s="4">
        <f>IFERROR(IF(ABS((J39-I39)/I39)*100&gt;500,"-",((J39-I39)/I39)*100),0)</f>
        <v>80.086382605783399</v>
      </c>
      <c r="L39" s="4">
        <f>IFERROR((J39-I39)/$I$43*100,"-")</f>
        <v>2.7325404248870102</v>
      </c>
    </row>
    <row r="40" spans="2:12" ht="14.1" customHeight="1">
      <c r="B40" s="165" t="str">
        <f>IF(Indice_index!$Z$1=1,"Outras transferências","Other transfers")</f>
        <v>Outras transferências</v>
      </c>
      <c r="C40" s="4">
        <v>0.12624824999999973</v>
      </c>
      <c r="D40" s="4">
        <v>4.9999999999990052E-3</v>
      </c>
      <c r="E40" s="4">
        <f>IFERROR(IF(ABS((D40-C40)/C40)*100&gt;500,"-",((D40-C40)/C40)*100),0)</f>
        <v>-96.039549063057095</v>
      </c>
      <c r="F40" s="4">
        <v>4.3060000001204912E-5</v>
      </c>
      <c r="G40" s="4">
        <v>0</v>
      </c>
      <c r="H40" s="4">
        <f>IFERROR(IF(ABS((G40-F40)/F40)*100&gt;500,"-",((G40-F40)/F40)*100),0)</f>
        <v>-100</v>
      </c>
      <c r="I40" s="4">
        <v>0.12629130999999916</v>
      </c>
      <c r="J40" s="4">
        <v>4.9999999999954525E-3</v>
      </c>
      <c r="K40" s="4">
        <f>IFERROR(IF(ABS((J40-I40)/I40)*100&gt;500,"-",((J40-I40)/I40)*100),0)</f>
        <v>-96.040899409472047</v>
      </c>
      <c r="L40" s="4">
        <f>IFERROR((J40-I40)/$I$43*100,"-")</f>
        <v>-2.1988402967426126E-2</v>
      </c>
    </row>
    <row r="41" spans="2:12" ht="14.1" customHeight="1">
      <c r="B41" s="121" t="str">
        <f>IF(Indice_index!$Z$1=1,"Outras receitas de capital","Other capital revenue")</f>
        <v>Outras receitas de capital</v>
      </c>
      <c r="C41" s="4">
        <v>9.4874109999999998E-2</v>
      </c>
      <c r="D41" s="4">
        <v>7.9575610000000005E-2</v>
      </c>
      <c r="E41" s="4">
        <f>IFERROR(IF(ABS((D41-C41)/C41)*100&gt;500,"-",((D41-C41)/C41)*100),0)</f>
        <v>-16.125052451084908</v>
      </c>
      <c r="F41" s="4">
        <v>1.47411E-2</v>
      </c>
      <c r="G41" s="4">
        <v>4.0401400000000002E-3</v>
      </c>
      <c r="H41" s="4">
        <f>IFERROR(IF(ABS((G41-F41)/F41)*100&gt;500,"-",((G41-F41)/F41)*100),0)</f>
        <v>-72.592683042649455</v>
      </c>
      <c r="I41" s="4">
        <v>0.10961521</v>
      </c>
      <c r="J41" s="4">
        <v>8.3615750000000003E-2</v>
      </c>
      <c r="K41" s="4">
        <f>IFERROR(IF(ABS((J41-I41)/I41)*100&gt;500,"-",((J41-I41)/I41)*100),0)</f>
        <v>-23.718843397736499</v>
      </c>
      <c r="L41" s="4">
        <f>IFERROR((J41-I41)/$I$43*100,"-")</f>
        <v>-4.7133352209276945E-3</v>
      </c>
    </row>
    <row r="42" spans="2:12" ht="14.1" customHeight="1">
      <c r="B42" s="121" t="str">
        <f>IF(Indice_index!$Z$1=1,"Diferenças de consolidação","Consolidation differences")</f>
        <v>Diferenças de consolidação</v>
      </c>
      <c r="C42" s="4"/>
      <c r="D42" s="4"/>
      <c r="E42" s="4"/>
      <c r="F42" s="4">
        <v>5.0028046699999997</v>
      </c>
      <c r="G42" s="4">
        <v>0.44299226999999974</v>
      </c>
      <c r="H42" s="4"/>
      <c r="I42" s="4">
        <v>5.0028046699999962</v>
      </c>
      <c r="J42" s="4">
        <v>0.44299226999999775</v>
      </c>
      <c r="K42" s="4"/>
      <c r="L42" s="4"/>
    </row>
    <row r="43" spans="2:12" ht="14.1" customHeight="1">
      <c r="B43" s="29" t="str">
        <f>IF(Indice_index!$Z$1=1,"Receita efetiva","Effective revenue")</f>
        <v>Receita efetiva</v>
      </c>
      <c r="C43" s="18">
        <f>+C32+C13</f>
        <v>263.30850598000006</v>
      </c>
      <c r="D43" s="18">
        <f>+D32+D13</f>
        <v>269.55659668999999</v>
      </c>
      <c r="E43" s="18">
        <f t="shared" ref="E43:E55" si="11">IFERROR(IF(ABS((D43-C43)/C43)*100&gt;500,"-",((D43-C43)/C43)*100),0)</f>
        <v>2.3729163958244897</v>
      </c>
      <c r="F43" s="18">
        <f>+F32+F13</f>
        <v>288.30882568999999</v>
      </c>
      <c r="G43" s="18">
        <f>+G32+G13</f>
        <v>276.34923395999999</v>
      </c>
      <c r="H43" s="18">
        <f t="shared" ref="H43:H55" si="12">IFERROR(IF(ABS((G43-F43)/F43)*100&gt;500,"-",((G43-F43)/F43)*100),0)</f>
        <v>-4.1481878681228377</v>
      </c>
      <c r="I43" s="18">
        <f>+I32+I13</f>
        <v>551.61491346000003</v>
      </c>
      <c r="J43" s="18">
        <f>+J32+J13</f>
        <v>545.9058306500001</v>
      </c>
      <c r="K43" s="18">
        <f t="shared" ref="K43:K55" si="13">IFERROR(IF(ABS((J43-I43)/I43)*100&gt;500,"-",((J43-I43)/I43)*100),0)</f>
        <v>-1.0349761528726176</v>
      </c>
      <c r="L43" s="18"/>
    </row>
    <row r="44" spans="2:12" ht="14.1" customHeight="1">
      <c r="B44" s="167" t="str">
        <f>IF(Indice_index!$Z$1=1,"Despesa corrente","Current expenditure")</f>
        <v>Despesa corrente</v>
      </c>
      <c r="C44" s="128">
        <f>+C45+C49+C50+C51+C54+C55+C56</f>
        <v>208.29177254999999</v>
      </c>
      <c r="D44" s="128">
        <f>+D45+D49+D50+D51+D54+D55+D56</f>
        <v>215.98338104000001</v>
      </c>
      <c r="E44" s="128">
        <f t="shared" si="11"/>
        <v>3.6927087401657537</v>
      </c>
      <c r="F44" s="128">
        <f>+F45+F49+F50+F51+F54+F55+F56</f>
        <v>207.05799344999997</v>
      </c>
      <c r="G44" s="128">
        <f>+G45+G49+G50+G51+G54+G55+G56</f>
        <v>225.11385632000002</v>
      </c>
      <c r="H44" s="128">
        <f t="shared" si="12"/>
        <v>8.7201960036187423</v>
      </c>
      <c r="I44" s="128">
        <f>+I45+I49+I50+I51+I54+I55+I56</f>
        <v>415.34734778999996</v>
      </c>
      <c r="J44" s="128">
        <f>+J45+J49+J50+J51+J54+J55+J56</f>
        <v>441.09723736000001</v>
      </c>
      <c r="K44" s="128">
        <f t="shared" si="13"/>
        <v>6.1996037068760144</v>
      </c>
      <c r="L44" s="128">
        <f t="shared" ref="L44:L62" si="14">IFERROR((J44-I44)/$I$64*100,"-")</f>
        <v>4.8663591034280458</v>
      </c>
    </row>
    <row r="45" spans="2:12" ht="14.1" customHeight="1">
      <c r="B45" s="121" t="str">
        <f>IF(Indice_index!$Z$1=1,"Despesas com o pessoal","Employees")</f>
        <v>Despesas com o pessoal</v>
      </c>
      <c r="C45" s="4">
        <f>+C46+C47+C48</f>
        <v>112.33608580999999</v>
      </c>
      <c r="D45" s="4">
        <f>+D46+D47+D48</f>
        <v>115.57515577999999</v>
      </c>
      <c r="E45" s="4">
        <f t="shared" si="11"/>
        <v>2.8833744265208017</v>
      </c>
      <c r="F45" s="4">
        <f>+F46+F47+F48</f>
        <v>112.06023364999999</v>
      </c>
      <c r="G45" s="4">
        <f>+G46+G47+G48</f>
        <v>118.69732797</v>
      </c>
      <c r="H45" s="4">
        <f t="shared" si="12"/>
        <v>5.9227917913590913</v>
      </c>
      <c r="I45" s="4">
        <f>+I46+I47+I48</f>
        <v>224.39631945999997</v>
      </c>
      <c r="J45" s="4">
        <f>+J46+J47+J48</f>
        <v>234.27248374999999</v>
      </c>
      <c r="K45" s="4">
        <f t="shared" si="13"/>
        <v>4.401214919106776</v>
      </c>
      <c r="L45" s="4">
        <f t="shared" si="14"/>
        <v>1.8664531305635608</v>
      </c>
    </row>
    <row r="46" spans="2:12" ht="14.1" customHeight="1">
      <c r="B46" s="165" t="str">
        <f>IF(Indice_index!$Z$1=1,"Remunerações certas e permanentes","Certain and permanent wages")</f>
        <v>Remunerações certas e permanentes</v>
      </c>
      <c r="C46" s="4">
        <v>81.388627509999992</v>
      </c>
      <c r="D46" s="4">
        <v>82.281533629999984</v>
      </c>
      <c r="E46" s="4">
        <f t="shared" si="11"/>
        <v>1.0970895410298978</v>
      </c>
      <c r="F46" s="4">
        <v>85.480515089999983</v>
      </c>
      <c r="G46" s="4">
        <v>86.142084359999998</v>
      </c>
      <c r="H46" s="4">
        <f t="shared" si="12"/>
        <v>0.77394160447380078</v>
      </c>
      <c r="I46" s="4">
        <v>166.86914259999998</v>
      </c>
      <c r="J46" s="4">
        <v>168.42361798999997</v>
      </c>
      <c r="K46" s="4">
        <f t="shared" si="13"/>
        <v>0.93155353097618987</v>
      </c>
      <c r="L46" s="4">
        <f t="shared" si="14"/>
        <v>0.29377351093553894</v>
      </c>
    </row>
    <row r="47" spans="2:12" ht="14.1" customHeight="1">
      <c r="B47" s="165" t="str">
        <f>IF(Indice_index!$Z$1=1,"Abonos variáveis ou eventuais","Variable or contingent bonuses")</f>
        <v>Abonos variáveis ou eventuais</v>
      </c>
      <c r="C47" s="4">
        <v>9.9311707499999979</v>
      </c>
      <c r="D47" s="4">
        <v>10.53901155</v>
      </c>
      <c r="E47" s="4">
        <f t="shared" si="11"/>
        <v>6.1205351846357274</v>
      </c>
      <c r="F47" s="4">
        <v>12.004863859999997</v>
      </c>
      <c r="G47" s="4">
        <v>13.062335490000001</v>
      </c>
      <c r="H47" s="4">
        <f t="shared" si="12"/>
        <v>8.8086932291125883</v>
      </c>
      <c r="I47" s="4">
        <v>21.93603461</v>
      </c>
      <c r="J47" s="4">
        <v>23.601347039999993</v>
      </c>
      <c r="K47" s="4">
        <f t="shared" si="13"/>
        <v>7.5916748838499082</v>
      </c>
      <c r="L47" s="4">
        <f t="shared" si="14"/>
        <v>0.31472011876990474</v>
      </c>
    </row>
    <row r="48" spans="2:12" ht="14.1" customHeight="1">
      <c r="B48" s="165" t="str">
        <f>IF(Indice_index!$Z$1=1,"Segurança Social","Social security")</f>
        <v>Segurança Social</v>
      </c>
      <c r="C48" s="4">
        <v>21.016287549999994</v>
      </c>
      <c r="D48" s="4">
        <v>22.754610600000007</v>
      </c>
      <c r="E48" s="4">
        <f t="shared" si="11"/>
        <v>8.271313598390563</v>
      </c>
      <c r="F48" s="4">
        <v>14.574854700000003</v>
      </c>
      <c r="G48" s="4">
        <v>19.492908120000003</v>
      </c>
      <c r="H48" s="4">
        <f t="shared" si="12"/>
        <v>33.743413030388552</v>
      </c>
      <c r="I48" s="4">
        <v>35.591142249999997</v>
      </c>
      <c r="J48" s="4">
        <v>42.247518720000002</v>
      </c>
      <c r="K48" s="4">
        <f t="shared" si="13"/>
        <v>18.702340102613611</v>
      </c>
      <c r="L48" s="4">
        <f t="shared" si="14"/>
        <v>1.2579595008581119</v>
      </c>
    </row>
    <row r="49" spans="2:12" ht="14.1" customHeight="1">
      <c r="B49" s="121" t="str">
        <f>IF(Indice_index!$Z$1=1,"Aquisição de bens e serviços","Purchase of goods and services")</f>
        <v>Aquisição de bens e serviços</v>
      </c>
      <c r="C49" s="4">
        <v>53.729698320000004</v>
      </c>
      <c r="D49" s="4">
        <v>65.172984819999996</v>
      </c>
      <c r="E49" s="4">
        <f t="shared" si="11"/>
        <v>21.297879678844978</v>
      </c>
      <c r="F49" s="4">
        <v>57.067373029999999</v>
      </c>
      <c r="G49" s="4">
        <v>64.778153750000001</v>
      </c>
      <c r="H49" s="4">
        <f t="shared" si="12"/>
        <v>13.511714856659843</v>
      </c>
      <c r="I49" s="4">
        <v>110.79707135</v>
      </c>
      <c r="J49" s="4">
        <v>129.95113857000004</v>
      </c>
      <c r="K49" s="4">
        <f t="shared" si="13"/>
        <v>17.287521219305265</v>
      </c>
      <c r="L49" s="4">
        <f t="shared" si="14"/>
        <v>3.6198434610886667</v>
      </c>
    </row>
    <row r="50" spans="2:12" ht="14.1" customHeight="1">
      <c r="B50" s="121" t="str">
        <f>IF(Indice_index!$Z$1=1,"Juros e outros encargos","Interests and other charges")</f>
        <v>Juros e outros encargos</v>
      </c>
      <c r="C50" s="4">
        <v>6.9425303200000004</v>
      </c>
      <c r="D50" s="4">
        <v>4.7363928299999998</v>
      </c>
      <c r="E50" s="4">
        <f t="shared" si="11"/>
        <v>-31.777138713309938</v>
      </c>
      <c r="F50" s="4">
        <v>18.865531130000004</v>
      </c>
      <c r="G50" s="4">
        <v>18.871698150000004</v>
      </c>
      <c r="H50" s="4">
        <f t="shared" si="12"/>
        <v>3.2689352647976393E-2</v>
      </c>
      <c r="I50" s="4">
        <v>25.808061450000004</v>
      </c>
      <c r="J50" s="4">
        <v>23.608090979999997</v>
      </c>
      <c r="K50" s="4">
        <f t="shared" si="13"/>
        <v>-8.5243538119365674</v>
      </c>
      <c r="L50" s="4">
        <f t="shared" si="14"/>
        <v>-0.4157628053065624</v>
      </c>
    </row>
    <row r="51" spans="2:12" ht="14.1" customHeight="1">
      <c r="B51" s="121" t="str">
        <f>IF(Indice_index!$Z$1=1,"Transferências correntes","Current transfers")</f>
        <v>Transferências correntes</v>
      </c>
      <c r="C51" s="4">
        <f>+C52+C53</f>
        <v>26.11766746</v>
      </c>
      <c r="D51" s="4">
        <f>+D52+D53</f>
        <v>25.095508670000001</v>
      </c>
      <c r="E51" s="4">
        <f t="shared" si="11"/>
        <v>-3.9136679857244761</v>
      </c>
      <c r="F51" s="4">
        <f>+F52+F53</f>
        <v>17.072281040000004</v>
      </c>
      <c r="G51" s="4">
        <f>+G52+G53</f>
        <v>17.194528350000002</v>
      </c>
      <c r="H51" s="4">
        <f t="shared" si="12"/>
        <v>0.71605727268415886</v>
      </c>
      <c r="I51" s="4">
        <f>+I52+I53</f>
        <v>43.189948499999993</v>
      </c>
      <c r="J51" s="4">
        <f>+J52+J53</f>
        <v>42.290037020000007</v>
      </c>
      <c r="K51" s="4">
        <f t="shared" si="13"/>
        <v>-2.0836132277397508</v>
      </c>
      <c r="L51" s="4">
        <f t="shared" si="14"/>
        <v>-0.17007033801338856</v>
      </c>
    </row>
    <row r="52" spans="2:12" ht="14.1" customHeight="1">
      <c r="B52" s="165" t="str">
        <f>IF(Indice_index!$Z$1=1,"Administrações Públicas","General Government")</f>
        <v>Administrações Públicas</v>
      </c>
      <c r="C52" s="4">
        <v>0.46132599999999996</v>
      </c>
      <c r="D52" s="4">
        <v>0.51777669000000004</v>
      </c>
      <c r="E52" s="4">
        <f t="shared" si="11"/>
        <v>12.236615755452778</v>
      </c>
      <c r="F52" s="4">
        <v>0.39144341999999999</v>
      </c>
      <c r="G52" s="4">
        <v>0.70452486000000003</v>
      </c>
      <c r="H52" s="4">
        <f t="shared" si="12"/>
        <v>79.981275454828193</v>
      </c>
      <c r="I52" s="4">
        <v>0.85276942</v>
      </c>
      <c r="J52" s="4">
        <v>1.2223015500000001</v>
      </c>
      <c r="K52" s="4">
        <f t="shared" si="13"/>
        <v>43.333182608729103</v>
      </c>
      <c r="L52" s="4">
        <f t="shared" si="14"/>
        <v>6.9836262402062518E-2</v>
      </c>
    </row>
    <row r="53" spans="2:12" ht="14.1" customHeight="1">
      <c r="B53" s="165" t="str">
        <f>IF(Indice_index!$Z$1=1,"Outras transferências","Other transfers")</f>
        <v>Outras transferências</v>
      </c>
      <c r="C53" s="4">
        <v>25.65634146</v>
      </c>
      <c r="D53" s="4">
        <v>24.577731979999999</v>
      </c>
      <c r="E53" s="4">
        <f>IFERROR(IF(ABS((D53-C53)/C53)*100&gt;500,"-",((D53-C53)/C53)*100),0)</f>
        <v>-4.2040658122734573</v>
      </c>
      <c r="F53" s="4">
        <v>16.680837620000002</v>
      </c>
      <c r="G53" s="4">
        <v>16.490003490000003</v>
      </c>
      <c r="H53" s="4">
        <f t="shared" si="12"/>
        <v>-1.1440320585052186</v>
      </c>
      <c r="I53" s="4">
        <v>42.337179079999991</v>
      </c>
      <c r="J53" s="4">
        <v>41.067735470000009</v>
      </c>
      <c r="K53" s="4">
        <f>IFERROR(IF(ABS((J53-I53)/I53)*100&gt;500,"-",((J53-I53)/I53)*100),0)</f>
        <v>-2.9984133038274741</v>
      </c>
      <c r="L53" s="4">
        <f>IFERROR((J53-I53)/$I$64*100,"-")</f>
        <v>-0.23990660041545031</v>
      </c>
    </row>
    <row r="54" spans="2:12" ht="14.1" customHeight="1">
      <c r="B54" s="121" t="str">
        <f>IF(Indice_index!$Z$1=1,"Subsídios","Subsidies")</f>
        <v>Subsídios</v>
      </c>
      <c r="C54" s="4">
        <v>6.1877173500000007</v>
      </c>
      <c r="D54" s="4">
        <v>2.3822192700000002</v>
      </c>
      <c r="E54" s="4">
        <f>IFERROR(IF(ABS((D54-C54)/C54)*100&gt;500,"-",((D54-C54)/C54)*100),0)</f>
        <v>-61.50083891598571</v>
      </c>
      <c r="F54" s="4">
        <v>1.6189420999999997</v>
      </c>
      <c r="G54" s="4">
        <v>5.22340289</v>
      </c>
      <c r="H54" s="4">
        <f t="shared" si="12"/>
        <v>222.64297098704154</v>
      </c>
      <c r="I54" s="4">
        <v>7.8066594499999997</v>
      </c>
      <c r="J54" s="4">
        <v>7.6056221600000002</v>
      </c>
      <c r="K54" s="4">
        <f>IFERROR(IF(ABS((J54-I54)/I54)*100&gt;500,"-",((J54-I54)/I54)*100),0)</f>
        <v>-2.5752025086735335</v>
      </c>
      <c r="L54" s="4">
        <f>IFERROR((J54-I54)/$I$64*100,"-")</f>
        <v>-3.7993158908914096E-2</v>
      </c>
    </row>
    <row r="55" spans="2:12" ht="14.1" customHeight="1">
      <c r="B55" s="121" t="str">
        <f>IF(Indice_index!$Z$1=1,"Outras despesas correntes","Other current expenditure")</f>
        <v>Outras despesas correntes</v>
      </c>
      <c r="C55" s="4">
        <v>2.9752630799999999</v>
      </c>
      <c r="D55" s="4">
        <v>3.02111967</v>
      </c>
      <c r="E55" s="4">
        <f t="shared" si="11"/>
        <v>1.5412616890335658</v>
      </c>
      <c r="F55" s="4">
        <v>0.36938022999999998</v>
      </c>
      <c r="G55" s="4">
        <v>0.34337517000000001</v>
      </c>
      <c r="H55" s="4">
        <f t="shared" si="12"/>
        <v>-7.0401872888540815</v>
      </c>
      <c r="I55" s="4">
        <v>3.3446433099999995</v>
      </c>
      <c r="J55" s="4">
        <v>3.3644948399999999</v>
      </c>
      <c r="K55" s="4">
        <f t="shared" si="13"/>
        <v>0.59353204990939368</v>
      </c>
      <c r="L55" s="4">
        <f t="shared" si="14"/>
        <v>3.7516539039851382E-3</v>
      </c>
    </row>
    <row r="56" spans="2:12" ht="14.1" customHeight="1">
      <c r="B56" s="121" t="str">
        <f>IF(Indice_index!$Z$1=1,"Diferenças de consolidação","Consolidation differences")</f>
        <v>Diferenças de consolidação</v>
      </c>
      <c r="C56" s="4">
        <v>2.8102099999876527E-3</v>
      </c>
      <c r="D56" s="4">
        <v>0</v>
      </c>
      <c r="E56" s="4"/>
      <c r="F56" s="4">
        <v>4.2522700000000007E-3</v>
      </c>
      <c r="G56" s="4">
        <v>5.3700399999999995E-3</v>
      </c>
      <c r="H56" s="4"/>
      <c r="I56" s="4">
        <v>4.6442700000000007E-3</v>
      </c>
      <c r="J56" s="4">
        <v>5.3700399999999995E-3</v>
      </c>
      <c r="K56" s="4"/>
      <c r="L56" s="4">
        <f t="shared" si="14"/>
        <v>1.3716010070232546E-4</v>
      </c>
    </row>
    <row r="57" spans="2:12" ht="14.1" customHeight="1">
      <c r="B57" s="167" t="str">
        <f>IF(Indice_index!$Z$1=1,"Despesa de capital","Capital expenditure")</f>
        <v>Despesa de capital</v>
      </c>
      <c r="C57" s="128">
        <f>+C58+C59+C62+C63</f>
        <v>96.089436750000004</v>
      </c>
      <c r="D57" s="128">
        <f>+D58+D59+D62+D63</f>
        <v>101.99673043</v>
      </c>
      <c r="E57" s="128">
        <f t="shared" ref="E57:E62" si="15">IFERROR(IF(ABS((D57-C57)/C57)*100&gt;500,"-",((D57-C57)/C57)*100),0)</f>
        <v>6.1477035143511705</v>
      </c>
      <c r="F57" s="128">
        <f>+F58+F59+F62+F63</f>
        <v>17.70397599</v>
      </c>
      <c r="G57" s="128">
        <f>+G58+G59+G62+G63</f>
        <v>9.7666233600000005</v>
      </c>
      <c r="H57" s="128">
        <f t="shared" ref="H57:H62" si="16">IFERROR(IF(ABS((G57-F57)/F57)*100&gt;500,"-",((G57-F57)/F57)*100),0)</f>
        <v>-44.833729070144315</v>
      </c>
      <c r="I57" s="128">
        <f>+I58+I59+I62+I63</f>
        <v>113.79341273999999</v>
      </c>
      <c r="J57" s="128">
        <f>+J58+J59+J62+J63</f>
        <v>111.76335379</v>
      </c>
      <c r="K57" s="128">
        <f t="shared" ref="K57:K62" si="17">IFERROR(IF(ABS((J57-I57)/I57)*100&gt;500,"-",((J57-I57)/I57)*100),0)</f>
        <v>-1.7839863495775119</v>
      </c>
      <c r="L57" s="128">
        <f t="shared" si="14"/>
        <v>-0.38365196965107018</v>
      </c>
    </row>
    <row r="58" spans="2:12" ht="14.1" customHeight="1">
      <c r="B58" s="121" t="str">
        <f>IF(Indice_index!$Z$1=1,"Aquisição de bens de capital","Purchase of capital goods")</f>
        <v>Aquisição de bens de capital</v>
      </c>
      <c r="C58" s="4">
        <v>23.765386800000002</v>
      </c>
      <c r="D58" s="4">
        <v>35.596781960000001</v>
      </c>
      <c r="E58" s="4">
        <f t="shared" si="15"/>
        <v>49.784147254022386</v>
      </c>
      <c r="F58" s="4">
        <v>14.257338560000001</v>
      </c>
      <c r="G58" s="4">
        <v>4.5481136599999994</v>
      </c>
      <c r="H58" s="4">
        <f t="shared" si="16"/>
        <v>-68.099841068794831</v>
      </c>
      <c r="I58" s="4">
        <v>38.022725359999995</v>
      </c>
      <c r="J58" s="4">
        <v>40.14489562</v>
      </c>
      <c r="K58" s="4">
        <f t="shared" si="17"/>
        <v>5.5813207493867152</v>
      </c>
      <c r="L58" s="4">
        <f t="shared" si="14"/>
        <v>0.40105968360373295</v>
      </c>
    </row>
    <row r="59" spans="2:12" ht="14.1" customHeight="1">
      <c r="B59" s="121" t="str">
        <f>IF(Indice_index!$Z$1=1,"Transferências de capital","Capital transfers")</f>
        <v>Transferências de capital</v>
      </c>
      <c r="C59" s="4">
        <f>+C60+C61</f>
        <v>72.278049949999996</v>
      </c>
      <c r="D59" s="4">
        <f>+D60+D61</f>
        <v>66.354115129999997</v>
      </c>
      <c r="E59" s="4">
        <f t="shared" si="15"/>
        <v>-8.1960357592630366</v>
      </c>
      <c r="F59" s="4">
        <f>+F60+F61</f>
        <v>3.44663743</v>
      </c>
      <c r="G59" s="4">
        <f>+G60+G61</f>
        <v>5.2185097000000003</v>
      </c>
      <c r="H59" s="4">
        <f t="shared" si="16"/>
        <v>51.408722442847733</v>
      </c>
      <c r="I59" s="4">
        <f>+I60+I61</f>
        <v>75.724687379999992</v>
      </c>
      <c r="J59" s="4">
        <f>+J60+J61</f>
        <v>71.572624829999995</v>
      </c>
      <c r="K59" s="4">
        <f t="shared" si="17"/>
        <v>-5.483102926743304</v>
      </c>
      <c r="L59" s="4">
        <f t="shared" si="14"/>
        <v>-0.7846801569097025</v>
      </c>
    </row>
    <row r="60" spans="2:12" ht="14.1" customHeight="1">
      <c r="B60" s="165" t="str">
        <f>IF(Indice_index!$Z$1=1,"Administrações Públicas","General Government")</f>
        <v>Administrações Públicas</v>
      </c>
      <c r="C60" s="4">
        <v>1.8739723400000001</v>
      </c>
      <c r="D60" s="4">
        <v>3.2009590500000002</v>
      </c>
      <c r="E60" s="4">
        <f t="shared" si="15"/>
        <v>70.811435242421993</v>
      </c>
      <c r="F60" s="4">
        <v>0.8577104499999999</v>
      </c>
      <c r="G60" s="4">
        <v>0.72608228000000008</v>
      </c>
      <c r="H60" s="4">
        <f t="shared" si="16"/>
        <v>-15.346457537039432</v>
      </c>
      <c r="I60" s="4">
        <v>2.7316827899999998</v>
      </c>
      <c r="J60" s="4">
        <v>3.9270413300000007</v>
      </c>
      <c r="K60" s="4">
        <f t="shared" si="17"/>
        <v>43.759053736982437</v>
      </c>
      <c r="L60" s="4">
        <f t="shared" si="14"/>
        <v>0.22590558678615141</v>
      </c>
    </row>
    <row r="61" spans="2:12" ht="14.1" customHeight="1">
      <c r="B61" s="165" t="str">
        <f>IF(Indice_index!$Z$1=1,"Outras transferências","Other transfers")</f>
        <v>Outras transferências</v>
      </c>
      <c r="C61" s="4">
        <v>70.404077610000002</v>
      </c>
      <c r="D61" s="4">
        <v>63.153156079999995</v>
      </c>
      <c r="E61" s="4">
        <f t="shared" si="15"/>
        <v>-10.299007921339639</v>
      </c>
      <c r="F61" s="4">
        <v>2.5889269800000001</v>
      </c>
      <c r="G61" s="4">
        <v>4.4924274200000003</v>
      </c>
      <c r="H61" s="4">
        <f t="shared" si="16"/>
        <v>73.524686277555816</v>
      </c>
      <c r="I61" s="4">
        <v>72.993004589999998</v>
      </c>
      <c r="J61" s="4">
        <v>67.645583500000001</v>
      </c>
      <c r="K61" s="4">
        <f t="shared" si="17"/>
        <v>-7.3259363962839137</v>
      </c>
      <c r="L61" s="4">
        <f t="shared" si="14"/>
        <v>-1.0105857436958539</v>
      </c>
    </row>
    <row r="62" spans="2:12" ht="14.1" customHeight="1">
      <c r="B62" s="121" t="str">
        <f>IF(Indice_index!$Z$1=1,"Outras despesas de capital","Other capital expenditure")</f>
        <v>Outras despesas de capital</v>
      </c>
      <c r="C62" s="4">
        <v>4.5999999999999999E-2</v>
      </c>
      <c r="D62" s="4">
        <v>4.5833339999999993E-2</v>
      </c>
      <c r="E62" s="4">
        <f t="shared" si="15"/>
        <v>-0.36230434782609994</v>
      </c>
      <c r="F62" s="4">
        <v>0</v>
      </c>
      <c r="G62" s="4">
        <v>0</v>
      </c>
      <c r="H62" s="4">
        <f t="shared" si="16"/>
        <v>0</v>
      </c>
      <c r="I62" s="4">
        <v>4.5999999999999999E-2</v>
      </c>
      <c r="J62" s="4">
        <v>4.5833339999999993E-2</v>
      </c>
      <c r="K62" s="4">
        <f t="shared" si="17"/>
        <v>-0.36230434782609994</v>
      </c>
      <c r="L62" s="4">
        <f t="shared" si="14"/>
        <v>-3.1496345099756698E-5</v>
      </c>
    </row>
    <row r="63" spans="2:12" ht="14.1" customHeight="1">
      <c r="B63" s="121" t="str">
        <f>IF(Indice_index!$Z$1=1,"Diferenças de consolidação","Consolidation differences")</f>
        <v>Diferenças de consolidação</v>
      </c>
      <c r="C63" s="4">
        <v>0</v>
      </c>
      <c r="D63" s="4">
        <v>0</v>
      </c>
      <c r="E63" s="4"/>
      <c r="F63" s="4">
        <v>0</v>
      </c>
      <c r="G63" s="4">
        <v>0</v>
      </c>
      <c r="H63" s="4"/>
      <c r="I63" s="4">
        <v>0</v>
      </c>
      <c r="J63" s="4">
        <v>0</v>
      </c>
      <c r="K63" s="4"/>
      <c r="L63" s="4"/>
    </row>
    <row r="64" spans="2:12" ht="14.1" customHeight="1">
      <c r="B64" s="29" t="str">
        <f>IF(Indice_index!$Z$1=1,"Despesa efetiva","Effective expenditure")</f>
        <v>Despesa efetiva</v>
      </c>
      <c r="C64" s="18">
        <f>+C57+C44</f>
        <v>304.38120930000002</v>
      </c>
      <c r="D64" s="18">
        <f>+D57+D44</f>
        <v>317.98011147</v>
      </c>
      <c r="E64" s="18">
        <f>IFERROR(IF(ABS((D64-C64)/C64)*100&gt;500,"-",((D64-C64)/C64)*100),0)</f>
        <v>4.4677206589966634</v>
      </c>
      <c r="F64" s="18">
        <f>+F57+F44</f>
        <v>224.76196943999997</v>
      </c>
      <c r="G64" s="18">
        <f>+G57+G44</f>
        <v>234.88047968000004</v>
      </c>
      <c r="H64" s="18">
        <f>IFERROR(IF(ABS((G64-F64)/F64)*100&gt;500,"-",((G64-F64)/F64)*100),0)</f>
        <v>4.5018782604595353</v>
      </c>
      <c r="I64" s="18">
        <f>+I57+I44</f>
        <v>529.14076052999997</v>
      </c>
      <c r="J64" s="18">
        <f>+J57+J44</f>
        <v>552.86059115</v>
      </c>
      <c r="K64" s="18">
        <f>IFERROR(IF(ABS((J64-I64)/I64)*100&gt;500,"-",((J64-I64)/I64)*100),0)</f>
        <v>4.4827071337769731</v>
      </c>
      <c r="L64" s="18"/>
    </row>
    <row r="65" spans="2:13" ht="14.1" customHeight="1">
      <c r="B65" s="29" t="str">
        <f>IF(Indice_index!$Z$1=1,"Saldo global","Overall balance")</f>
        <v>Saldo global</v>
      </c>
      <c r="C65" s="18">
        <f>+C43-C64</f>
        <v>-41.07270331999996</v>
      </c>
      <c r="D65" s="18">
        <f>+D43-D64</f>
        <v>-48.423514780000005</v>
      </c>
      <c r="E65" s="18"/>
      <c r="F65" s="18">
        <f>+F43-F64</f>
        <v>63.546856250000019</v>
      </c>
      <c r="G65" s="18">
        <f>+G43-G64</f>
        <v>41.468754279999956</v>
      </c>
      <c r="H65" s="18"/>
      <c r="I65" s="18">
        <f>+I43-I64</f>
        <v>22.474152930000059</v>
      </c>
      <c r="J65" s="18">
        <f>+J43-J64</f>
        <v>-6.9547604999999066</v>
      </c>
      <c r="K65" s="18"/>
      <c r="L65" s="18"/>
      <c r="M65" s="201"/>
    </row>
    <row r="66" spans="2:13" ht="14.1" customHeight="1">
      <c r="B66" s="165" t="str">
        <f>IF(Indice_index!$Z$1=1,"Despesa primária","Primary Expenditure")</f>
        <v>Despesa primária</v>
      </c>
      <c r="C66" s="4">
        <f>+C64-C50</f>
        <v>297.43867898000002</v>
      </c>
      <c r="D66" s="4">
        <f>+D64-D50</f>
        <v>313.24371864</v>
      </c>
      <c r="E66" s="4">
        <f>IFERROR(IF(ABS((D66-C66)/C66)*100&gt;500,"-",((D66-C66)/C66)*100),0)</f>
        <v>5.313713641480609</v>
      </c>
      <c r="F66" s="4">
        <f>+F64-F50</f>
        <v>205.89643830999998</v>
      </c>
      <c r="G66" s="4">
        <f>+G64-G50</f>
        <v>216.00878153000002</v>
      </c>
      <c r="H66" s="4">
        <f>IFERROR(IF(ABS((G66-F66)/F66)*100&gt;500,"-",((G66-F66)/F66)*100),0)</f>
        <v>4.9113735541043138</v>
      </c>
      <c r="I66" s="4">
        <f>+I64-I50</f>
        <v>503.33269907999994</v>
      </c>
      <c r="J66" s="4">
        <f>+J64-J50</f>
        <v>529.25250016999996</v>
      </c>
      <c r="K66" s="4">
        <f>IFERROR(IF(ABS((J66-I66)/I66)*100&gt;500,"-",((J66-I66)/I66)*100),0)</f>
        <v>5.1496358447159647</v>
      </c>
      <c r="L66" s="4"/>
    </row>
    <row r="67" spans="2:13" ht="14.1" customHeight="1">
      <c r="B67" s="165" t="str">
        <f>IF(Indice_index!$Z$1=1,"Saldo primário","Primary balance")</f>
        <v>Saldo primário</v>
      </c>
      <c r="C67" s="4">
        <f>+C65+C50</f>
        <v>-34.130172999999957</v>
      </c>
      <c r="D67" s="4">
        <f>+D65+D50</f>
        <v>-43.687121950000005</v>
      </c>
      <c r="E67" s="4"/>
      <c r="F67" s="4">
        <f>+F65+F50</f>
        <v>82.412387380000027</v>
      </c>
      <c r="G67" s="4">
        <f>+G65+G50</f>
        <v>60.340452429999957</v>
      </c>
      <c r="H67" s="4"/>
      <c r="I67" s="4">
        <f>+I65+I50</f>
        <v>48.282214380000063</v>
      </c>
      <c r="J67" s="4">
        <f>+J65+J50</f>
        <v>16.65333048000009</v>
      </c>
      <c r="K67" s="4"/>
      <c r="L67" s="4"/>
    </row>
    <row r="68" spans="2:13" ht="14.1" customHeight="1">
      <c r="B68" s="165" t="str">
        <f>IF(Indice_index!$Z$1=1,"Saldo corrente","Current balance")</f>
        <v>Saldo corrente</v>
      </c>
      <c r="C68" s="4">
        <f>+C13-C44</f>
        <v>20.360095840000042</v>
      </c>
      <c r="D68" s="4">
        <f>+D13-D44</f>
        <v>-2.3977691100000413</v>
      </c>
      <c r="E68" s="4"/>
      <c r="F68" s="4">
        <f>+F13-F44</f>
        <v>35.636652560000016</v>
      </c>
      <c r="G68" s="4">
        <f>+G13-G44</f>
        <v>41.839543029999959</v>
      </c>
      <c r="H68" s="4"/>
      <c r="I68" s="4">
        <f>+I13-I44</f>
        <v>55.996748400000115</v>
      </c>
      <c r="J68" s="4">
        <f>+J13-J44</f>
        <v>39.44177392000006</v>
      </c>
      <c r="K68" s="4"/>
      <c r="L68" s="4"/>
    </row>
    <row r="69" spans="2:13" ht="14.1" customHeight="1">
      <c r="B69" s="165" t="str">
        <f>IF(Indice_index!$Z$1=1,"Saldo de capital","Capital balance")</f>
        <v>Saldo de capital</v>
      </c>
      <c r="C69" s="4">
        <f>+C32-C57</f>
        <v>-61.432799160000002</v>
      </c>
      <c r="D69" s="4">
        <f>+D32-D57</f>
        <v>-46.025745670000006</v>
      </c>
      <c r="E69" s="4"/>
      <c r="F69" s="4">
        <f>+F32-F57</f>
        <v>27.910203690000007</v>
      </c>
      <c r="G69" s="4">
        <f>+G32-G57</f>
        <v>-0.37078874999999911</v>
      </c>
      <c r="H69" s="4"/>
      <c r="I69" s="4">
        <f>+I32-I57</f>
        <v>-33.522595470000013</v>
      </c>
      <c r="J69" s="4">
        <f>+J32-J57</f>
        <v>-46.396534419999995</v>
      </c>
      <c r="K69" s="4"/>
      <c r="L69" s="4"/>
    </row>
    <row r="70" spans="2:13" ht="14.1" customHeight="1">
      <c r="B70" s="121" t="str">
        <f>IF(Indice_index!$Z$1=1,"Ativos financeiros líquidos de reembolsos","Financial assets net of reimbursements")</f>
        <v>Ativos financeiros líquidos de reembolsos</v>
      </c>
      <c r="C70" s="4">
        <v>-2.1587898299999999</v>
      </c>
      <c r="D70" s="4">
        <v>-1.0397821400000002</v>
      </c>
      <c r="E70" s="4"/>
      <c r="F70" s="4">
        <v>-0.41435259999999996</v>
      </c>
      <c r="G70" s="4">
        <v>-0.56002483000000014</v>
      </c>
      <c r="H70" s="4"/>
      <c r="I70" s="4">
        <v>-2.5731424299999999</v>
      </c>
      <c r="J70" s="4">
        <v>-1.5998069699999991</v>
      </c>
      <c r="K70" s="4"/>
      <c r="L70" s="4"/>
    </row>
    <row r="71" spans="2:13" ht="14.1" customHeight="1">
      <c r="B71" s="165" t="str">
        <f>IF(Indice_index!$Z$1=1,"dos quais Receitas de:","of which Revenues of")</f>
        <v>dos quais Receitas de:</v>
      </c>
      <c r="C71" s="4"/>
      <c r="D71" s="4"/>
      <c r="E71" s="4"/>
      <c r="F71" s="4"/>
      <c r="G71" s="4"/>
      <c r="H71" s="4"/>
      <c r="I71" s="4"/>
      <c r="J71" s="4"/>
      <c r="K71" s="4"/>
      <c r="L71" s="4"/>
    </row>
    <row r="72" spans="2:13" ht="14.1" customHeight="1">
      <c r="B72" s="165" t="str">
        <f>IF(Indice_index!$Z$1=1,"Alienação de partes de capital","Divestment of company shares")</f>
        <v>Alienação de partes de capital</v>
      </c>
      <c r="C72" s="4">
        <v>0</v>
      </c>
      <c r="D72" s="4">
        <v>0</v>
      </c>
      <c r="E72" s="4"/>
      <c r="F72" s="4">
        <v>0</v>
      </c>
      <c r="G72" s="4">
        <v>0</v>
      </c>
      <c r="H72" s="4"/>
      <c r="I72" s="4">
        <v>0</v>
      </c>
      <c r="J72" s="4">
        <v>0</v>
      </c>
      <c r="K72" s="4"/>
      <c r="L72" s="4"/>
    </row>
    <row r="73" spans="2:13" ht="14.1" customHeight="1">
      <c r="B73" s="165" t="str">
        <f>IF(Indice_index!$Z$1=1,"Outros ativos","Other Financial assets")</f>
        <v>Outros ativos</v>
      </c>
      <c r="C73" s="4">
        <v>3.5174139900000001</v>
      </c>
      <c r="D73" s="4">
        <v>1.9155276000000003</v>
      </c>
      <c r="E73" s="4"/>
      <c r="F73" s="4">
        <v>2.3663569500000001</v>
      </c>
      <c r="G73" s="4">
        <v>1.29027475</v>
      </c>
      <c r="H73" s="4"/>
      <c r="I73" s="4">
        <v>5.8837709399999998</v>
      </c>
      <c r="J73" s="4">
        <v>3.205802349999999</v>
      </c>
      <c r="K73" s="4"/>
      <c r="L73" s="4"/>
    </row>
    <row r="74" spans="2:13" ht="14.1" customHeight="1">
      <c r="B74" s="121" t="str">
        <f>IF(Indice_index!$Z$1=1,"Passivos financeiros líquidos de amortizações","Financial liabilities net of amortizations")</f>
        <v>Passivos financeiros líquidos de amortizações</v>
      </c>
      <c r="C74" s="4">
        <v>-5.44667119</v>
      </c>
      <c r="D74" s="4">
        <v>-4.87074943</v>
      </c>
      <c r="E74" s="4"/>
      <c r="F74" s="4">
        <v>72.047367180000009</v>
      </c>
      <c r="G74" s="4">
        <v>10.46827691</v>
      </c>
      <c r="H74" s="4"/>
      <c r="I74" s="4">
        <v>66.600695989999991</v>
      </c>
      <c r="J74" s="4">
        <v>5.5975274799999966</v>
      </c>
      <c r="K74" s="4"/>
      <c r="L74" s="4"/>
    </row>
    <row r="75" spans="2:13" ht="14.1" customHeight="1">
      <c r="B75" s="166" t="str">
        <f>IF(Indice_index!$Z$1=1,"Poupança (+) / Utilização (-) de saldo da gerência anterior","Saving (+) / Usage (-) of balance from previous management")</f>
        <v>Poupança (+) / Utilização (-) de saldo da gerência anterior</v>
      </c>
      <c r="C75" s="19">
        <f>+C65-C70+C74</f>
        <v>-44.36058467999996</v>
      </c>
      <c r="D75" s="19">
        <f>+D65-D70+D74</f>
        <v>-52.254482070000009</v>
      </c>
      <c r="E75" s="19"/>
      <c r="F75" s="19">
        <f>+F65-F70+F74</f>
        <v>136.00857603000003</v>
      </c>
      <c r="G75" s="19">
        <f>+G65-G70+G74</f>
        <v>52.49705601999996</v>
      </c>
      <c r="H75" s="19"/>
      <c r="I75" s="19">
        <f>+I65-I70+I74</f>
        <v>91.647991350000055</v>
      </c>
      <c r="J75" s="19">
        <f>+J65-J70+J74</f>
        <v>0.24257395000008941</v>
      </c>
      <c r="K75" s="19"/>
      <c r="L75" s="19"/>
    </row>
    <row r="76" spans="2:13">
      <c r="B76" s="162"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73"/>
      <c r="D76" s="193"/>
      <c r="E76" s="73"/>
      <c r="F76" s="73"/>
      <c r="G76" s="73"/>
      <c r="H76" s="73"/>
      <c r="I76" s="73"/>
      <c r="J76" s="73"/>
      <c r="K76" s="73"/>
      <c r="L76" s="73"/>
    </row>
    <row r="77" spans="2:13"/>
  </sheetData>
  <mergeCells count="7">
    <mergeCell ref="B10:B12"/>
    <mergeCell ref="C10:E10"/>
    <mergeCell ref="F10:H10"/>
    <mergeCell ref="I10:L10"/>
    <mergeCell ref="C11:E11"/>
    <mergeCell ref="F11:H11"/>
    <mergeCell ref="I11:L11"/>
  </mergeCells>
  <conditionalFormatting sqref="C13:L42">
    <cfRule type="cellIs" dxfId="33" priority="1" operator="equal">
      <formula>0</formula>
    </cfRule>
  </conditionalFormatting>
  <conditionalFormatting sqref="C44:L63">
    <cfRule type="cellIs" dxfId="32" priority="2" operator="equal">
      <formula>0</formula>
    </cfRule>
  </conditionalFormatting>
  <conditionalFormatting sqref="C66:L75">
    <cfRule type="cellIs" dxfId="31" priority="3"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E66 H64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85" customHeight="1" zeroHeight="1"/>
  <cols>
    <col min="1" max="1" width="8.5703125" style="55" customWidth="1"/>
    <col min="2" max="2" width="49.42578125" style="55" customWidth="1"/>
    <col min="3" max="6" width="9.5703125" style="55" customWidth="1"/>
    <col min="7" max="7" width="10.42578125" style="55" customWidth="1"/>
    <col min="8" max="15" width="0" hidden="1" customWidth="1"/>
    <col min="16" max="16384" width="9.42578125" hidden="1"/>
  </cols>
  <sheetData>
    <row r="1" spans="1:7" ht="14.85" customHeight="1"/>
    <row r="2" spans="1:7" ht="15"/>
    <row r="3" spans="1:7" ht="15"/>
    <row r="4" spans="1:7" ht="15"/>
    <row r="5" spans="1:7" ht="18" customHeight="1">
      <c r="A5"/>
      <c r="B5" s="254" t="str">
        <f>IF(Indice_index!$Z$1=1,"ANEXOS ESTATÍSTICOS","STATISTICAL ANNEXES")</f>
        <v>ANEXOS ESTATÍSTICOS</v>
      </c>
      <c r="C5"/>
      <c r="D5"/>
      <c r="E5"/>
      <c r="F5"/>
      <c r="G5"/>
    </row>
    <row r="6" spans="1:7" ht="18" customHeight="1">
      <c r="A6"/>
      <c r="B6" s="255" t="str">
        <f>IF(Indice_index!$Z$1=1,"Fevereiro de 2026","February 2026")</f>
        <v>Fevereiro de 2026</v>
      </c>
      <c r="C6"/>
      <c r="D6"/>
      <c r="E6"/>
      <c r="F6"/>
      <c r="G6"/>
    </row>
    <row r="7" spans="1:7" ht="50.1" customHeight="1">
      <c r="B7" s="12"/>
      <c r="C7" s="13"/>
      <c r="D7" s="11"/>
      <c r="E7" s="11"/>
      <c r="F7" s="11"/>
    </row>
    <row r="8" spans="1:7" ht="15.75">
      <c r="B8" s="1" t="str">
        <f>IF(Indice_index!$Z$1=1,"Quadro 13 - Execução Orçamental dos Municípios","13 - Municipal Budget Execution")</f>
        <v>Quadro 13 - Execução Orçamental dos Municípios</v>
      </c>
      <c r="C8" s="2"/>
      <c r="D8" s="2"/>
      <c r="E8" s="2"/>
      <c r="F8" s="2"/>
    </row>
    <row r="9" spans="1:7" ht="15">
      <c r="B9" s="3" t="str">
        <f>+'3 - Conta AC + SS'!B9</f>
        <v>Período: janeiro a fevereiro</v>
      </c>
      <c r="C9" s="3"/>
      <c r="D9" s="3"/>
      <c r="E9" s="3"/>
      <c r="F9" s="3" t="str">
        <f>IF(Indice_index!$Z$1=1,"€ Milhões","€ Millions")</f>
        <v>€ Milhões</v>
      </c>
    </row>
    <row r="10" spans="1:7" ht="26.85" customHeight="1">
      <c r="B10" s="374"/>
      <c r="C10" s="375" t="str">
        <f>IF(Indice_index!$Z$1=1,"Execução Acumulada","Accumulated Execution")</f>
        <v>Execução Acumulada</v>
      </c>
      <c r="D10" s="372"/>
      <c r="E10" s="375" t="str">
        <f>IF(Indice_index!$Z$1=1,"Variação Homóloga Acumulada","YOY Change Rate")</f>
        <v>Variação Homóloga Acumulada</v>
      </c>
      <c r="F10" s="371"/>
    </row>
    <row r="11" spans="1:7" ht="26.85" customHeight="1">
      <c r="B11" s="373"/>
      <c r="C11" s="22">
        <v>2025</v>
      </c>
      <c r="D11" s="22">
        <v>2026</v>
      </c>
      <c r="E11" s="22" t="str">
        <f>IF(Indice_index!$Z$1=1,"TVHA (%)","YOY Change Rate (%)")</f>
        <v>TVHA (%)</v>
      </c>
      <c r="F11" s="22" t="str">
        <f>IF(Indice_index!$Z$1=1,"Contributo    VHA (pp)","YOY Change Contrib. (pp)")</f>
        <v>Contributo    VHA (pp)</v>
      </c>
    </row>
    <row r="12" spans="1:7" ht="14.1" customHeight="1">
      <c r="B12" s="167" t="str">
        <f>IF(Indice_index!$Z$1=1,"Receita corrente","Current revenue")</f>
        <v>Receita corrente</v>
      </c>
      <c r="C12" s="128">
        <f>+C13+C21+C22+C33</f>
        <v>1669.2496314195794</v>
      </c>
      <c r="D12" s="128">
        <f>+D13+D21+D22+D33</f>
        <v>1886.0197314854331</v>
      </c>
      <c r="E12" s="128">
        <f t="shared" ref="E12:E23" si="0">IFERROR(IF(ABS((D12-C12)/C12)*100&gt;500,"-",((D12-C12)/C12)*100),0)</f>
        <v>12.986080451101015</v>
      </c>
      <c r="F12" s="128">
        <f>IFERROR((D12-C12)/C46*100,"-")</f>
        <v>11.388934833759521</v>
      </c>
    </row>
    <row r="13" spans="1:7" ht="14.1" customHeight="1">
      <c r="B13" s="121" t="str">
        <f>IF(Indice_index!$Z$1=1,"Receita fiscal","Tax income")</f>
        <v>Receita fiscal</v>
      </c>
      <c r="C13" s="4">
        <f>+C14+C20</f>
        <v>510.56241051634265</v>
      </c>
      <c r="D13" s="4">
        <f>+D14+D20</f>
        <v>647.89772017918438</v>
      </c>
      <c r="E13" s="4">
        <f t="shared" si="0"/>
        <v>26.898828984286482</v>
      </c>
      <c r="F13" s="4">
        <f>IFERROR((D13-C13)/C46*100,"-")</f>
        <v>7.2154918581904122</v>
      </c>
    </row>
    <row r="14" spans="1:7" ht="14.1" customHeight="1">
      <c r="B14" s="165" t="str">
        <f>IF(Indice_index!$Z$1=1,"Impostos diretos","Direct taxes")</f>
        <v>Impostos diretos</v>
      </c>
      <c r="C14" s="4">
        <f>+C15+C16+C17+C18+C19</f>
        <v>508.90822599634265</v>
      </c>
      <c r="D14" s="4">
        <f>+D15+D16+D17+D18+D19</f>
        <v>645.79778873060229</v>
      </c>
      <c r="E14" s="4">
        <f t="shared" si="0"/>
        <v>26.898673619640689</v>
      </c>
      <c r="F14" s="4">
        <f>IFERROR((D14-C14)/C46*100,"-")</f>
        <v>7.1920726563704767</v>
      </c>
    </row>
    <row r="15" spans="1:7" ht="14.1" customHeight="1">
      <c r="B15" s="302" t="str">
        <f>IF(Indice_index!$Z$1=1,"Imposto Municipal sobre Transmissões Onerosas de Imóveis","Property Transfer Tax")</f>
        <v>Imposto Municipal sobre Transmissões Onerosas de Imóveis</v>
      </c>
      <c r="C15" s="4">
        <v>370.2957549418378</v>
      </c>
      <c r="D15" s="4">
        <v>378.09496686579598</v>
      </c>
      <c r="E15" s="4">
        <f t="shared" si="0"/>
        <v>2.106211540335698</v>
      </c>
      <c r="F15" s="4">
        <f>IFERROR((D15-C15)/C46*100,"-")</f>
        <v>0.40976461389119356</v>
      </c>
    </row>
    <row r="16" spans="1:7" ht="14.1" customHeight="1">
      <c r="B16" s="302" t="str">
        <f>IF(Indice_index!$Z$1=1,"Imposto municipal sobre imóveis","Property Tax")</f>
        <v>Imposto municipal sobre imóveis</v>
      </c>
      <c r="C16" s="4">
        <v>60.758616706653406</v>
      </c>
      <c r="D16" s="4">
        <v>177.22269034033351</v>
      </c>
      <c r="E16" s="4">
        <f t="shared" si="0"/>
        <v>191.68322115688758</v>
      </c>
      <c r="F16" s="4">
        <f>IFERROR((D16-C16)/C46*100,"-")</f>
        <v>6.118933121704508</v>
      </c>
    </row>
    <row r="17" spans="2:6" ht="14.1" customHeight="1">
      <c r="B17" s="302" t="str">
        <f>IF(Indice_index!$Z$1=1,"Imposto Único de Circulação","Municipal Vehicle Tax")</f>
        <v>Imposto Único de Circulação</v>
      </c>
      <c r="C17" s="4">
        <v>60.41782940785167</v>
      </c>
      <c r="D17" s="4">
        <v>58.638178971776412</v>
      </c>
      <c r="E17" s="4">
        <f t="shared" si="0"/>
        <v>-2.9455716193670165</v>
      </c>
      <c r="F17" s="4">
        <f>IFERROR((D17-C17)/C46*100,"-")</f>
        <v>-9.3501469239417254E-2</v>
      </c>
    </row>
    <row r="18" spans="2:6" ht="14.1" customHeight="1">
      <c r="B18" s="302" t="str">
        <f>IF(Indice_index!$Z$1=1,"Derrama","Overtax")</f>
        <v>Derrama</v>
      </c>
      <c r="C18" s="4">
        <v>15.956168119999994</v>
      </c>
      <c r="D18" s="4">
        <v>31.770402783187382</v>
      </c>
      <c r="E18" s="4">
        <f t="shared" si="0"/>
        <v>99.11047905897469</v>
      </c>
      <c r="F18" s="4">
        <f>IFERROR((D18-C18)/C46*100,"-")</f>
        <v>0.83086776252862515</v>
      </c>
    </row>
    <row r="19" spans="2:6" ht="14.1" customHeight="1">
      <c r="B19" s="302" t="str">
        <f>IF(Indice_index!$Z$1=1,"Outros ","Others")</f>
        <v xml:space="preserve">Outros </v>
      </c>
      <c r="C19" s="4">
        <v>1.4798568199997746</v>
      </c>
      <c r="D19" s="4">
        <v>7.1549769509001493E-2</v>
      </c>
      <c r="E19" s="4">
        <f t="shared" si="0"/>
        <v>-95.165088369223966</v>
      </c>
      <c r="F19" s="4">
        <f>IFERROR((D19-C19)/C46*100,"-")</f>
        <v>-7.3991372514432954E-2</v>
      </c>
    </row>
    <row r="20" spans="2:6" ht="14.1" customHeight="1">
      <c r="B20" s="165" t="str">
        <f>IF(Indice_index!$Z$1=1,"Impostos indiretos","Indirect taxes")</f>
        <v>Impostos indiretos</v>
      </c>
      <c r="C20" s="4">
        <v>1.6541845199999996</v>
      </c>
      <c r="D20" s="4">
        <v>2.0999314485820628</v>
      </c>
      <c r="E20" s="4">
        <f t="shared" si="0"/>
        <v>26.946626763383286</v>
      </c>
      <c r="F20" s="4">
        <f>IFERROR((D20-C20)/C46*100,"-")</f>
        <v>2.3419201819934277E-2</v>
      </c>
    </row>
    <row r="21" spans="2:6" ht="14.1" customHeight="1">
      <c r="B21" s="121" t="str">
        <f>IF(Indice_index!$Z$1=1,"Taxas,multas e outras penalidades","Taxes, fines and other penalties")</f>
        <v>Taxas,multas e outras penalidades</v>
      </c>
      <c r="C21" s="4">
        <v>104.27207495921341</v>
      </c>
      <c r="D21" s="4">
        <v>113.12215573118498</v>
      </c>
      <c r="E21" s="4">
        <f t="shared" si="0"/>
        <v>8.4874888846638168</v>
      </c>
      <c r="F21" s="4">
        <f>IFERROR((D21-C21)/C46*100,"-")</f>
        <v>0.464976457338313</v>
      </c>
    </row>
    <row r="22" spans="2:6" ht="14.1" customHeight="1">
      <c r="B22" s="121" t="str">
        <f>IF(Indice_index!$Z$1=1,"Transferências correntes","Current transfers")</f>
        <v>Transferências correntes</v>
      </c>
      <c r="C22" s="4">
        <f>+C23+C30+C31+C32</f>
        <v>827.37915184166661</v>
      </c>
      <c r="D22" s="4">
        <f>+D23+D30+D31+D32</f>
        <v>889.13950562449565</v>
      </c>
      <c r="E22" s="4">
        <f t="shared" si="0"/>
        <v>7.4645769893230227</v>
      </c>
      <c r="F22" s="4">
        <f>IFERROR((D22-C22)/C46*100,"-")</f>
        <v>3.2448416286604482</v>
      </c>
    </row>
    <row r="23" spans="2:6" ht="14.1" customHeight="1">
      <c r="B23" s="165" t="str">
        <f>IF(Indice_index!$Z$1=1,"Administração Central","Central Administration")</f>
        <v>Administração Central</v>
      </c>
      <c r="C23" s="4">
        <v>812.85148009166664</v>
      </c>
      <c r="D23" s="4">
        <v>869.34424708166671</v>
      </c>
      <c r="E23" s="4">
        <f t="shared" si="0"/>
        <v>6.9499494524669236</v>
      </c>
      <c r="F23" s="4">
        <f>IFERROR((D23-C23)/C46*100,"-")</f>
        <v>2.9680866578573895</v>
      </c>
    </row>
    <row r="24" spans="2:6" ht="14.1" customHeight="1">
      <c r="B24" s="309" t="str">
        <f>IF(Indice_index!$Z$1=1,"das quais:","of which:")</f>
        <v>das quais:</v>
      </c>
      <c r="C24" s="4"/>
      <c r="D24" s="4"/>
      <c r="E24" s="4"/>
      <c r="F24" s="4"/>
    </row>
    <row r="25" spans="2:6" ht="14.1" customHeight="1">
      <c r="B25" s="311" t="str">
        <f>IF(Indice_index!$Z$1=1,"Transferências do Orçamento do Estado","State Budget transfers")</f>
        <v>Transferências do Orçamento do Estado</v>
      </c>
      <c r="C25" s="4">
        <f>+C26+C27+C28+C29</f>
        <v>481.47447600000004</v>
      </c>
      <c r="D25" s="4">
        <f>+D26+D27+D28+D29</f>
        <v>503.87111987000009</v>
      </c>
      <c r="E25" s="4">
        <f t="shared" ref="E25:E37" si="1">IFERROR(IF(ABS((D25-C25)/C25)*100&gt;500,"-",((D25-C25)/C25)*100),0)</f>
        <v>4.6516783311271617</v>
      </c>
      <c r="F25" s="4">
        <f>IFERROR((D25-C25)/C46*100,"-")</f>
        <v>1.1767024947299463</v>
      </c>
    </row>
    <row r="26" spans="2:6" ht="14.1" customHeight="1">
      <c r="B26" s="326" t="str">
        <f>IF(Indice_index!$Z$1=1,"Fundo de Equilíbrio Financeiro","Financial Balance Fund")</f>
        <v>Fundo de Equilíbrio Financeiro</v>
      </c>
      <c r="C26" s="4">
        <v>328.41111200000006</v>
      </c>
      <c r="D26" s="4">
        <v>347.40535987000004</v>
      </c>
      <c r="E26" s="4">
        <f t="shared" si="1"/>
        <v>5.7836800205469228</v>
      </c>
      <c r="F26" s="4">
        <f>IFERROR((D26-C26)/C46*100,"-")</f>
        <v>0.99794321791606433</v>
      </c>
    </row>
    <row r="27" spans="2:6" ht="14.1" customHeight="1">
      <c r="B27" s="326" t="str">
        <f>IF(Indice_index!$Z$1=1,"Fundo Social Municipal","Municipal Social Fund")</f>
        <v>Fundo Social Municipal</v>
      </c>
      <c r="C27" s="4">
        <v>47.799015999999995</v>
      </c>
      <c r="D27" s="4">
        <v>49.392983999999998</v>
      </c>
      <c r="E27" s="4">
        <f t="shared" si="1"/>
        <v>3.334729735859006</v>
      </c>
      <c r="F27" s="4">
        <f>IFERROR((D27-C27)/C46*100,"-")</f>
        <v>8.3745856433073834E-2</v>
      </c>
    </row>
    <row r="28" spans="2:6" ht="14.1" customHeight="1">
      <c r="B28" s="326" t="str">
        <f>IF(Indice_index!$Z$1=1,"Participação IRS","Personal income tax (IRS) participation")</f>
        <v>Participação IRS</v>
      </c>
      <c r="C28" s="4">
        <v>91.046781999999993</v>
      </c>
      <c r="D28" s="4">
        <v>86.063525999999996</v>
      </c>
      <c r="E28" s="4">
        <f t="shared" si="1"/>
        <v>-5.4732917413819164</v>
      </c>
      <c r="F28" s="4">
        <f>IFERROR((D28-C28)/C46*100,"-")</f>
        <v>-0.26181644897843154</v>
      </c>
    </row>
    <row r="29" spans="2:6" ht="14.1" customHeight="1">
      <c r="B29" s="326" t="str">
        <f>IF(Indice_index!$Z$1=1,"Participação no IVA","Value-added tax (IVA) participation")</f>
        <v>Participação no IVA</v>
      </c>
      <c r="C29" s="4">
        <v>14.217566</v>
      </c>
      <c r="D29" s="4">
        <v>21.009250000000002</v>
      </c>
      <c r="E29" s="4">
        <f t="shared" si="1"/>
        <v>47.769667466287849</v>
      </c>
      <c r="F29" s="4">
        <f>IFERROR((D29-C29)/C46*100,"-")</f>
        <v>0.3568298693592365</v>
      </c>
    </row>
    <row r="30" spans="2:6" ht="14.1" customHeight="1">
      <c r="B30" s="302" t="str">
        <f>IF(Indice_index!$Z$1=1,"Outros subsetores das Administrações Públicas","Other General Government subsectors")</f>
        <v>Outros subsetores das Administrações Públicas</v>
      </c>
      <c r="C30" s="4">
        <v>3.5704589700000007</v>
      </c>
      <c r="D30" s="4">
        <v>3.8180049199999999</v>
      </c>
      <c r="E30" s="4">
        <f t="shared" si="1"/>
        <v>6.9331688749247613</v>
      </c>
      <c r="F30" s="4">
        <f>IFERROR((D30-C30)/C46*100,"-")</f>
        <v>1.3005874389754852E-2</v>
      </c>
    </row>
    <row r="31" spans="2:6" ht="14.1" customHeight="1">
      <c r="B31" s="302" t="str">
        <f>IF(Indice_index!$Z$1=1,"União Europeia","European Union")</f>
        <v>União Europeia</v>
      </c>
      <c r="C31" s="4">
        <v>7.3625370100000023</v>
      </c>
      <c r="D31" s="4">
        <v>13.358498366171693</v>
      </c>
      <c r="E31" s="4">
        <f t="shared" si="1"/>
        <v>81.43879410083521</v>
      </c>
      <c r="F31" s="4">
        <f>IFERROR((D31-C31)/C46*100,"-")</f>
        <v>0.31502321182872678</v>
      </c>
    </row>
    <row r="32" spans="2:6" ht="14.1" customHeight="1">
      <c r="B32" s="302" t="str">
        <f>IF(Indice_index!$Z$1=1,"Outras transferências","Other transfers")</f>
        <v>Outras transferências</v>
      </c>
      <c r="C32" s="4">
        <v>3.5946757699999994</v>
      </c>
      <c r="D32" s="4">
        <v>2.6187552566572649</v>
      </c>
      <c r="E32" s="4">
        <f t="shared" si="1"/>
        <v>-27.149055319187649</v>
      </c>
      <c r="F32" s="4">
        <f>IFERROR((D32-C32)/C46*100,"-")</f>
        <v>-5.1274115415423746E-2</v>
      </c>
    </row>
    <row r="33" spans="2:6" ht="14.1" customHeight="1">
      <c r="B33" s="121" t="str">
        <f>IF(Indice_index!$Z$1=1,"Outras receitas correntes","Other current revenue")</f>
        <v>Outras receitas correntes</v>
      </c>
      <c r="C33" s="4">
        <v>227.03599410235665</v>
      </c>
      <c r="D33" s="4">
        <v>235.86034995056798</v>
      </c>
      <c r="E33" s="4">
        <f t="shared" si="1"/>
        <v>3.8867651286310854</v>
      </c>
      <c r="F33" s="4">
        <f>IFERROR((D33-C33)/C46*100,"-")</f>
        <v>0.46362488957034237</v>
      </c>
    </row>
    <row r="34" spans="2:6" ht="14.1" customHeight="1">
      <c r="B34" s="167" t="str">
        <f>IF(Indice_index!$Z$1=1,"Receita de capital","Capital revenue")</f>
        <v>Receita de capital</v>
      </c>
      <c r="C34" s="128">
        <f>+C35+C36+C45</f>
        <v>234.08991024936961</v>
      </c>
      <c r="D34" s="128">
        <f>+D35+D36+D45</f>
        <v>328.18831118688621</v>
      </c>
      <c r="E34" s="128">
        <f t="shared" si="1"/>
        <v>40.197546676521057</v>
      </c>
      <c r="F34" s="128">
        <f>IFERROR((D34-C34)/C46*100,"-")</f>
        <v>4.9438578286986115</v>
      </c>
    </row>
    <row r="35" spans="2:6" ht="14.1" customHeight="1">
      <c r="B35" s="121" t="str">
        <f>IF(Indice_index!$Z$1=1,"Venda de bens de investimento","Sale of investment goods")</f>
        <v>Venda de bens de investimento</v>
      </c>
      <c r="C35" s="4">
        <v>21.377149252511352</v>
      </c>
      <c r="D35" s="4">
        <v>4.6209372509713571</v>
      </c>
      <c r="E35" s="4">
        <f t="shared" si="1"/>
        <v>-78.383753622207138</v>
      </c>
      <c r="F35" s="4">
        <f>IFERROR((D35-C35)/C46*100,"-")</f>
        <v>-0.88035852955838123</v>
      </c>
    </row>
    <row r="36" spans="2:6" ht="14.1" customHeight="1">
      <c r="B36" s="121" t="str">
        <f>IF(Indice_index!$Z$1=1,"Transferências de capital","Capital transfers")</f>
        <v>Transferências de capital</v>
      </c>
      <c r="C36" s="4">
        <f>+C37+C42+C43+C44</f>
        <v>211.33688122685825</v>
      </c>
      <c r="D36" s="4">
        <f>+D37+D42+D43+D44</f>
        <v>320.39384501681167</v>
      </c>
      <c r="E36" s="4">
        <f t="shared" si="1"/>
        <v>51.603375216314895</v>
      </c>
      <c r="F36" s="4">
        <f>IFERROR((D36-C36)/C46*100,"-")</f>
        <v>5.7297692504368651</v>
      </c>
    </row>
    <row r="37" spans="2:6" ht="14.1" customHeight="1">
      <c r="B37" s="165" t="str">
        <f>IF(Indice_index!$Z$1=1,"Administração Central","Central Administration")</f>
        <v>Administração Central</v>
      </c>
      <c r="C37" s="4">
        <v>127.31608265666667</v>
      </c>
      <c r="D37" s="4">
        <v>213.79659709833331</v>
      </c>
      <c r="E37" s="4">
        <f t="shared" si="1"/>
        <v>67.925836734137263</v>
      </c>
      <c r="F37" s="4">
        <f>IFERROR((D37-C37)/C46*100,"-")</f>
        <v>4.5436199137562152</v>
      </c>
    </row>
    <row r="38" spans="2:6" ht="14.1" customHeight="1">
      <c r="B38" s="309" t="str">
        <f>IF(Indice_index!$Z$1=1,"das quais:","of which:")</f>
        <v>das quais:</v>
      </c>
      <c r="C38" s="4"/>
      <c r="D38" s="4"/>
      <c r="E38" s="4"/>
      <c r="F38" s="4"/>
    </row>
    <row r="39" spans="2:6" ht="14.1" customHeight="1">
      <c r="B39" s="311" t="str">
        <f>IF(Indice_index!$Z$1=1,"Transferências do Orçamento do Estado","State Budget transfers")</f>
        <v>Transferências do Orçamento do Estado</v>
      </c>
      <c r="C39" s="4">
        <v>117.18752799999999</v>
      </c>
      <c r="D39" s="4">
        <v>114.44058099999998</v>
      </c>
      <c r="E39" s="4">
        <f t="shared" ref="E39:E65" si="2">IFERROR(IF(ABS((D39-C39)/C39)*100&gt;500,"-",((D39-C39)/C39)*100),0)</f>
        <v>-2.3440608799257254</v>
      </c>
      <c r="F39" s="4">
        <f>IFERROR((D39-C39)/C46*100,"-")</f>
        <v>-0.14432248896543898</v>
      </c>
    </row>
    <row r="40" spans="2:6" ht="14.1" customHeight="1">
      <c r="B40" s="326" t="str">
        <f>IF(Indice_index!$Z$1=1,"Fundo de Equilíbrio Financeiro","Financial Balance Fund")</f>
        <v>Fundo de Equilíbrio Financeiro</v>
      </c>
      <c r="C40" s="4">
        <v>36.567433999999999</v>
      </c>
      <c r="D40" s="4">
        <v>38.628413000000002</v>
      </c>
      <c r="E40" s="4">
        <f t="shared" si="2"/>
        <v>5.6361050655072038</v>
      </c>
      <c r="F40" s="4">
        <f>IFERROR((D40-C40)/C46*100,"-")</f>
        <v>0.10828225625958612</v>
      </c>
    </row>
    <row r="41" spans="2:6" ht="14.1" customHeight="1">
      <c r="B41" s="326" t="str">
        <f>IF(Indice_index!$Z$1=1,"Excedente (n.º 3 do artigo 35.º da Lei n.º 73/2013)","Surplus (Number 3 of article 35th of law number 73/2013)")</f>
        <v>Excedente (n.º 3 do artigo 35.º da Lei n.º 73/2013)</v>
      </c>
      <c r="C41" s="4">
        <v>80.620093999999995</v>
      </c>
      <c r="D41" s="4">
        <v>75.812167999999986</v>
      </c>
      <c r="E41" s="4">
        <f t="shared" si="2"/>
        <v>-5.9636819575030628</v>
      </c>
      <c r="F41" s="4">
        <f>IFERROR((D41-C41)/C46*100,"-")</f>
        <v>-0.25260474522502507</v>
      </c>
    </row>
    <row r="42" spans="2:6" ht="14.1" customHeight="1">
      <c r="B42" s="165" t="str">
        <f>IF(Indice_index!$Z$1=1,"Outros subsetores das Administrações Públicas","Other General Government subsectors")</f>
        <v>Outros subsetores das Administrações Públicas</v>
      </c>
      <c r="C42" s="4">
        <v>1.9955955900000006</v>
      </c>
      <c r="D42" s="4">
        <v>3.2304122300000007</v>
      </c>
      <c r="E42" s="4">
        <f t="shared" si="2"/>
        <v>61.877098054721579</v>
      </c>
      <c r="F42" s="4">
        <f>IFERROR((D42-C42)/C46*100,"-")</f>
        <v>6.4876319383206177E-2</v>
      </c>
    </row>
    <row r="43" spans="2:6" ht="14.1" customHeight="1">
      <c r="B43" s="165" t="str">
        <f>IF(Indice_index!$Z$1=1,"União Europeia","European Union")</f>
        <v>União Europeia</v>
      </c>
      <c r="C43" s="4">
        <v>80.95757089019159</v>
      </c>
      <c r="D43" s="4">
        <v>102.96278398847831</v>
      </c>
      <c r="E43" s="4">
        <f t="shared" si="2"/>
        <v>27.181167686137623</v>
      </c>
      <c r="F43" s="4">
        <f>IFERROR((D43-C43)/C46*100,"-")</f>
        <v>1.1561370221411666</v>
      </c>
    </row>
    <row r="44" spans="2:6" ht="14.1" customHeight="1">
      <c r="B44" s="165" t="str">
        <f>IF(Indice_index!$Z$1=1,"Outras transferências","Other transfers")</f>
        <v>Outras transferências</v>
      </c>
      <c r="C44" s="4">
        <v>1.0676320900000003</v>
      </c>
      <c r="D44" s="4">
        <v>0.40405170000000001</v>
      </c>
      <c r="E44" s="4">
        <f t="shared" si="2"/>
        <v>-62.154406580266809</v>
      </c>
      <c r="F44" s="4">
        <f>IFERROR((D44-C44)/C46*100,"-")</f>
        <v>-3.486400484372524E-2</v>
      </c>
    </row>
    <row r="45" spans="2:6" ht="14.1" customHeight="1">
      <c r="B45" s="121" t="str">
        <f>IF(Indice_index!$Z$1=1,"Outras receitas de capital","Other capital revenue")</f>
        <v>Outras receitas de capital</v>
      </c>
      <c r="C45" s="4">
        <v>1.3758797699999998</v>
      </c>
      <c r="D45" s="4">
        <v>3.1735289191032292</v>
      </c>
      <c r="E45" s="4">
        <f t="shared" si="2"/>
        <v>130.65452289506587</v>
      </c>
      <c r="F45" s="4">
        <f>IFERROR((D45-C45)/C46*100,"-")</f>
        <v>9.4447107820129425E-2</v>
      </c>
    </row>
    <row r="46" spans="2:6" ht="14.1" customHeight="1">
      <c r="B46" s="29" t="str">
        <f>IF(Indice_index!$Z$1=1,"Receita efetiva","Effective revenue")</f>
        <v>Receita efetiva</v>
      </c>
      <c r="C46" s="18">
        <f>+C12+C34</f>
        <v>1903.3395416689491</v>
      </c>
      <c r="D46" s="18">
        <f>+D12+D34</f>
        <v>2214.2080426723192</v>
      </c>
      <c r="E46" s="18">
        <f t="shared" si="2"/>
        <v>16.332792662458115</v>
      </c>
      <c r="F46" s="18">
        <f>IFERROR((D46-C46)/C46*100,"-")</f>
        <v>16.332792662458115</v>
      </c>
    </row>
    <row r="47" spans="2:6" ht="14.1" customHeight="1">
      <c r="B47" s="167" t="str">
        <f>IF(Indice_index!$Z$1=1,"Despesa corrente","Current expenditure")</f>
        <v>Despesa corrente</v>
      </c>
      <c r="C47" s="128">
        <f>+C48+C52+C53+C54+C57+C58</f>
        <v>1258.8658550933533</v>
      </c>
      <c r="D47" s="128">
        <f>+D48+D52+D53+D54+D57+D58</f>
        <v>1274.2070844500056</v>
      </c>
      <c r="E47" s="128">
        <f t="shared" si="2"/>
        <v>1.2186548149337695</v>
      </c>
      <c r="F47" s="128">
        <f>IFERROR((D47-C47)/C65*100,"-")</f>
        <v>0.98672769826694684</v>
      </c>
    </row>
    <row r="48" spans="2:6" ht="14.1" customHeight="1">
      <c r="B48" s="121" t="str">
        <f>IF(Indice_index!$Z$1=1,"Despesas com o pessoal","Employees")</f>
        <v>Despesas com o pessoal</v>
      </c>
      <c r="C48" s="4">
        <f>+C49+C50+C51</f>
        <v>593.10375017694003</v>
      </c>
      <c r="D48" s="4">
        <f>+D49+D50+D51</f>
        <v>638.34201438840421</v>
      </c>
      <c r="E48" s="4">
        <f t="shared" si="2"/>
        <v>7.6273778741018416</v>
      </c>
      <c r="F48" s="4">
        <f>IFERROR((D48-C48)/C65*100,"-")</f>
        <v>2.9096656650670578</v>
      </c>
    </row>
    <row r="49" spans="2:6" ht="14.1" customHeight="1">
      <c r="B49" s="165" t="str">
        <f>IF(Indice_index!$Z$1=1,"Remunerações certas e permanentes","Certain and permanent wages")</f>
        <v>Remunerações certas e permanentes</v>
      </c>
      <c r="C49" s="4">
        <v>457.61372068293912</v>
      </c>
      <c r="D49" s="4">
        <v>489.51403513571915</v>
      </c>
      <c r="E49" s="4">
        <f t="shared" si="2"/>
        <v>6.9710135450423687</v>
      </c>
      <c r="F49" s="4">
        <f>IFERROR((D49-C49)/C65*100,"-")</f>
        <v>2.0517862761978929</v>
      </c>
    </row>
    <row r="50" spans="2:6" ht="14.1" customHeight="1">
      <c r="B50" s="165" t="str">
        <f>IF(Indice_index!$Z$1=1,"Abonos variáveis ou eventuais","Variable or contingent bonuses")</f>
        <v>Abonos variáveis ou eventuais</v>
      </c>
      <c r="C50" s="4">
        <v>29.456071719439898</v>
      </c>
      <c r="D50" s="4">
        <v>35.144307794899497</v>
      </c>
      <c r="E50" s="4">
        <f t="shared" si="2"/>
        <v>19.310911956075859</v>
      </c>
      <c r="F50" s="4">
        <f>IFERROR((D50-C50)/C65*100,"-")</f>
        <v>0.36585986425549682</v>
      </c>
    </row>
    <row r="51" spans="2:6" ht="14.1" customHeight="1">
      <c r="B51" s="165" t="str">
        <f>IF(Indice_index!$Z$1=1,"Segurança Social","Social security")</f>
        <v>Segurança Social</v>
      </c>
      <c r="C51" s="4">
        <v>106.03395777456105</v>
      </c>
      <c r="D51" s="4">
        <v>113.68367145778551</v>
      </c>
      <c r="E51" s="4">
        <f t="shared" si="2"/>
        <v>7.2143998430092839</v>
      </c>
      <c r="F51" s="4">
        <f>IFERROR((D51-C51)/C65*100,"-")</f>
        <v>0.49201952461366272</v>
      </c>
    </row>
    <row r="52" spans="2:6" ht="14.1" customHeight="1">
      <c r="B52" s="121" t="str">
        <f>IF(Indice_index!$Z$1=1,"Aquisição de bens e serviços","Purchase of goods and services")</f>
        <v>Aquisição de bens e serviços</v>
      </c>
      <c r="C52" s="4">
        <v>431.00838785142042</v>
      </c>
      <c r="D52" s="4">
        <v>432.00932472934113</v>
      </c>
      <c r="E52" s="4">
        <f t="shared" si="2"/>
        <v>0.23223141501036321</v>
      </c>
      <c r="F52" s="4">
        <f>IFERROR((D52-C52)/C65*100,"-")</f>
        <v>6.4378943740446379E-2</v>
      </c>
    </row>
    <row r="53" spans="2:6" ht="14.1" customHeight="1">
      <c r="B53" s="121" t="str">
        <f>IF(Indice_index!$Z$1=1,"Juros e outros encargos","Interests and other charges")</f>
        <v>Juros e outros encargos</v>
      </c>
      <c r="C53" s="4">
        <v>15.016002200000008</v>
      </c>
      <c r="D53" s="4">
        <v>11.869902216802542</v>
      </c>
      <c r="E53" s="4">
        <f t="shared" si="2"/>
        <v>-20.9516483901252</v>
      </c>
      <c r="F53" s="4">
        <f>IFERROR((D53-C53)/C65*100,"-")</f>
        <v>-0.20235301374931852</v>
      </c>
    </row>
    <row r="54" spans="2:6" ht="14.1" customHeight="1">
      <c r="B54" s="121" t="str">
        <f>IF(Indice_index!$Z$1=1,"Transferências correntes","Current transfers")</f>
        <v>Transferências correntes</v>
      </c>
      <c r="C54" s="4">
        <f>+C55+C56</f>
        <v>163.93220041164736</v>
      </c>
      <c r="D54" s="4">
        <f>+D55+D56</f>
        <v>140.03285331217873</v>
      </c>
      <c r="E54" s="4">
        <f t="shared" si="2"/>
        <v>-14.578799674167358</v>
      </c>
      <c r="F54" s="4">
        <f>IFERROR((D54-C54)/C65*100,"-")</f>
        <v>-1.5371745774282248</v>
      </c>
    </row>
    <row r="55" spans="2:6" ht="14.1" customHeight="1">
      <c r="B55" s="165" t="str">
        <f>IF(Indice_index!$Z$1=1,"Subsetores das Administrações Públicas","General Government subsectors")</f>
        <v>Subsetores das Administrações Públicas</v>
      </c>
      <c r="C55" s="4">
        <v>58.27529259833333</v>
      </c>
      <c r="D55" s="4">
        <v>55.538422879999992</v>
      </c>
      <c r="E55" s="4">
        <f t="shared" si="2"/>
        <v>-4.6964495522955341</v>
      </c>
      <c r="F55" s="4">
        <f>IFERROR((D55-C55)/C65*100,"-")</f>
        <v>-0.17603186125736012</v>
      </c>
    </row>
    <row r="56" spans="2:6" ht="14.1" customHeight="1">
      <c r="B56" s="165" t="str">
        <f>IF(Indice_index!$Z$1=1,"Outras transferências","Other transfers")</f>
        <v>Outras transferências</v>
      </c>
      <c r="C56" s="4">
        <v>105.65690781331404</v>
      </c>
      <c r="D56" s="4">
        <v>84.494430432178746</v>
      </c>
      <c r="E56" s="4">
        <f t="shared" si="2"/>
        <v>-20.029430937471147</v>
      </c>
      <c r="F56" s="4">
        <f>IFERROR((D56-C56)/C65*100,"-")</f>
        <v>-1.3611427161708647</v>
      </c>
    </row>
    <row r="57" spans="2:6" ht="14.1" customHeight="1">
      <c r="B57" s="121" t="str">
        <f>IF(Indice_index!$Z$1=1,"Subsídios","Subsidies")</f>
        <v>Subsídios</v>
      </c>
      <c r="C57" s="4">
        <v>32.227268894136834</v>
      </c>
      <c r="D57" s="4">
        <v>27.492709151657351</v>
      </c>
      <c r="E57" s="4">
        <f t="shared" si="2"/>
        <v>-14.691160327708843</v>
      </c>
      <c r="F57" s="4">
        <f>IFERROR((D57-C57)/C65*100,"-")</f>
        <v>-0.30452065661728467</v>
      </c>
    </row>
    <row r="58" spans="2:6" ht="14.1" customHeight="1">
      <c r="B58" s="121" t="str">
        <f>IF(Indice_index!$Z$1=1,"Outras despesas correntes","Other current expenditure")</f>
        <v>Outras despesas correntes</v>
      </c>
      <c r="C58" s="4">
        <v>23.57824555920871</v>
      </c>
      <c r="D58" s="4">
        <v>24.460280651621549</v>
      </c>
      <c r="E58" s="4">
        <f t="shared" si="2"/>
        <v>3.7408851739961251</v>
      </c>
      <c r="F58" s="4">
        <f>IFERROR((D58-C58)/C65*100,"-")</f>
        <v>5.6731337254259787E-2</v>
      </c>
    </row>
    <row r="59" spans="2:6" ht="14.1" customHeight="1">
      <c r="B59" s="167" t="str">
        <f>IF(Indice_index!$Z$1=1,"Despesa de capital","Capital expenditure")</f>
        <v>Despesa de capital</v>
      </c>
      <c r="C59" s="128">
        <f>+C60+C61+C64</f>
        <v>295.8922999272371</v>
      </c>
      <c r="D59" s="128">
        <f>+D60+D61+D64</f>
        <v>340.65017164616529</v>
      </c>
      <c r="E59" s="128">
        <f t="shared" si="2"/>
        <v>15.126406374864976</v>
      </c>
      <c r="F59" s="128">
        <f>IFERROR((D59-C59)/C65*100,"-")</f>
        <v>2.8787674516706705</v>
      </c>
    </row>
    <row r="60" spans="2:6" ht="14.1" customHeight="1">
      <c r="B60" s="121" t="str">
        <f>IF(Indice_index!$Z$1=1,"Aquisição de bens de capital","Purchase of capital goods")</f>
        <v>Aquisição de bens de capital</v>
      </c>
      <c r="C60" s="4">
        <v>264.60321722292366</v>
      </c>
      <c r="D60" s="4">
        <v>311.13480401132523</v>
      </c>
      <c r="E60" s="4">
        <f t="shared" si="2"/>
        <v>17.585419888980226</v>
      </c>
      <c r="F60" s="4">
        <f>IFERROR((D60-C60)/C65*100,"-")</f>
        <v>2.9928504724765586</v>
      </c>
    </row>
    <row r="61" spans="2:6" ht="14.1" customHeight="1">
      <c r="B61" s="121" t="str">
        <f>IF(Indice_index!$Z$1=1,"Transferências de capital","Capital transfers")</f>
        <v>Transferências de capital</v>
      </c>
      <c r="C61" s="4">
        <f>+C62+C63</f>
        <v>28.883543844313436</v>
      </c>
      <c r="D61" s="4">
        <f>+D62+D63</f>
        <v>27.584503792841321</v>
      </c>
      <c r="E61" s="4">
        <f t="shared" si="2"/>
        <v>-4.4975092338881018</v>
      </c>
      <c r="F61" s="4">
        <f>IFERROR((D61-C61)/C65*100,"-")</f>
        <v>-8.3552547853007489E-2</v>
      </c>
    </row>
    <row r="62" spans="2:6" ht="14.1" customHeight="1">
      <c r="B62" s="165" t="str">
        <f>IF(Indice_index!$Z$1=1,"Subsetores das Administrações Públicas","General Government subsectors")</f>
        <v>Subsetores das Administrações Públicas</v>
      </c>
      <c r="C62" s="4">
        <v>13.744982320000002</v>
      </c>
      <c r="D62" s="4">
        <v>14.253406280000002</v>
      </c>
      <c r="E62" s="4">
        <f t="shared" si="2"/>
        <v>3.6989786393555719</v>
      </c>
      <c r="F62" s="4">
        <f>IFERROR((D62-C62)/C65*100,"-")</f>
        <v>3.2701160521860499E-2</v>
      </c>
    </row>
    <row r="63" spans="2:6" ht="14.1" customHeight="1">
      <c r="B63" s="165" t="str">
        <f>IF(Indice_index!$Z$1=1,"Outras transferências","Other transfers")</f>
        <v>Outras transferências</v>
      </c>
      <c r="C63" s="4">
        <v>15.138561524313433</v>
      </c>
      <c r="D63" s="4">
        <v>13.331097512841319</v>
      </c>
      <c r="E63" s="4">
        <f t="shared" si="2"/>
        <v>-11.939469998977238</v>
      </c>
      <c r="F63" s="4">
        <f>IFERROR((D63-C63)/C65*100,"-")</f>
        <v>-0.11625370837486787</v>
      </c>
    </row>
    <row r="64" spans="2:6" ht="14.1" customHeight="1">
      <c r="B64" s="121" t="str">
        <f>IF(Indice_index!$Z$1=1,"Outras despesas de capital","Other capital expenditure")</f>
        <v>Outras despesas de capital</v>
      </c>
      <c r="C64" s="4">
        <v>2.4055388600000001</v>
      </c>
      <c r="D64" s="4">
        <v>1.9308638419987623</v>
      </c>
      <c r="E64" s="4">
        <f t="shared" si="2"/>
        <v>-19.732585737618795</v>
      </c>
      <c r="F64" s="4">
        <f>IFERROR((D64-C64)/C65*100,"-")</f>
        <v>-3.053047295287873E-2</v>
      </c>
    </row>
    <row r="65" spans="2:6" ht="14.1" customHeight="1">
      <c r="B65" s="29" t="str">
        <f>IF(Indice_index!$Z$1=1,"Despesa efetiva","Effective expenditure")</f>
        <v>Despesa efetiva</v>
      </c>
      <c r="C65" s="18">
        <f>+C47+C59</f>
        <v>1554.7581550205905</v>
      </c>
      <c r="D65" s="18">
        <f>+D47+D59</f>
        <v>1614.8572560961709</v>
      </c>
      <c r="E65" s="18">
        <f t="shared" si="2"/>
        <v>3.8654951499376105</v>
      </c>
      <c r="F65" s="18">
        <f>IFERROR((D65-C65)/C65*100,"-")</f>
        <v>3.8654951499376105</v>
      </c>
    </row>
    <row r="66" spans="2:6" ht="14.1" customHeight="1">
      <c r="B66" s="29" t="str">
        <f>IF(Indice_index!$Z$1=1,"Saldo global","Overall balance")</f>
        <v>Saldo global</v>
      </c>
      <c r="C66" s="18">
        <f>+C46-C65</f>
        <v>348.5813866483586</v>
      </c>
      <c r="D66" s="18">
        <f>+D46-D65</f>
        <v>599.35078657614827</v>
      </c>
      <c r="E66" s="18"/>
      <c r="F66" s="18"/>
    </row>
    <row r="67" spans="2:6" ht="14.1" customHeight="1">
      <c r="B67" s="121" t="str">
        <f>IF(Indice_index!$Z$1=1,"Despesa  primária","Primary Expenditure")</f>
        <v>Despesa  primária</v>
      </c>
      <c r="C67" s="4">
        <f>+C65-C53</f>
        <v>1539.7421528205905</v>
      </c>
      <c r="D67" s="4">
        <f>+D65-D53</f>
        <v>1602.9873538793684</v>
      </c>
      <c r="E67" s="4">
        <f>IFERROR(IF(ABS((D67-C67)/C67)*100&gt;500,"-",((D67-C67)/C67)*100),0)</f>
        <v>4.1075189727657699</v>
      </c>
      <c r="F67" s="4">
        <f>IFERROR((D67-C67)/C65*100,"-")</f>
        <v>4.0678481636869286</v>
      </c>
    </row>
    <row r="68" spans="2:6" ht="14.1" customHeight="1">
      <c r="B68" s="121" t="str">
        <f>IF(Indice_index!$Z$1=1,"Saldo primário","Primary balance")</f>
        <v>Saldo primário</v>
      </c>
      <c r="C68" s="4">
        <f>+C46-C67</f>
        <v>363.59738884835861</v>
      </c>
      <c r="D68" s="4">
        <f>+D46-D67</f>
        <v>611.2206887929508</v>
      </c>
      <c r="E68" s="4"/>
      <c r="F68" s="4"/>
    </row>
    <row r="69" spans="2:6" ht="14.1" customHeight="1">
      <c r="B69" s="121" t="str">
        <f>IF(Indice_index!$Z$1=1,"Saldo corrente","Current balance")</f>
        <v>Saldo corrente</v>
      </c>
      <c r="C69" s="4">
        <f>+C12-C47</f>
        <v>410.3837763262261</v>
      </c>
      <c r="D69" s="4">
        <f>+D12-D47</f>
        <v>611.81264703542752</v>
      </c>
      <c r="E69" s="4"/>
      <c r="F69" s="4"/>
    </row>
    <row r="70" spans="2:6" ht="14.1" customHeight="1">
      <c r="B70" s="121" t="str">
        <f>IF(Indice_index!$Z$1=1,"Saldo de capital","Capital balance")</f>
        <v>Saldo de capital</v>
      </c>
      <c r="C70" s="4">
        <f>+C34-C59</f>
        <v>-61.802389677867495</v>
      </c>
      <c r="D70" s="4">
        <f>+D34-D59</f>
        <v>-12.46186045927908</v>
      </c>
      <c r="E70" s="4"/>
      <c r="F70" s="4"/>
    </row>
    <row r="71" spans="2:6" ht="14.1" customHeight="1">
      <c r="B71" s="121" t="str">
        <f>IF(Indice_index!$Z$1=1,"Ativos financeiros líquidos de reembolsos","Financial assets net of reimbursements")</f>
        <v>Ativos financeiros líquidos de reembolsos</v>
      </c>
      <c r="C71" s="4">
        <v>-124.62686589999998</v>
      </c>
      <c r="D71" s="4">
        <v>-111.26988583000001</v>
      </c>
      <c r="E71" s="4"/>
      <c r="F71" s="4"/>
    </row>
    <row r="72" spans="2:6" ht="14.1" customHeight="1">
      <c r="B72" s="271" t="str">
        <f>IF(Indice_index!$Z$1=1,"dos quais Receitas de:","of which Revenues of")</f>
        <v>dos quais Receitas de:</v>
      </c>
      <c r="C72" s="4"/>
      <c r="D72" s="4"/>
      <c r="E72" s="4"/>
      <c r="F72" s="4"/>
    </row>
    <row r="73" spans="2:6" ht="14.1" customHeight="1">
      <c r="B73" s="302" t="str">
        <f>IF(Indice_index!$Z$1=1,"Alienação de partes de capital","Divestment of company shares")</f>
        <v>Alienação de partes de capital</v>
      </c>
      <c r="C73" s="258">
        <v>0</v>
      </c>
      <c r="D73" s="258">
        <v>0</v>
      </c>
      <c r="E73" s="4"/>
      <c r="F73" s="4"/>
    </row>
    <row r="74" spans="2:6" ht="14.1" customHeight="1">
      <c r="B74" s="302" t="str">
        <f>IF(Indice_index!$Z$1=1,"Outros ativos","Other Financial assets")</f>
        <v>Outros ativos</v>
      </c>
      <c r="C74" s="4">
        <v>126.26547054999999</v>
      </c>
      <c r="D74" s="4">
        <v>112.87896715000001</v>
      </c>
      <c r="E74" s="4"/>
      <c r="F74" s="4"/>
    </row>
    <row r="75" spans="2:6" ht="14.1" customHeight="1">
      <c r="B75" s="121" t="str">
        <f>IF(Indice_index!$Z$1=1,"Passivos financeiros líquidos de amortizações","Financial liabilities net of amortizations")</f>
        <v>Passivos financeiros líquidos de amortizações</v>
      </c>
      <c r="C75" s="4">
        <v>22.346326440000013</v>
      </c>
      <c r="D75" s="4">
        <v>-5.007929630000028</v>
      </c>
      <c r="E75" s="4"/>
      <c r="F75" s="4"/>
    </row>
    <row r="76" spans="2:6" ht="14.1" customHeight="1">
      <c r="B76" s="121" t="str">
        <f>IF(Indice_index!$Z$1=1,"Poupança (+) / Utilização (-) de saldo da gerência anterior","Saving (+) / Usage (-) of balance from previous management")</f>
        <v>Poupança (+) / Utilização (-) de saldo da gerência anterior</v>
      </c>
      <c r="C76" s="4">
        <f>+C66-C71+C75</f>
        <v>495.55457898835857</v>
      </c>
      <c r="D76" s="4">
        <f>+D66-D71+D75</f>
        <v>705.61274277614825</v>
      </c>
      <c r="E76" s="4"/>
      <c r="F76" s="4"/>
    </row>
    <row r="77" spans="2:6" ht="14.1" customHeight="1">
      <c r="B77" s="166" t="str">
        <f>IF(Indice_index!$Z$1=1,"Taxa de comparticip. financiam. europeu","European financing rate")</f>
        <v>Taxa de comparticip. financiam. europeu</v>
      </c>
      <c r="C77" s="327">
        <f>+C43/C60</f>
        <v>0.30595837699881867</v>
      </c>
      <c r="D77" s="327">
        <f>+D43/D60</f>
        <v>0.33092660371332322</v>
      </c>
      <c r="E77" s="19"/>
      <c r="F77" s="19"/>
    </row>
    <row r="78" spans="2:6" ht="15">
      <c r="B78" s="9" t="str">
        <f>IF(Indice_index!$Z$1=1,"Notas:","Notes:")</f>
        <v>Notas:</v>
      </c>
      <c r="C78" s="161"/>
      <c r="D78" s="9"/>
      <c r="E78" s="9"/>
      <c r="F78" s="9"/>
    </row>
    <row r="79" spans="2:6" ht="24.75" customHeight="1">
      <c r="B79" s="402"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03"/>
      <c r="D79" s="403"/>
      <c r="E79" s="403"/>
      <c r="F79" s="403"/>
    </row>
    <row r="80" spans="2:6" ht="24.75" customHeight="1">
      <c r="B80" s="402"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02"/>
      <c r="D80" s="402"/>
      <c r="E80" s="402"/>
      <c r="F80" s="402"/>
    </row>
    <row r="81" spans="2:7" ht="15" hidden="1">
      <c r="B81" s="401"/>
      <c r="C81" s="401"/>
      <c r="D81" s="401"/>
      <c r="E81" s="401"/>
      <c r="F81" s="401"/>
      <c r="G81" s="82"/>
    </row>
    <row r="82" spans="2:7" ht="15">
      <c r="B82" s="240">
        <v>2025</v>
      </c>
      <c r="C82" s="240"/>
      <c r="D82" s="240"/>
      <c r="E82" s="240"/>
      <c r="F82" s="240"/>
      <c r="G82" s="82"/>
    </row>
    <row r="83" spans="2:7" ht="15">
      <c r="B83" s="408" t="str">
        <f>IF(Indice_index!$Z$1=1,"Dados reportados de 2025: receita 307 municípios; despesa 307 municípios. Em falta: receita 1; despesa 1.","Entities in default (revenue 1 municipalities, expenditure 1 municipalities) in the reporting of budget execution, in the month under review:")</f>
        <v>Dados reportados de 2025: receita 307 municípios; despesa 307 municípios. Em falta: receita 1; despesa 1.</v>
      </c>
      <c r="C83" s="408"/>
      <c r="D83" s="408"/>
      <c r="E83" s="408"/>
      <c r="F83" s="408"/>
      <c r="G83" s="82"/>
    </row>
    <row r="84" spans="2:7" ht="15">
      <c r="B84" s="409">
        <v>2026</v>
      </c>
      <c r="C84" s="409"/>
      <c r="D84" s="409"/>
      <c r="E84" s="253"/>
      <c r="F84" s="253"/>
      <c r="G84" s="82"/>
    </row>
    <row r="85" spans="2:7" ht="15">
      <c r="B85" s="408" t="str">
        <f>IF(Indice_index!$Z$1=1,"Dados reportados de 2026: receita 267 municípios; despesa 267 municípios. Em falta: receita 41; despesa 41.","Entities in default (revenue 41 municipalities, expenditure 41 municipalities) in the reporting of budget execution, in the month under review:")</f>
        <v>Dados reportados de 2026: receita 267 municípios; despesa 267 municípios. Em falta: receita 41; despesa 41.</v>
      </c>
      <c r="C85" s="408"/>
      <c r="D85" s="408"/>
      <c r="E85" s="408"/>
      <c r="F85" s="408"/>
      <c r="G85" s="82"/>
    </row>
    <row r="86" spans="2:7" ht="24.75" customHeight="1">
      <c r="B86" s="410"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11"/>
      <c r="D86" s="411"/>
      <c r="E86" s="411"/>
      <c r="F86" s="411"/>
      <c r="G86" s="82"/>
    </row>
    <row r="87" spans="2:7" ht="24.75" customHeight="1">
      <c r="B87" s="410" t="str">
        <f>IF(Indice_index!$Z$1=1,"Fonte: Entidade Orçamental, com base nos dados da execução orçamental dos municípios reportada pela Direção-Geral das Autarquias Locais através do SIIAL/SISAL e reporte alternativo provisório.","Source: Budgetary Entity, based on the data of budget execution of municipalities reported by DGAL (General Directorate of Municioalities) through the SIIAL/SISAL and provisional alternative report.")</f>
        <v>Fonte: Entidade Orçamental, com base nos dados da execução orçamental dos municípios reportada pela Direção-Geral das Autarquias Locais através do SIIAL/SISAL e reporte alternativo provisório.</v>
      </c>
      <c r="C87" s="411"/>
      <c r="D87" s="411"/>
      <c r="E87" s="411"/>
      <c r="F87" s="411"/>
      <c r="G87" s="124"/>
    </row>
    <row r="88" spans="2:7" ht="15">
      <c r="C88" s="83"/>
      <c r="D88" s="83"/>
      <c r="E88" s="83"/>
      <c r="F88" s="83"/>
      <c r="G88" s="84"/>
    </row>
    <row r="89" spans="2:7" ht="15" hidden="1">
      <c r="B89" s="412"/>
      <c r="C89" s="413"/>
      <c r="D89" s="413"/>
      <c r="E89" s="413"/>
      <c r="F89" s="413"/>
      <c r="G89" s="84"/>
    </row>
    <row r="90" spans="2:7" ht="15" hidden="1">
      <c r="B90" s="125"/>
      <c r="C90" s="126"/>
      <c r="D90" s="126"/>
      <c r="E90" s="126"/>
      <c r="F90" s="126"/>
      <c r="G90" s="84"/>
    </row>
    <row r="91" spans="2:7" ht="15" hidden="1">
      <c r="C91" s="85"/>
      <c r="D91" s="85"/>
      <c r="E91" s="85"/>
      <c r="F91" s="85"/>
    </row>
    <row r="92" spans="2:7" ht="15" hidden="1">
      <c r="B92" s="87"/>
      <c r="C92" s="87"/>
      <c r="D92" s="87"/>
      <c r="E92" s="87"/>
      <c r="F92" s="87"/>
    </row>
    <row r="93" spans="2:7" ht="15" hidden="1">
      <c r="B93" s="404"/>
      <c r="C93" s="404"/>
      <c r="D93" s="404"/>
      <c r="E93" s="404"/>
      <c r="F93" s="404"/>
      <c r="G93" s="86"/>
    </row>
    <row r="94" spans="2:7" ht="15" hidden="1"/>
    <row r="95" spans="2:7" ht="15" hidden="1">
      <c r="B95" s="88"/>
      <c r="C95" s="89"/>
      <c r="D95" s="89"/>
      <c r="E95" s="89"/>
      <c r="F95" s="89"/>
      <c r="G95" s="89"/>
    </row>
    <row r="96" spans="2:7" ht="15" hidden="1">
      <c r="B96" s="405"/>
      <c r="C96" s="406"/>
      <c r="D96" s="406"/>
      <c r="E96" s="406"/>
      <c r="F96" s="406"/>
      <c r="G96" s="406"/>
    </row>
    <row r="98" spans="2:6" ht="15" hidden="1">
      <c r="B98" s="407"/>
      <c r="C98" s="407"/>
      <c r="D98" s="407"/>
      <c r="E98" s="407"/>
      <c r="F98" s="407"/>
    </row>
  </sheetData>
  <mergeCells count="15">
    <mergeCell ref="B93:F93"/>
    <mergeCell ref="B96:G96"/>
    <mergeCell ref="B98:F98"/>
    <mergeCell ref="B83:F83"/>
    <mergeCell ref="B84:D84"/>
    <mergeCell ref="B85:F85"/>
    <mergeCell ref="B86:F86"/>
    <mergeCell ref="B87:F87"/>
    <mergeCell ref="B89:F89"/>
    <mergeCell ref="B81:F81"/>
    <mergeCell ref="B10:B11"/>
    <mergeCell ref="C10:D10"/>
    <mergeCell ref="E10:F10"/>
    <mergeCell ref="B79:F79"/>
    <mergeCell ref="B80:F80"/>
  </mergeCells>
  <conditionalFormatting sqref="C12:F45">
    <cfRule type="cellIs" dxfId="30" priority="1" operator="equal">
      <formula>0</formula>
    </cfRule>
  </conditionalFormatting>
  <conditionalFormatting sqref="C47:F64">
    <cfRule type="cellIs" dxfId="29" priority="2" operator="equal">
      <formula>0</formula>
    </cfRule>
  </conditionalFormatting>
  <conditionalFormatting sqref="C67:F77">
    <cfRule type="cellIs" dxfId="28"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4"/>
  <sheetViews>
    <sheetView showGridLines="0" workbookViewId="0"/>
  </sheetViews>
  <sheetFormatPr defaultColWidth="0" defaultRowHeight="14.85" customHeight="1" zeroHeight="1"/>
  <cols>
    <col min="1" max="1" width="8.5703125" style="20" customWidth="1"/>
    <col min="2" max="2" width="42.42578125" style="27" customWidth="1"/>
    <col min="3" max="4" width="10.42578125" style="27" customWidth="1"/>
    <col min="5" max="5" width="10.42578125" customWidth="1"/>
    <col min="6" max="7" width="10.42578125" style="27" customWidth="1"/>
    <col min="8" max="8" width="10.42578125" customWidth="1"/>
    <col min="9" max="9" width="9.42578125" customWidth="1"/>
    <col min="10" max="16384" width="9.42578125" hidden="1"/>
  </cols>
  <sheetData>
    <row r="1" spans="1:13" ht="15">
      <c r="A1" s="10"/>
    </row>
    <row r="2" spans="1:13" ht="15">
      <c r="A2" s="11"/>
    </row>
    <row r="3" spans="1:13" ht="15">
      <c r="A3" s="11"/>
    </row>
    <row r="4" spans="1:13" ht="15">
      <c r="A4" s="11"/>
    </row>
    <row r="5" spans="1:13" ht="18" customHeight="1">
      <c r="A5"/>
      <c r="B5" s="254" t="str">
        <f>IF(Indice_index!$Z$1=1,"ANEXOS ESTATÍSTICOS","STATISTICAL ANNEXES")</f>
        <v>ANEXOS ESTATÍSTICOS</v>
      </c>
      <c r="C5"/>
      <c r="D5"/>
      <c r="F5"/>
      <c r="G5"/>
    </row>
    <row r="6" spans="1:13" ht="18" customHeight="1">
      <c r="A6"/>
      <c r="B6" s="255" t="str">
        <f>IF(Indice_index!$Z$1=1,"Fevereiro de 2026","February 2026")</f>
        <v>Fevereiro de 2026</v>
      </c>
      <c r="C6"/>
      <c r="D6"/>
      <c r="F6"/>
      <c r="G6"/>
    </row>
    <row r="7" spans="1:13" ht="48.75" customHeight="1">
      <c r="A7" s="11"/>
      <c r="B7" s="12"/>
      <c r="C7" s="13"/>
      <c r="D7" s="11"/>
      <c r="E7" s="11"/>
      <c r="F7" s="13"/>
      <c r="G7" s="11"/>
      <c r="H7" s="11"/>
      <c r="I7" s="10"/>
    </row>
    <row r="8" spans="1:13" ht="15.75">
      <c r="A8" s="79"/>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79"/>
      <c r="D8" s="79"/>
      <c r="E8" s="79"/>
      <c r="F8" s="79"/>
      <c r="G8" s="79"/>
      <c r="H8" s="79"/>
      <c r="I8" s="80"/>
      <c r="J8" s="80"/>
      <c r="K8" s="80"/>
      <c r="L8" s="42"/>
      <c r="M8" s="79"/>
    </row>
    <row r="9" spans="1:13" ht="15">
      <c r="A9" s="79"/>
      <c r="B9" s="3" t="str">
        <f>+'3 - Conta AC + SS'!B9</f>
        <v>Período: janeiro a fevereiro</v>
      </c>
      <c r="C9" s="79"/>
      <c r="D9" s="79"/>
      <c r="E9" s="79"/>
      <c r="F9" s="79"/>
      <c r="G9" s="79"/>
      <c r="H9" s="3" t="str">
        <f>IF(Indice_index!$Z$1=1,"€ Milhões","€ Millions")</f>
        <v>€ Milhões</v>
      </c>
      <c r="I9" s="80"/>
      <c r="J9" s="80"/>
      <c r="K9" s="80"/>
      <c r="L9" s="42"/>
      <c r="M9" s="79"/>
    </row>
    <row r="10" spans="1:13" ht="15">
      <c r="B10" s="373"/>
      <c r="C10" s="354" t="str">
        <f>IF(Indice_index!$Z$1=1,"Execução Acumulada","Accumulated Execution")</f>
        <v>Execução Acumulada</v>
      </c>
      <c r="D10" s="355"/>
      <c r="E10" s="355"/>
      <c r="F10" s="355"/>
      <c r="G10" s="355"/>
      <c r="H10" s="356"/>
    </row>
    <row r="11" spans="1:13" ht="15">
      <c r="B11" s="373"/>
      <c r="C11" s="375">
        <v>2025</v>
      </c>
      <c r="D11" s="371"/>
      <c r="E11" s="372"/>
      <c r="F11" s="375">
        <v>2026</v>
      </c>
      <c r="G11" s="371"/>
      <c r="H11" s="372"/>
    </row>
    <row r="12" spans="1:13" ht="24">
      <c r="B12" s="373"/>
      <c r="C12" s="22" t="str">
        <f>IF(Indice_index!$Z$1=1,"PRR","Recovery and Resilience Plan")</f>
        <v>PRR</v>
      </c>
      <c r="D12" s="22" t="str">
        <f>IF(Indice_index!$Z$1=1,"Esforço Nacional","National Effort")</f>
        <v>Esforço Nacional</v>
      </c>
      <c r="E12" s="22" t="s">
        <v>396</v>
      </c>
      <c r="F12" s="22" t="str">
        <f>IF(Indice_index!$Z$1=1,"PRR","Recovery and Resilience Plan")</f>
        <v>PRR</v>
      </c>
      <c r="G12" s="22" t="str">
        <f>IF(Indice_index!$Z$1=1,"Esforço Nacional","National Effort")</f>
        <v>Esforço Nacional</v>
      </c>
      <c r="H12" s="22" t="s">
        <v>396</v>
      </c>
    </row>
    <row r="13" spans="1:13" ht="14.1" customHeight="1">
      <c r="B13" s="167" t="str">
        <f>IF(Indice_index!$Z$1=1,"Receita corrente","Current revenue")</f>
        <v>Receita corrente</v>
      </c>
      <c r="C13" s="128">
        <f t="shared" ref="C13:H13" si="0">+C15+C16+C17+C18+C22+C23</f>
        <v>86.140134069999988</v>
      </c>
      <c r="D13" s="128">
        <f t="shared" si="0"/>
        <v>18.764489990000001</v>
      </c>
      <c r="E13" s="128">
        <f t="shared" si="0"/>
        <v>104.85413024999998</v>
      </c>
      <c r="F13" s="128">
        <f t="shared" si="0"/>
        <v>230.80484895000001</v>
      </c>
      <c r="G13" s="128">
        <f t="shared" si="0"/>
        <v>4.5053633199999998</v>
      </c>
      <c r="H13" s="128">
        <f t="shared" si="0"/>
        <v>235.31021227000002</v>
      </c>
    </row>
    <row r="14" spans="1:13" ht="14.1" hidden="1" customHeight="1">
      <c r="B14" s="121" t="s">
        <v>380</v>
      </c>
      <c r="C14" s="4">
        <f t="shared" ref="C14:H14" si="1">+C15+C16</f>
        <v>0</v>
      </c>
      <c r="D14" s="4">
        <f t="shared" si="1"/>
        <v>0</v>
      </c>
      <c r="E14" s="4">
        <f t="shared" si="1"/>
        <v>0</v>
      </c>
      <c r="F14" s="4">
        <f t="shared" si="1"/>
        <v>0</v>
      </c>
      <c r="G14" s="4">
        <f t="shared" si="1"/>
        <v>0</v>
      </c>
      <c r="H14" s="4">
        <f t="shared" si="1"/>
        <v>0</v>
      </c>
    </row>
    <row r="15" spans="1:13" ht="14.1" hidden="1" customHeight="1">
      <c r="B15" s="165" t="s">
        <v>381</v>
      </c>
      <c r="C15" s="128">
        <v>0</v>
      </c>
      <c r="D15" s="128">
        <v>0</v>
      </c>
      <c r="E15" s="128">
        <v>0</v>
      </c>
      <c r="F15" s="128">
        <v>0</v>
      </c>
      <c r="G15" s="128">
        <v>0</v>
      </c>
      <c r="H15" s="128">
        <v>0</v>
      </c>
    </row>
    <row r="16" spans="1:13" ht="13.5" hidden="1" customHeight="1">
      <c r="B16" s="165" t="s">
        <v>382</v>
      </c>
      <c r="C16" s="4">
        <v>0</v>
      </c>
      <c r="D16" s="4">
        <v>0</v>
      </c>
      <c r="E16" s="4">
        <v>0</v>
      </c>
      <c r="F16" s="4">
        <v>0</v>
      </c>
      <c r="G16" s="4">
        <v>0</v>
      </c>
      <c r="H16" s="4">
        <v>0</v>
      </c>
    </row>
    <row r="17" spans="2:8" ht="13.5" hidden="1" customHeight="1">
      <c r="B17" s="121" t="s">
        <v>383</v>
      </c>
      <c r="C17" s="128">
        <v>0</v>
      </c>
      <c r="D17" s="128">
        <v>0</v>
      </c>
      <c r="E17" s="128">
        <v>0</v>
      </c>
      <c r="F17" s="128">
        <v>0</v>
      </c>
      <c r="G17" s="128">
        <v>0</v>
      </c>
      <c r="H17" s="128">
        <v>0</v>
      </c>
    </row>
    <row r="18" spans="2:8" ht="14.1" customHeight="1">
      <c r="B18" s="121" t="str">
        <f>IF(Indice_index!$Z$1=1,"Transferências correntes","Current transfers")</f>
        <v>Transferências correntes</v>
      </c>
      <c r="C18" s="4">
        <f t="shared" ref="C18:H18" si="2">+C19+C20</f>
        <v>82.116740159999992</v>
      </c>
      <c r="D18" s="4">
        <f t="shared" si="2"/>
        <v>0.62979255000000001</v>
      </c>
      <c r="E18" s="4">
        <f t="shared" si="2"/>
        <v>82.746532709999983</v>
      </c>
      <c r="F18" s="4">
        <f t="shared" si="2"/>
        <v>200.66324808000002</v>
      </c>
      <c r="G18" s="4">
        <f t="shared" si="2"/>
        <v>0.69805987999999997</v>
      </c>
      <c r="H18" s="4">
        <f t="shared" si="2"/>
        <v>201.36130796</v>
      </c>
    </row>
    <row r="19" spans="2:8" ht="13.5" customHeight="1">
      <c r="B19" s="165" t="s">
        <v>384</v>
      </c>
      <c r="C19" s="4">
        <v>0</v>
      </c>
      <c r="D19" s="4">
        <v>0</v>
      </c>
      <c r="E19" s="4">
        <v>0</v>
      </c>
      <c r="F19" s="4">
        <v>0</v>
      </c>
      <c r="G19" s="4">
        <v>7.4499999999999997E-2</v>
      </c>
      <c r="H19" s="4">
        <v>7.4499999999999997E-2</v>
      </c>
    </row>
    <row r="20" spans="2:8" ht="14.1" customHeight="1">
      <c r="B20" s="165" t="str">
        <f>IF(Indice_index!$Z$1=1,"Outras","Others")</f>
        <v>Outras</v>
      </c>
      <c r="C20" s="4">
        <v>82.116740159999992</v>
      </c>
      <c r="D20" s="4">
        <v>0.62979255000000001</v>
      </c>
      <c r="E20" s="4">
        <v>82.746532709999983</v>
      </c>
      <c r="F20" s="4">
        <v>200.66324808000002</v>
      </c>
      <c r="G20" s="4">
        <v>0.62355987999999996</v>
      </c>
      <c r="H20" s="4">
        <v>201.28680796</v>
      </c>
    </row>
    <row r="21" spans="2:8" ht="14.1" customHeight="1">
      <c r="B21" s="309" t="str">
        <f>IF(Indice_index!$Z$1=1,"Das quais: U.E.","of which U.E.")</f>
        <v>Das quais: U.E.</v>
      </c>
      <c r="C21" s="4">
        <v>81.561634269999999</v>
      </c>
      <c r="D21" s="4">
        <v>0.55343054999999997</v>
      </c>
      <c r="E21" s="4">
        <v>82.115064820000001</v>
      </c>
      <c r="F21" s="4">
        <v>200.45929960000004</v>
      </c>
      <c r="G21" s="4">
        <v>0.60673646999999997</v>
      </c>
      <c r="H21" s="4">
        <v>201.06603607000002</v>
      </c>
    </row>
    <row r="22" spans="2:8" ht="14.1" customHeight="1">
      <c r="B22" s="121" t="str">
        <f>IF(Indice_index!$Z$1=1,"Outras receitas correntes","Other current revenue")</f>
        <v>Outras receitas correntes</v>
      </c>
      <c r="C22" s="4">
        <v>0.62408039000000004</v>
      </c>
      <c r="D22" s="4">
        <v>9.5191761599999989</v>
      </c>
      <c r="E22" s="4">
        <v>10.143256549999998</v>
      </c>
      <c r="F22" s="4">
        <v>23.420445489999999</v>
      </c>
      <c r="G22" s="4">
        <v>2.47907894</v>
      </c>
      <c r="H22" s="4">
        <v>25.89952443</v>
      </c>
    </row>
    <row r="23" spans="2:8" ht="14.1" customHeight="1">
      <c r="B23" s="121" t="str">
        <f>IF(Indice_index!$Z$1=1,"Diferenças de consolidação","Consolidation differences")</f>
        <v>Diferenças de consolidação</v>
      </c>
      <c r="C23" s="4">
        <v>3.3993135199999989</v>
      </c>
      <c r="D23" s="4">
        <v>8.6155212800000012</v>
      </c>
      <c r="E23" s="4">
        <v>11.964340989999998</v>
      </c>
      <c r="F23" s="4">
        <v>6.7211553800000035</v>
      </c>
      <c r="G23" s="4">
        <v>1.3282245000000001</v>
      </c>
      <c r="H23" s="4">
        <v>8.0493798800000036</v>
      </c>
    </row>
    <row r="24" spans="2:8" ht="14.1" customHeight="1">
      <c r="B24" s="167" t="str">
        <f>IF(Indice_index!$Z$1=1,"Receita de capital","Capital revenue")</f>
        <v>Receita de capital</v>
      </c>
      <c r="C24" s="128">
        <f t="shared" ref="C24:H24" si="3">+C25+C26+C30+C31</f>
        <v>246.60797536000001</v>
      </c>
      <c r="D24" s="128">
        <f t="shared" si="3"/>
        <v>1.7392547199999999</v>
      </c>
      <c r="E24" s="128">
        <f t="shared" si="3"/>
        <v>248.34723008</v>
      </c>
      <c r="F24" s="128">
        <f t="shared" si="3"/>
        <v>295.05400695000003</v>
      </c>
      <c r="G24" s="128">
        <f t="shared" si="3"/>
        <v>8.0662369999999997E-2</v>
      </c>
      <c r="H24" s="128">
        <f t="shared" si="3"/>
        <v>295.13466932000006</v>
      </c>
    </row>
    <row r="25" spans="2:8" ht="13.5" hidden="1" customHeight="1">
      <c r="B25" s="121" t="s">
        <v>385</v>
      </c>
      <c r="C25" s="128">
        <v>0</v>
      </c>
      <c r="D25" s="128">
        <v>0</v>
      </c>
      <c r="E25" s="128">
        <v>0</v>
      </c>
      <c r="F25" s="128">
        <v>0</v>
      </c>
      <c r="G25" s="128">
        <v>0</v>
      </c>
      <c r="H25" s="128">
        <v>0</v>
      </c>
    </row>
    <row r="26" spans="2:8" ht="14.1" customHeight="1">
      <c r="B26" s="121" t="str">
        <f>IF(Indice_index!$Z$1=1,"Transferências de capital","Capital transfers")</f>
        <v>Transferências de capital</v>
      </c>
      <c r="C26" s="4">
        <f t="shared" ref="C26:H26" si="4">+C27+C28</f>
        <v>237.65129525</v>
      </c>
      <c r="D26" s="4">
        <f t="shared" si="4"/>
        <v>0</v>
      </c>
      <c r="E26" s="4">
        <f t="shared" si="4"/>
        <v>237.65129525</v>
      </c>
      <c r="F26" s="4">
        <f t="shared" si="4"/>
        <v>253.31100281000005</v>
      </c>
      <c r="G26" s="4">
        <f t="shared" si="4"/>
        <v>0</v>
      </c>
      <c r="H26" s="4">
        <f t="shared" si="4"/>
        <v>253.31100281000005</v>
      </c>
    </row>
    <row r="27" spans="2:8" ht="13.5" customHeight="1">
      <c r="B27" s="165" t="s">
        <v>384</v>
      </c>
      <c r="C27" s="4">
        <v>0</v>
      </c>
      <c r="D27" s="4">
        <v>0</v>
      </c>
      <c r="E27" s="4">
        <v>0</v>
      </c>
      <c r="F27" s="4">
        <v>0.45420394000000003</v>
      </c>
      <c r="G27" s="4">
        <v>0</v>
      </c>
      <c r="H27" s="4">
        <v>0.45420394000000003</v>
      </c>
    </row>
    <row r="28" spans="2:8" ht="14.1" customHeight="1">
      <c r="B28" s="165" t="str">
        <f>IF(Indice_index!$Z$1=1,"Outras","Others")</f>
        <v>Outras</v>
      </c>
      <c r="C28" s="4">
        <v>237.65129525</v>
      </c>
      <c r="D28" s="4">
        <v>0</v>
      </c>
      <c r="E28" s="4">
        <v>237.65129525</v>
      </c>
      <c r="F28" s="4">
        <v>252.85679887000003</v>
      </c>
      <c r="G28" s="4">
        <v>0</v>
      </c>
      <c r="H28" s="4">
        <v>252.85679887000003</v>
      </c>
    </row>
    <row r="29" spans="2:8" ht="14.1" customHeight="1">
      <c r="B29" s="309" t="str">
        <f>IF(Indice_index!$Z$1=1,"Das quais: U.E.","of which U.E.")</f>
        <v>Das quais: U.E.</v>
      </c>
      <c r="C29" s="4">
        <v>237.21740363000001</v>
      </c>
      <c r="D29" s="4">
        <v>0</v>
      </c>
      <c r="E29" s="4">
        <v>237.21740363000001</v>
      </c>
      <c r="F29" s="4">
        <v>241.22139623999999</v>
      </c>
      <c r="G29" s="4">
        <v>0</v>
      </c>
      <c r="H29" s="4">
        <v>241.22139623999999</v>
      </c>
    </row>
    <row r="30" spans="2:8" ht="13.5" hidden="1" customHeight="1">
      <c r="B30" s="121" t="s">
        <v>386</v>
      </c>
      <c r="C30" s="4">
        <v>0</v>
      </c>
      <c r="D30" s="4">
        <v>0</v>
      </c>
      <c r="E30" s="4">
        <v>0</v>
      </c>
      <c r="F30" s="4">
        <v>0</v>
      </c>
      <c r="G30" s="4">
        <v>0</v>
      </c>
      <c r="H30" s="4">
        <v>0</v>
      </c>
    </row>
    <row r="31" spans="2:8" ht="14.1" customHeight="1">
      <c r="B31" s="121" t="str">
        <f>IF(Indice_index!$Z$1=1,"Diferenças de consolidação","Consolidation differences")</f>
        <v>Diferenças de consolidação</v>
      </c>
      <c r="C31" s="4">
        <v>8.9566801099999989</v>
      </c>
      <c r="D31" s="4">
        <v>1.7392547199999999</v>
      </c>
      <c r="E31" s="4">
        <v>10.695934830000001</v>
      </c>
      <c r="F31" s="4">
        <v>41.743004140000011</v>
      </c>
      <c r="G31" s="4">
        <v>8.0662369999999997E-2</v>
      </c>
      <c r="H31" s="4">
        <v>41.82366651000001</v>
      </c>
    </row>
    <row r="32" spans="2:8" ht="14.1" customHeight="1">
      <c r="B32" s="29" t="str">
        <f>IF(Indice_index!$Z$1=1,"Receita efetiva","Effective revenue")</f>
        <v>Receita efetiva</v>
      </c>
      <c r="C32" s="18">
        <f t="shared" ref="C32:H32" si="5">+C13+C24</f>
        <v>332.74810943</v>
      </c>
      <c r="D32" s="18">
        <f t="shared" si="5"/>
        <v>20.503744709999999</v>
      </c>
      <c r="E32" s="18">
        <f t="shared" si="5"/>
        <v>353.20136033</v>
      </c>
      <c r="F32" s="18">
        <f t="shared" si="5"/>
        <v>525.85885589999998</v>
      </c>
      <c r="G32" s="18">
        <f t="shared" si="5"/>
        <v>4.5860256899999996</v>
      </c>
      <c r="H32" s="18">
        <f t="shared" si="5"/>
        <v>530.44488159000002</v>
      </c>
    </row>
    <row r="33" spans="2:8" ht="14.1" customHeight="1">
      <c r="B33" s="167" t="str">
        <f>IF(Indice_index!$Z$1=1,"Despesa corrente","Current expenditure")</f>
        <v>Despesa corrente</v>
      </c>
      <c r="C33" s="128">
        <f t="shared" ref="C33:H33" si="6">+C34+C38+C39+C40+C44+C45+C46</f>
        <v>53.979709870000001</v>
      </c>
      <c r="D33" s="128">
        <f>+D34+D38+D39+D40+D44+D45+D46</f>
        <v>0.94603353000000001</v>
      </c>
      <c r="E33" s="128">
        <f t="shared" si="6"/>
        <v>54.87524959000001</v>
      </c>
      <c r="F33" s="128">
        <f t="shared" si="6"/>
        <v>98.640614140000011</v>
      </c>
      <c r="G33" s="128">
        <f t="shared" si="6"/>
        <v>1.3466625999999999</v>
      </c>
      <c r="H33" s="128">
        <f t="shared" si="6"/>
        <v>99.987276740000013</v>
      </c>
    </row>
    <row r="34" spans="2:8" ht="14.1" customHeight="1">
      <c r="B34" s="121" t="str">
        <f>IF(Indice_index!$Z$1=1,"Despesas com o pessoal","Employees")</f>
        <v>Despesas com o pessoal</v>
      </c>
      <c r="C34" s="4">
        <f t="shared" ref="C34:H34" si="7">+C35+C36+C37</f>
        <v>5.7336343000000003</v>
      </c>
      <c r="D34" s="4">
        <f t="shared" si="7"/>
        <v>0.22354805999999999</v>
      </c>
      <c r="E34" s="4">
        <f t="shared" si="7"/>
        <v>5.9571823600000009</v>
      </c>
      <c r="F34" s="4">
        <f t="shared" si="7"/>
        <v>6.21644285</v>
      </c>
      <c r="G34" s="4">
        <f t="shared" si="7"/>
        <v>3.366657E-2</v>
      </c>
      <c r="H34" s="4">
        <f t="shared" si="7"/>
        <v>6.2501094200000002</v>
      </c>
    </row>
    <row r="35" spans="2:8" ht="14.1" customHeight="1">
      <c r="B35" s="165" t="str">
        <f>IF(Indice_index!$Z$1=1,"Remunerações certas e permanentes","Certain and permanent wages")</f>
        <v>Remunerações certas e permanentes</v>
      </c>
      <c r="C35" s="4">
        <v>4.6172652000000003</v>
      </c>
      <c r="D35" s="4">
        <v>0.18293743999999998</v>
      </c>
      <c r="E35" s="4">
        <v>4.8002026400000011</v>
      </c>
      <c r="F35" s="4">
        <v>4.8312403499999999</v>
      </c>
      <c r="G35" s="4">
        <v>2.6740440000000001E-2</v>
      </c>
      <c r="H35" s="4">
        <v>4.85798079</v>
      </c>
    </row>
    <row r="36" spans="2:8" ht="14.1" customHeight="1">
      <c r="B36" s="165" t="str">
        <f>IF(Indice_index!$Z$1=1,"Abonos variáveis ou eventuais","Variable or contingent bonuses")</f>
        <v>Abonos variáveis ou eventuais</v>
      </c>
      <c r="C36" s="4">
        <v>9.4813280000000014E-2</v>
      </c>
      <c r="D36" s="4">
        <v>1.4297699999999999E-3</v>
      </c>
      <c r="E36" s="4">
        <v>9.6243050000000011E-2</v>
      </c>
      <c r="F36" s="4">
        <v>0.29010017000000005</v>
      </c>
      <c r="G36" s="4">
        <v>4.7320000000000001E-5</v>
      </c>
      <c r="H36" s="4">
        <v>0.29014749000000006</v>
      </c>
    </row>
    <row r="37" spans="2:8" ht="14.1" customHeight="1">
      <c r="B37" s="165" t="str">
        <f>IF(Indice_index!$Z$1=1,"Segurança social","Social security")</f>
        <v>Segurança social</v>
      </c>
      <c r="C37" s="4">
        <v>1.0215558200000001</v>
      </c>
      <c r="D37" s="4">
        <v>3.9180850000000003E-2</v>
      </c>
      <c r="E37" s="4">
        <v>1.0607366700000003</v>
      </c>
      <c r="F37" s="4">
        <v>1.0951023300000002</v>
      </c>
      <c r="G37" s="4">
        <v>6.8788100000000008E-3</v>
      </c>
      <c r="H37" s="4">
        <v>1.1019811400000001</v>
      </c>
    </row>
    <row r="38" spans="2:8" ht="14.1" customHeight="1">
      <c r="B38" s="121" t="str">
        <f>IF(Indice_index!$Z$1=1,"Aquisição de bens e serviços","Purchase of goods and services")</f>
        <v>Aquisição de bens e serviços</v>
      </c>
      <c r="C38" s="4">
        <v>9.4672936300000003</v>
      </c>
      <c r="D38" s="4">
        <v>0.62814581999999997</v>
      </c>
      <c r="E38" s="4">
        <v>10.095439450000002</v>
      </c>
      <c r="F38" s="4">
        <v>17.656265879999999</v>
      </c>
      <c r="G38" s="4">
        <v>0.93576277000000008</v>
      </c>
      <c r="H38" s="4">
        <v>18.592028649999996</v>
      </c>
    </row>
    <row r="39" spans="2:8" ht="14.1" hidden="1" customHeight="1">
      <c r="B39" s="121" t="str">
        <f>IF(Indice_index!$Z$1=1,"Juros e outros encargos","Interests and other charges")</f>
        <v>Juros e outros encargos</v>
      </c>
      <c r="C39" s="4">
        <v>2.42516E-3</v>
      </c>
      <c r="D39" s="4">
        <v>0</v>
      </c>
      <c r="E39" s="4">
        <v>2.42516E-3</v>
      </c>
      <c r="F39" s="4">
        <v>2.30751E-3</v>
      </c>
      <c r="G39" s="4">
        <v>0</v>
      </c>
      <c r="H39" s="4">
        <v>2.30751E-3</v>
      </c>
    </row>
    <row r="40" spans="2:8" ht="14.1" customHeight="1">
      <c r="B40" s="121" t="str">
        <f>IF(Indice_index!$Z$1=1,"Transferências correntes","Current transfers")</f>
        <v>Transferências correntes</v>
      </c>
      <c r="C40" s="4">
        <f t="shared" ref="C40:H40" si="8">+C41+C43</f>
        <v>27.557629300000002</v>
      </c>
      <c r="D40" s="4">
        <f t="shared" si="8"/>
        <v>7.6684229999999978E-2</v>
      </c>
      <c r="E40" s="4">
        <f t="shared" si="8"/>
        <v>27.63431353</v>
      </c>
      <c r="F40" s="4">
        <f t="shared" si="8"/>
        <v>66.267326920000002</v>
      </c>
      <c r="G40" s="4">
        <f t="shared" si="8"/>
        <v>6.0541770000000002E-2</v>
      </c>
      <c r="H40" s="4">
        <f t="shared" si="8"/>
        <v>66.327868690000003</v>
      </c>
    </row>
    <row r="41" spans="2:8" ht="14.1" customHeight="1">
      <c r="B41" s="165" t="str">
        <f>IF(Indice_index!$Z$1=1,"Administrações Públicas","General Government subsectors")</f>
        <v>Administrações Públicas</v>
      </c>
      <c r="C41" s="4">
        <v>4.0288476900000001</v>
      </c>
      <c r="D41" s="4">
        <v>0</v>
      </c>
      <c r="E41" s="4">
        <v>4.0288476900000001</v>
      </c>
      <c r="F41" s="4">
        <v>26.53035401</v>
      </c>
      <c r="G41" s="4">
        <v>0</v>
      </c>
      <c r="H41" s="4">
        <v>26.53035401</v>
      </c>
    </row>
    <row r="42" spans="2:8" ht="14.1" customHeight="1">
      <c r="B42" s="309" t="str">
        <f>IF(Indice_index!$Z$1=1,"Das quais: Administração Local","of which Local Administration")</f>
        <v>Das quais: Administração Local</v>
      </c>
      <c r="C42" s="4">
        <v>4.0287226900000004</v>
      </c>
      <c r="D42" s="4">
        <v>0</v>
      </c>
      <c r="E42" s="4">
        <v>4.0287226900000004</v>
      </c>
      <c r="F42" s="4">
        <v>26.53035401</v>
      </c>
      <c r="G42" s="4">
        <v>0</v>
      </c>
      <c r="H42" s="4">
        <v>26.53035401</v>
      </c>
    </row>
    <row r="43" spans="2:8" ht="14.1" customHeight="1">
      <c r="B43" s="165" t="str">
        <f>IF(Indice_index!$Z$1=1,"Outras","Others")</f>
        <v>Outras</v>
      </c>
      <c r="C43" s="4">
        <v>23.528781610000003</v>
      </c>
      <c r="D43" s="4">
        <v>7.6684229999999978E-2</v>
      </c>
      <c r="E43" s="4">
        <v>23.605465840000001</v>
      </c>
      <c r="F43" s="4">
        <v>39.736972909999999</v>
      </c>
      <c r="G43" s="4">
        <v>6.0541770000000002E-2</v>
      </c>
      <c r="H43" s="4">
        <v>39.797514680000006</v>
      </c>
    </row>
    <row r="44" spans="2:8" ht="14.1" customHeight="1">
      <c r="B44" s="121" t="str">
        <f>IF(Indice_index!$Z$1=1,"Subsídios","Subsidies")</f>
        <v>Subsídios</v>
      </c>
      <c r="C44" s="4">
        <v>7.104253260000001</v>
      </c>
      <c r="D44" s="4">
        <v>0</v>
      </c>
      <c r="E44" s="4">
        <v>7.104253260000001</v>
      </c>
      <c r="F44" s="4">
        <v>7.8151483000000006</v>
      </c>
      <c r="G44" s="4">
        <v>0</v>
      </c>
      <c r="H44" s="4">
        <v>7.8151483000000006</v>
      </c>
    </row>
    <row r="45" spans="2:8" ht="14.1" customHeight="1">
      <c r="B45" s="121" t="str">
        <f>IF(Indice_index!$Z$1=1,"Outras despesas correntes","Other current expenditure")</f>
        <v>Outras despesas correntes</v>
      </c>
      <c r="C45" s="4">
        <v>0.55800958000000012</v>
      </c>
      <c r="D45" s="4">
        <v>1.7655419999999998E-2</v>
      </c>
      <c r="E45" s="4">
        <v>0.57566500000000009</v>
      </c>
      <c r="F45" s="4">
        <v>0.54631918999999995</v>
      </c>
      <c r="G45" s="4">
        <v>0.31669148999999996</v>
      </c>
      <c r="H45" s="4">
        <v>0.86301068000000014</v>
      </c>
    </row>
    <row r="46" spans="2:8" ht="14.1" customHeight="1">
      <c r="B46" s="121" t="str">
        <f>IF(Indice_index!$Z$1=1,"Diferenças de consolidação","Consolidation differences")</f>
        <v>Diferenças de consolidação</v>
      </c>
      <c r="C46" s="4">
        <v>3.5564646400000015</v>
      </c>
      <c r="D46" s="4">
        <v>0</v>
      </c>
      <c r="E46" s="4">
        <v>3.5059708300000008</v>
      </c>
      <c r="F46" s="4">
        <v>0.13680349000000003</v>
      </c>
      <c r="G46" s="4">
        <v>0</v>
      </c>
      <c r="H46" s="4">
        <v>0.13680349000000003</v>
      </c>
    </row>
    <row r="47" spans="2:8" ht="14.1" customHeight="1">
      <c r="B47" s="167" t="str">
        <f>IF(Indice_index!$Z$1=1,"Despesa de capital","Capital expenditure")</f>
        <v>Despesa de capital</v>
      </c>
      <c r="C47" s="128">
        <f t="shared" ref="C47:H47" si="9">+C48+C49+C53+C54</f>
        <v>191.60750266999997</v>
      </c>
      <c r="D47" s="128">
        <f t="shared" si="9"/>
        <v>2.3225147700000002</v>
      </c>
      <c r="E47" s="128">
        <f t="shared" si="9"/>
        <v>193.93001743999997</v>
      </c>
      <c r="F47" s="128">
        <f t="shared" si="9"/>
        <v>399.3739350699999</v>
      </c>
      <c r="G47" s="128">
        <f t="shared" si="9"/>
        <v>1.3604108099999999</v>
      </c>
      <c r="H47" s="128">
        <f t="shared" si="9"/>
        <v>400.73434587999992</v>
      </c>
    </row>
    <row r="48" spans="2:8" ht="14.1" customHeight="1">
      <c r="B48" s="121" t="str">
        <f>IF(Indice_index!$Z$1=1,"Investimento","Investments")</f>
        <v>Investimento</v>
      </c>
      <c r="C48" s="4">
        <v>49.010871699999996</v>
      </c>
      <c r="D48" s="4">
        <v>2.3225147700000002</v>
      </c>
      <c r="E48" s="4">
        <v>51.333386469999994</v>
      </c>
      <c r="F48" s="4">
        <v>124.46388288</v>
      </c>
      <c r="G48" s="4">
        <v>0.63429654999999996</v>
      </c>
      <c r="H48" s="4">
        <v>125.09817943000003</v>
      </c>
    </row>
    <row r="49" spans="2:8" ht="14.1" customHeight="1">
      <c r="B49" s="121" t="str">
        <f>IF(Indice_index!$Z$1=1,"Transferências de capital","Capital transfers")</f>
        <v>Transferências de capital</v>
      </c>
      <c r="C49" s="4">
        <f t="shared" ref="C49:H49" si="10">+C50+C52</f>
        <v>127.27843252999999</v>
      </c>
      <c r="D49" s="4">
        <f t="shared" si="10"/>
        <v>0</v>
      </c>
      <c r="E49" s="4">
        <f t="shared" si="10"/>
        <v>127.27843252999999</v>
      </c>
      <c r="F49" s="4">
        <f t="shared" si="10"/>
        <v>265.40754739999994</v>
      </c>
      <c r="G49" s="4">
        <f t="shared" si="10"/>
        <v>0.49491372000000006</v>
      </c>
      <c r="H49" s="4">
        <f t="shared" si="10"/>
        <v>265.90246111999994</v>
      </c>
    </row>
    <row r="50" spans="2:8" ht="14.1" customHeight="1">
      <c r="B50" s="165" t="str">
        <f>IF(Indice_index!$Z$1=1,"Administrações Públicas","General Government subsectors")</f>
        <v>Administrações Públicas</v>
      </c>
      <c r="C50" s="4">
        <v>7.8074052900000011</v>
      </c>
      <c r="D50" s="4">
        <v>0</v>
      </c>
      <c r="E50" s="4">
        <v>7.8074052900000011</v>
      </c>
      <c r="F50" s="4">
        <v>95.446369359999991</v>
      </c>
      <c r="G50" s="4">
        <v>4.533446E-2</v>
      </c>
      <c r="H50" s="4">
        <v>95.491703819999998</v>
      </c>
    </row>
    <row r="51" spans="2:8" ht="14.1" customHeight="1">
      <c r="B51" s="309" t="str">
        <f>IF(Indice_index!$Z$1=1,"Das quais: Administração Local","of which Local Administration")</f>
        <v>Das quais: Administração Local</v>
      </c>
      <c r="C51" s="4">
        <v>7.8074052900000011</v>
      </c>
      <c r="D51" s="4">
        <v>0</v>
      </c>
      <c r="E51" s="4">
        <v>7.8074052900000011</v>
      </c>
      <c r="F51" s="4">
        <v>95.446369359999991</v>
      </c>
      <c r="G51" s="4">
        <v>4.533446E-2</v>
      </c>
      <c r="H51" s="4">
        <v>95.491703819999998</v>
      </c>
    </row>
    <row r="52" spans="2:8" ht="13.5" customHeight="1">
      <c r="B52" s="165" t="str">
        <f>IF(Indice_index!$Z$1=1,"Outras","Others")</f>
        <v>Outras</v>
      </c>
      <c r="C52" s="4">
        <v>119.47102723999998</v>
      </c>
      <c r="D52" s="4">
        <v>0</v>
      </c>
      <c r="E52" s="4">
        <v>119.47102723999998</v>
      </c>
      <c r="F52" s="4">
        <v>169.96117803999996</v>
      </c>
      <c r="G52" s="4">
        <v>0.44957926000000004</v>
      </c>
      <c r="H52" s="4">
        <v>170.41075729999994</v>
      </c>
    </row>
    <row r="53" spans="2:8" ht="13.5" hidden="1" customHeight="1">
      <c r="B53" s="121" t="s">
        <v>387</v>
      </c>
      <c r="C53" s="4">
        <v>0</v>
      </c>
      <c r="D53" s="4">
        <v>0</v>
      </c>
      <c r="E53" s="4">
        <v>0</v>
      </c>
      <c r="F53" s="4">
        <v>0</v>
      </c>
      <c r="G53" s="4">
        <v>0</v>
      </c>
      <c r="H53" s="4">
        <v>0</v>
      </c>
    </row>
    <row r="54" spans="2:8" ht="14.1" customHeight="1">
      <c r="B54" s="121" t="str">
        <f>IF(Indice_index!$Z$1=1,"Diferenças de consolidação","Consolidation differences")</f>
        <v>Diferenças de consolidação</v>
      </c>
      <c r="C54" s="4">
        <v>15.318198439999998</v>
      </c>
      <c r="D54" s="4">
        <v>0</v>
      </c>
      <c r="E54" s="4">
        <v>15.318198439999998</v>
      </c>
      <c r="F54" s="4">
        <v>9.5025047899999819</v>
      </c>
      <c r="G54" s="4">
        <v>0.23120053999999998</v>
      </c>
      <c r="H54" s="4">
        <v>9.7337053299999852</v>
      </c>
    </row>
    <row r="55" spans="2:8" ht="14.1" customHeight="1">
      <c r="B55" s="29" t="str">
        <f>IF(Indice_index!$Z$1=1,"Despesa efetiva","Effective Expenditure")</f>
        <v>Despesa efetiva</v>
      </c>
      <c r="C55" s="18">
        <f t="shared" ref="C55:H55" si="11">+C33+C47</f>
        <v>245.58721253999997</v>
      </c>
      <c r="D55" s="18">
        <f t="shared" si="11"/>
        <v>3.2685483</v>
      </c>
      <c r="E55" s="18">
        <f t="shared" si="11"/>
        <v>248.80526702999998</v>
      </c>
      <c r="F55" s="18">
        <f>+F33+F47</f>
        <v>498.01454920999993</v>
      </c>
      <c r="G55" s="18">
        <f t="shared" si="11"/>
        <v>2.7070734099999996</v>
      </c>
      <c r="H55" s="18">
        <f t="shared" si="11"/>
        <v>500.72162261999995</v>
      </c>
    </row>
    <row r="56" spans="2:8" ht="14.1" customHeight="1">
      <c r="B56" s="29" t="str">
        <f>IF(Indice_index!$Z$1=1,"Saldo global","Overall balance")</f>
        <v>Saldo global</v>
      </c>
      <c r="C56" s="18">
        <f t="shared" ref="C56:H56" si="12">+C32-C55</f>
        <v>87.160896890000032</v>
      </c>
      <c r="D56" s="18">
        <f>+D32-D55</f>
        <v>17.23519641</v>
      </c>
      <c r="E56" s="18">
        <f t="shared" si="12"/>
        <v>104.39609330000002</v>
      </c>
      <c r="F56" s="18">
        <f t="shared" si="12"/>
        <v>27.844306690000053</v>
      </c>
      <c r="G56" s="18">
        <f t="shared" si="12"/>
        <v>1.87895228</v>
      </c>
      <c r="H56" s="18">
        <f t="shared" si="12"/>
        <v>29.723258970000074</v>
      </c>
    </row>
    <row r="57" spans="2:8" ht="14.1" customHeight="1">
      <c r="B57" s="303" t="str">
        <f>IF(Indice_index!$Z$1=1,"Por memória:","Memo item:")</f>
        <v>Por memória:</v>
      </c>
      <c r="C57" s="4"/>
      <c r="D57" s="4"/>
      <c r="E57" s="4"/>
      <c r="F57" s="4"/>
      <c r="G57" s="4"/>
      <c r="H57" s="4"/>
    </row>
    <row r="58" spans="2:8" ht="14.1" customHeight="1">
      <c r="B58" s="121" t="str">
        <f>IF(Indice_index!$Z$1=1,"Despesa primária","Primary expenditure")</f>
        <v>Despesa primária</v>
      </c>
      <c r="C58" s="4">
        <f t="shared" ref="C58:H58" si="13">+C55-C39</f>
        <v>245.58478737999997</v>
      </c>
      <c r="D58" s="4">
        <f>+D55-D39</f>
        <v>3.2685483</v>
      </c>
      <c r="E58" s="4">
        <f t="shared" si="13"/>
        <v>248.80284186999998</v>
      </c>
      <c r="F58" s="4">
        <f>+F55-F39</f>
        <v>498.01224169999995</v>
      </c>
      <c r="G58" s="4">
        <f t="shared" si="13"/>
        <v>2.7070734099999996</v>
      </c>
      <c r="H58" s="4">
        <f t="shared" si="13"/>
        <v>500.71931510999997</v>
      </c>
    </row>
    <row r="59" spans="2:8" ht="14.1" customHeight="1">
      <c r="B59" s="121" t="str">
        <f>IF(Indice_index!$Z$1=1,"Saldo primário","Primary balance")</f>
        <v>Saldo primário</v>
      </c>
      <c r="C59" s="4">
        <f t="shared" ref="C59:H59" si="14">+C32-C58</f>
        <v>87.163322050000033</v>
      </c>
      <c r="D59" s="4">
        <f t="shared" si="14"/>
        <v>17.23519641</v>
      </c>
      <c r="E59" s="4">
        <f t="shared" si="14"/>
        <v>104.39851846000002</v>
      </c>
      <c r="F59" s="4">
        <f t="shared" si="14"/>
        <v>27.846614200000033</v>
      </c>
      <c r="G59" s="4">
        <f t="shared" si="14"/>
        <v>1.87895228</v>
      </c>
      <c r="H59" s="4">
        <f t="shared" si="14"/>
        <v>29.725566480000055</v>
      </c>
    </row>
    <row r="60" spans="2:8" ht="14.1" customHeight="1">
      <c r="B60" s="121" t="str">
        <f>IF(Indice_index!$Z$1=1,"Receita de ativos financeiros","Income from financial assets")</f>
        <v>Receita de ativos financeiros</v>
      </c>
      <c r="C60" s="4">
        <v>61.530230910000007</v>
      </c>
      <c r="D60" s="4">
        <v>0</v>
      </c>
      <c r="E60" s="4">
        <v>61.530230910000007</v>
      </c>
      <c r="F60" s="4">
        <v>277.35308450000008</v>
      </c>
      <c r="G60" s="4">
        <v>9.70672186</v>
      </c>
      <c r="H60" s="4">
        <v>287.05980636000004</v>
      </c>
    </row>
    <row r="61" spans="2:8" ht="14.1" customHeight="1">
      <c r="B61" s="121" t="str">
        <f>IF(Indice_index!$Z$1=1,"Receita de passivos financeiros","Income from Financial liabilities")</f>
        <v>Receita de passivos financeiros</v>
      </c>
      <c r="C61" s="4">
        <v>9.7994379399999989</v>
      </c>
      <c r="D61" s="4">
        <v>0</v>
      </c>
      <c r="E61" s="4">
        <v>9.7994379399999989</v>
      </c>
      <c r="F61" s="4">
        <v>286.00679300000002</v>
      </c>
      <c r="G61" s="4">
        <v>0</v>
      </c>
      <c r="H61" s="4">
        <v>286.00679300000002</v>
      </c>
    </row>
    <row r="62" spans="2:8" ht="14.1" customHeight="1">
      <c r="B62" s="166" t="str">
        <f>IF(Indice_index!$Z$1=1,"Despesa de ativos financeiros","Expense of financial assets")</f>
        <v>Despesa de ativos financeiros</v>
      </c>
      <c r="C62" s="19">
        <v>25.688709160000002</v>
      </c>
      <c r="D62" s="19">
        <v>0</v>
      </c>
      <c r="E62" s="19">
        <v>25.688709160000002</v>
      </c>
      <c r="F62" s="19">
        <v>32.005395389999997</v>
      </c>
      <c r="G62" s="19">
        <v>0</v>
      </c>
      <c r="H62" s="19">
        <v>32.005395389999997</v>
      </c>
    </row>
    <row r="63" spans="2:8" ht="15">
      <c r="B63" s="9" t="str">
        <f>IF(Indice_index!$Z$1=1,"Fonte: Entidade Orçamental.","Source: Budgetary Entity.")</f>
        <v>Fonte: Entidade Orçamental.</v>
      </c>
      <c r="C63" s="9"/>
      <c r="F63" s="9"/>
    </row>
    <row r="64" spans="2:8" ht="14.25" customHeight="1"/>
  </sheetData>
  <mergeCells count="4">
    <mergeCell ref="C11:E11"/>
    <mergeCell ref="F11:H11"/>
    <mergeCell ref="B10:B12"/>
    <mergeCell ref="C10:H10"/>
  </mergeCells>
  <conditionalFormatting sqref="C13:H31">
    <cfRule type="cellIs" dxfId="27" priority="3" operator="equal">
      <formula>0</formula>
    </cfRule>
  </conditionalFormatting>
  <conditionalFormatting sqref="C33:H54">
    <cfRule type="cellIs" dxfId="26" priority="2" operator="equal">
      <formula>0</formula>
    </cfRule>
  </conditionalFormatting>
  <conditionalFormatting sqref="C57:H62">
    <cfRule type="cellIs" dxfId="25"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40"/>
  <sheetViews>
    <sheetView showGridLines="0" zoomScaleNormal="100" workbookViewId="0"/>
  </sheetViews>
  <sheetFormatPr defaultColWidth="0" defaultRowHeight="14.85" customHeight="1" zeroHeight="1"/>
  <cols>
    <col min="1" max="1" width="8.5703125" style="49" customWidth="1"/>
    <col min="2" max="2" width="49.5703125" style="30" customWidth="1"/>
    <col min="3" max="3" width="10.5703125" style="30" customWidth="1"/>
    <col min="4" max="5" width="10.5703125" style="49" customWidth="1"/>
    <col min="6" max="8" width="10.5703125" customWidth="1"/>
    <col min="9" max="9" width="9.42578125" customWidth="1"/>
    <col min="10" max="16384" width="9.42578125" hidden="1"/>
  </cols>
  <sheetData>
    <row r="1" spans="1:13" ht="15"/>
    <row r="2" spans="1:13" ht="15"/>
    <row r="3" spans="1:13" ht="15"/>
    <row r="4" spans="1:13" ht="15"/>
    <row r="5" spans="1:13" ht="18" customHeight="1">
      <c r="A5"/>
      <c r="B5" s="254" t="str">
        <f>IF(Indice_index!$Z$1=1,"ANEXOS ESTATÍSTICOS","STATISTICAL ANNEXES")</f>
        <v>ANEXOS ESTATÍSTICOS</v>
      </c>
      <c r="C5"/>
      <c r="D5"/>
      <c r="E5"/>
    </row>
    <row r="6" spans="1:13" ht="18" customHeight="1">
      <c r="A6"/>
      <c r="B6" s="255" t="str">
        <f>IF(Indice_index!$Z$1=1,"Fevereiro de 2026","February 2026")</f>
        <v>Fevereiro de 2026</v>
      </c>
      <c r="C6"/>
      <c r="D6"/>
      <c r="E6"/>
    </row>
    <row r="7" spans="1:13" ht="48.75" customHeight="1">
      <c r="A7" s="11"/>
      <c r="B7" s="12"/>
      <c r="C7" s="13"/>
      <c r="D7" s="11"/>
      <c r="E7" s="11"/>
      <c r="F7" s="11"/>
      <c r="G7" s="11"/>
      <c r="H7" s="10"/>
      <c r="I7" s="10"/>
      <c r="J7" s="10"/>
      <c r="K7" s="10"/>
    </row>
    <row r="8" spans="1:13" ht="15.75">
      <c r="A8" s="79"/>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79"/>
      <c r="D8" s="79"/>
      <c r="E8" s="79"/>
      <c r="F8" s="79"/>
      <c r="G8" s="79"/>
      <c r="H8" s="80"/>
      <c r="I8" s="80"/>
      <c r="J8" s="80"/>
      <c r="K8" s="80"/>
      <c r="L8" s="42"/>
      <c r="M8" s="79"/>
    </row>
    <row r="9" spans="1:13" ht="15">
      <c r="A9" s="79"/>
      <c r="B9" s="3" t="str">
        <f>+'3 - Conta AC + SS'!B9</f>
        <v>Período: janeiro a fevereiro</v>
      </c>
      <c r="C9" s="79"/>
      <c r="D9" s="79"/>
      <c r="E9" s="79"/>
      <c r="F9" s="79"/>
      <c r="G9" s="79"/>
      <c r="H9" s="3" t="str">
        <f>IF(Indice_index!$Z$1=1,"€ Milhões","€ Millions")</f>
        <v>€ Milhões</v>
      </c>
      <c r="I9" s="80"/>
      <c r="J9" s="80"/>
      <c r="K9" s="80"/>
      <c r="L9" s="42"/>
      <c r="M9" s="79"/>
    </row>
    <row r="10" spans="1:13" ht="15">
      <c r="B10" s="414" t="str">
        <f>IF(Indice_index!$Z$1=1,"Programa Orçamental","Budget Program")</f>
        <v>Programa Orçamental</v>
      </c>
      <c r="C10" s="354" t="str">
        <f>IF(Indice_index!$Z$1=1,"Execução Acumulada","Accumulated Execution")</f>
        <v>Execução Acumulada</v>
      </c>
      <c r="D10" s="355"/>
      <c r="E10" s="355"/>
      <c r="F10" s="355"/>
      <c r="G10" s="355"/>
      <c r="H10" s="356"/>
    </row>
    <row r="11" spans="1:13" ht="15">
      <c r="B11" s="415"/>
      <c r="C11" s="375">
        <v>2025</v>
      </c>
      <c r="D11" s="371"/>
      <c r="E11" s="372"/>
      <c r="F11" s="375">
        <v>2026</v>
      </c>
      <c r="G11" s="371"/>
      <c r="H11" s="372"/>
    </row>
    <row r="12" spans="1:13" ht="24">
      <c r="B12" s="356"/>
      <c r="C12" s="22" t="str">
        <f>IF(Indice_index!$Z$1=1,"PRR","Recovery and Resilience Plan")</f>
        <v>PRR</v>
      </c>
      <c r="D12" s="22" t="str">
        <f>IF(Indice_index!$Z$1=1,"Esforço Nacional","National Effort")</f>
        <v>Esforço Nacional</v>
      </c>
      <c r="E12" s="22" t="s">
        <v>396</v>
      </c>
      <c r="F12" s="22" t="str">
        <f>IF(Indice_index!$Z$1=1,"PRR","Recovery and Resilience Plan")</f>
        <v>PRR</v>
      </c>
      <c r="G12" s="22" t="str">
        <f>IF(Indice_index!$Z$1=1,"Esforço Nacional","National Effort")</f>
        <v>Esforço Nacional</v>
      </c>
      <c r="H12" s="22" t="s">
        <v>396</v>
      </c>
    </row>
    <row r="13" spans="1:13" ht="14.1" customHeight="1">
      <c r="B13" s="224" t="str">
        <f>IF(Indice_index!$Z$1=1,"Total da Receita Orçamental","Total Budget Expenditure")</f>
        <v>Total da Receita Orçamental</v>
      </c>
      <c r="C13" s="18">
        <v>320.59211579999999</v>
      </c>
      <c r="D13" s="18">
        <v>10.14896871</v>
      </c>
      <c r="E13" s="18">
        <v>330.74108451000001</v>
      </c>
      <c r="F13" s="18">
        <v>765.88982966999993</v>
      </c>
      <c r="G13" s="18">
        <v>3.1771388199999997</v>
      </c>
      <c r="H13" s="18">
        <v>769.06696849000014</v>
      </c>
    </row>
    <row r="14" spans="1:13" ht="14.1" customHeight="1">
      <c r="B14" s="225" t="str">
        <f>IF(Indice_index!$Z$1=1,"Total da Despesa Orçamental","Total Budget Expenditure")</f>
        <v>Total da Despesa Orçamental</v>
      </c>
      <c r="C14" s="18">
        <v>252.40125861999994</v>
      </c>
      <c r="D14" s="18">
        <v>3.2685483</v>
      </c>
      <c r="E14" s="18">
        <v>255.66980691999996</v>
      </c>
      <c r="F14" s="18">
        <v>520.38063631999989</v>
      </c>
      <c r="G14" s="18">
        <v>2.4758728699999999</v>
      </c>
      <c r="H14" s="18">
        <v>522.85650918999988</v>
      </c>
    </row>
    <row r="15" spans="1:13" ht="14.1" customHeight="1">
      <c r="B15" s="283" t="str">
        <f>IF(Indice_index!$Z$1=1,"001 - Órgãos de Soberania","001 - Bodies of Sovereignty")</f>
        <v>001 - Órgãos de Soberania</v>
      </c>
      <c r="C15" s="4">
        <v>3.2997329999999998E-2</v>
      </c>
      <c r="D15" s="4">
        <v>0</v>
      </c>
      <c r="E15" s="4">
        <v>3.2997329999999998E-2</v>
      </c>
      <c r="F15" s="4">
        <v>0</v>
      </c>
      <c r="G15" s="4">
        <v>0</v>
      </c>
      <c r="H15" s="4">
        <v>0</v>
      </c>
    </row>
    <row r="16" spans="1:13" ht="14.1" customHeight="1">
      <c r="B16" s="283" t="str">
        <f>IF(Indice_index!$Z$1=1,"002 - Governação","002 - Governance")</f>
        <v>002 - Governação</v>
      </c>
      <c r="C16" s="4">
        <v>0.29757968000000001</v>
      </c>
      <c r="D16" s="4">
        <v>1.15E-3</v>
      </c>
      <c r="E16" s="4">
        <v>0.29872968</v>
      </c>
      <c r="F16" s="4">
        <v>0.50126511000000007</v>
      </c>
      <c r="G16" s="4">
        <v>0</v>
      </c>
      <c r="H16" s="4">
        <v>0.50126511000000007</v>
      </c>
    </row>
    <row r="17" spans="2:8" ht="14.1" customHeight="1">
      <c r="B17" s="283" t="str">
        <f>IF(Indice_index!$Z$1=1,"003 - Representação Externa","003 - External Representation")</f>
        <v>003 - Representação Externa</v>
      </c>
      <c r="C17" s="4">
        <v>0.47851926</v>
      </c>
      <c r="D17" s="4">
        <v>0.10936943</v>
      </c>
      <c r="E17" s="4">
        <v>0.58788868999999999</v>
      </c>
      <c r="F17" s="4">
        <v>1.0791351299999998</v>
      </c>
      <c r="G17" s="4">
        <v>8.5295019999999999E-2</v>
      </c>
      <c r="H17" s="4">
        <v>1.1644301499999996</v>
      </c>
    </row>
    <row r="18" spans="2:8" ht="14.1" customHeight="1">
      <c r="B18" s="283" t="str">
        <f>IF(Indice_index!$Z$1=1,"004 - Finanças","004 - Finance")</f>
        <v>004 - Finanças</v>
      </c>
      <c r="C18" s="4">
        <v>0.23604870000001787</v>
      </c>
      <c r="D18" s="4">
        <v>0</v>
      </c>
      <c r="E18" s="4">
        <v>0.23604870000001787</v>
      </c>
      <c r="F18" s="4">
        <v>2.7816330000000073E-2</v>
      </c>
      <c r="G18" s="4">
        <v>0</v>
      </c>
      <c r="H18" s="4">
        <v>2.7816330000000073E-2</v>
      </c>
    </row>
    <row r="19" spans="2:8" ht="14.1" customHeight="1">
      <c r="B19" s="283" t="str">
        <f>IF(Indice_index!$Z$1=1,"006 - Economia","006 - Economy")</f>
        <v>006 - Economia</v>
      </c>
      <c r="C19" s="4">
        <v>135.32969035999997</v>
      </c>
      <c r="D19" s="4">
        <v>0</v>
      </c>
      <c r="E19" s="4">
        <v>135.32969035999997</v>
      </c>
      <c r="F19" s="4">
        <v>177.86360008999998</v>
      </c>
      <c r="G19" s="4">
        <v>0.45433099999999998</v>
      </c>
      <c r="H19" s="4">
        <v>178.31793108999997</v>
      </c>
    </row>
    <row r="20" spans="2:8" ht="14.1" customHeight="1">
      <c r="B20" s="283" t="str">
        <f>IF(Indice_index!$Z$1=1,"007 - Coesão Territorial","007 - Territorial Cohesion")</f>
        <v>007 - Coesão Territorial</v>
      </c>
      <c r="C20" s="4">
        <v>6.4384090200000026</v>
      </c>
      <c r="D20" s="4">
        <v>0</v>
      </c>
      <c r="E20" s="4">
        <v>6.4384090200000026</v>
      </c>
      <c r="F20" s="4">
        <v>40.160808050000007</v>
      </c>
      <c r="G20" s="4">
        <v>0</v>
      </c>
      <c r="H20" s="4">
        <v>40.160808050000007</v>
      </c>
    </row>
    <row r="21" spans="2:8" ht="14.1" customHeight="1">
      <c r="B21" s="283" t="str">
        <f>IF(Indice_index!$Z$1=1,"008 - Reforma do Estado","008 - State Reform")</f>
        <v>008 - Reforma do Estado</v>
      </c>
      <c r="C21" s="4">
        <v>1.9932898800000001</v>
      </c>
      <c r="D21" s="4">
        <v>0</v>
      </c>
      <c r="E21" s="4">
        <v>1.9932898800000001</v>
      </c>
      <c r="F21" s="4">
        <v>10.15776565</v>
      </c>
      <c r="G21" s="4">
        <v>0</v>
      </c>
      <c r="H21" s="4">
        <v>10.15776565</v>
      </c>
    </row>
    <row r="22" spans="2:8" ht="14.1" customHeight="1">
      <c r="B22" s="283" t="str">
        <f>IF(Indice_index!$Z$1=1,"009 - Defesa","009 - Defense")</f>
        <v>009 - Defesa</v>
      </c>
      <c r="C22" s="4">
        <v>1.4252650000000002E-2</v>
      </c>
      <c r="D22" s="4">
        <v>0</v>
      </c>
      <c r="E22" s="4">
        <v>1.4252650000000002E-2</v>
      </c>
      <c r="F22" s="4">
        <v>9.1358699999999991E-3</v>
      </c>
      <c r="G22" s="4">
        <v>7.2138100000000002E-3</v>
      </c>
      <c r="H22" s="4">
        <v>1.6349680000000002E-2</v>
      </c>
    </row>
    <row r="23" spans="2:8" ht="14.1" customHeight="1">
      <c r="B23" s="283" t="str">
        <f>IF(Indice_index!$Z$1=1,"010 - Infraestruturas e Habitação","010 - Infrastructure and Housing")</f>
        <v>010 - Infraestruturas e Habitação</v>
      </c>
      <c r="C23" s="4">
        <v>19.751834760000001</v>
      </c>
      <c r="D23" s="4">
        <v>1.199831E-2</v>
      </c>
      <c r="E23" s="4">
        <v>19.763833069999997</v>
      </c>
      <c r="F23" s="4">
        <v>84.121071560000004</v>
      </c>
      <c r="G23" s="4">
        <v>3.734537000000001E-2</v>
      </c>
      <c r="H23" s="4">
        <v>84.158416930000016</v>
      </c>
    </row>
    <row r="24" spans="2:8" ht="14.1" customHeight="1">
      <c r="B24" s="283" t="str">
        <f>IF(Indice_index!$Z$1=1,"011 - Justiça","011 - Justice")</f>
        <v>011 - Justiça</v>
      </c>
      <c r="C24" s="4">
        <v>3.8853531900000005</v>
      </c>
      <c r="D24" s="4">
        <v>0.43677041999999999</v>
      </c>
      <c r="E24" s="4">
        <v>4.3221236099999993</v>
      </c>
      <c r="F24" s="4">
        <v>8.5737268500000017</v>
      </c>
      <c r="G24" s="4">
        <v>0.59962541999999996</v>
      </c>
      <c r="H24" s="4">
        <v>9.1733522700000005</v>
      </c>
    </row>
    <row r="25" spans="2:8" ht="14.1" customHeight="1">
      <c r="B25" s="283" t="str">
        <f>IF(Indice_index!$Z$1=1,"012 - Segurança Interna","012 - Internal Security")</f>
        <v>012 - Segurança Interna</v>
      </c>
      <c r="C25" s="4">
        <v>0.28535559999999999</v>
      </c>
      <c r="D25" s="4">
        <v>0</v>
      </c>
      <c r="E25" s="4">
        <v>0.28535559999999999</v>
      </c>
      <c r="F25" s="4">
        <v>0.77203098999999997</v>
      </c>
      <c r="G25" s="4">
        <v>0</v>
      </c>
      <c r="H25" s="4">
        <v>0.77203098999999997</v>
      </c>
    </row>
    <row r="26" spans="2:8" ht="14.1" customHeight="1">
      <c r="B26" s="283" t="str">
        <f>IF(Indice_index!$Z$1=1,"013 - Educação","013 - Education")</f>
        <v>013 - Educação</v>
      </c>
      <c r="C26" s="4">
        <v>24.433074639999997</v>
      </c>
      <c r="D26" s="4">
        <v>1.39255627</v>
      </c>
      <c r="E26" s="4">
        <v>25.825630909999997</v>
      </c>
      <c r="F26" s="4">
        <v>24.555422850000006</v>
      </c>
      <c r="G26" s="4">
        <v>0.24510560000000001</v>
      </c>
      <c r="H26" s="4">
        <v>24.800528450000005</v>
      </c>
    </row>
    <row r="27" spans="2:8" ht="14.1" customHeight="1">
      <c r="B27" s="283" t="str">
        <f>IF(Indice_index!$Z$1=1,"014 - Ensino Superior, Ciência e Inovação","014 - Higher Education, Science and Inovation")</f>
        <v>014 - Ensino Superior, Ciência e Inovação</v>
      </c>
      <c r="C27" s="4">
        <v>20.742373659999998</v>
      </c>
      <c r="D27" s="4">
        <v>1.2687188699999998</v>
      </c>
      <c r="E27" s="4">
        <v>22.011092530000003</v>
      </c>
      <c r="F27" s="4">
        <v>41.064448599999963</v>
      </c>
      <c r="G27" s="4">
        <v>0.58752020999999999</v>
      </c>
      <c r="H27" s="4">
        <v>41.651968809999957</v>
      </c>
    </row>
    <row r="28" spans="2:8" ht="14.1" customHeight="1">
      <c r="B28" s="283" t="str">
        <f>IF(Indice_index!$Z$1=1,"015 - Saúde","015 - Health")</f>
        <v>015 - Saúde</v>
      </c>
      <c r="C28" s="4">
        <v>5.0072056300000005</v>
      </c>
      <c r="D28" s="4">
        <v>4.7985E-2</v>
      </c>
      <c r="E28" s="4">
        <v>5.0551906300000011</v>
      </c>
      <c r="F28" s="4">
        <v>49.32319262</v>
      </c>
      <c r="G28" s="4">
        <v>0.41336972</v>
      </c>
      <c r="H28" s="4">
        <v>49.736562339999999</v>
      </c>
    </row>
    <row r="29" spans="2:8" ht="14.1" customHeight="1">
      <c r="B29" s="283" t="str">
        <f>IF(Indice_index!$Z$1=1,"016 - Trabalho, Solidariedade e Segurança Social","016 - Work, Solidarity and Social Security")</f>
        <v>016 - Trabalho, Solidariedade e Segurança Social</v>
      </c>
      <c r="C29" s="4">
        <v>8.6654048600000007</v>
      </c>
      <c r="D29" s="4">
        <v>0</v>
      </c>
      <c r="E29" s="4">
        <v>8.6654048600000007</v>
      </c>
      <c r="F29" s="4">
        <v>18.547349330000003</v>
      </c>
      <c r="G29" s="4">
        <v>4.6066719999999999E-2</v>
      </c>
      <c r="H29" s="4">
        <v>18.593416050000002</v>
      </c>
    </row>
    <row r="30" spans="2:8" ht="14.1" customHeight="1">
      <c r="B30" s="283" t="str">
        <f>IF(Indice_index!$Z$1=1,"017 - Ambiente e Energia","017 - Environment and Energy")</f>
        <v>017 - Ambiente e Energia</v>
      </c>
      <c r="C30" s="4">
        <v>18.668520699999998</v>
      </c>
      <c r="D30" s="4">
        <v>0</v>
      </c>
      <c r="E30" s="4">
        <v>18.668520699999998</v>
      </c>
      <c r="F30" s="4">
        <v>37.348491320000008</v>
      </c>
      <c r="G30" s="4">
        <v>0</v>
      </c>
      <c r="H30" s="4">
        <v>37.348491320000008</v>
      </c>
    </row>
    <row r="31" spans="2:8" ht="14.1" customHeight="1">
      <c r="B31" s="283" t="str">
        <f>IF(Indice_index!$Z$1=1,"018 - Cultura","018 - Culture")</f>
        <v>018 - Cultura</v>
      </c>
      <c r="C31" s="4">
        <v>2.5906480699999994</v>
      </c>
      <c r="D31" s="4">
        <v>0</v>
      </c>
      <c r="E31" s="4">
        <v>2.5906480699999994</v>
      </c>
      <c r="F31" s="4">
        <v>20.015396510000006</v>
      </c>
      <c r="G31" s="4">
        <v>0</v>
      </c>
      <c r="H31" s="4">
        <v>20.015396510000006</v>
      </c>
    </row>
    <row r="32" spans="2:8" ht="14.1" customHeight="1">
      <c r="B32" s="283" t="str">
        <f>IF(Indice_index!$Z$1=1,"019 - Juventude e Desporto","019 - Youth and Sport")</f>
        <v>019 - Juventude e Desporto</v>
      </c>
      <c r="C32" s="4">
        <v>0.12407333999999999</v>
      </c>
      <c r="D32" s="4">
        <v>0</v>
      </c>
      <c r="E32" s="4">
        <v>0.12407333999999999</v>
      </c>
      <c r="F32" s="4">
        <v>0</v>
      </c>
      <c r="G32" s="4">
        <v>0</v>
      </c>
      <c r="H32" s="4">
        <v>0</v>
      </c>
    </row>
    <row r="33" spans="2:9" ht="14.1" customHeight="1">
      <c r="B33" s="310" t="str">
        <f>IF(Indice_index!$Z$1=1,"020 - Agricultura e Mar","020 - Agriculture and Sea")</f>
        <v>020 - Agricultura e Mar</v>
      </c>
      <c r="C33" s="19">
        <v>3.4266272899999981</v>
      </c>
      <c r="D33" s="19">
        <v>0</v>
      </c>
      <c r="E33" s="19">
        <v>3.4266272899999981</v>
      </c>
      <c r="F33" s="19">
        <v>6.2599794599999994</v>
      </c>
      <c r="G33" s="19">
        <v>0</v>
      </c>
      <c r="H33" s="19">
        <v>6.2599794599999994</v>
      </c>
    </row>
    <row r="34" spans="2:9" ht="15">
      <c r="B34" s="9" t="str">
        <f>IF(Indice_index!$Z$1=1,"Notas:","Notes:")</f>
        <v>Notas:</v>
      </c>
      <c r="C34" s="9"/>
      <c r="D34" s="9"/>
      <c r="E34" s="9"/>
      <c r="F34" s="9"/>
      <c r="G34" s="9"/>
      <c r="H34" s="9"/>
      <c r="I34" s="9"/>
    </row>
    <row r="35" spans="2:9" ht="15">
      <c r="B35" s="376" t="str">
        <f>IF(Indice_index!$Z$1=1,"Receita e despesa total consolidada de fluxos internos à Administração Central. Não inclui diferenças de consolidação.","Total revenue and expenditure consolidated ​​of internal flows to the Central Government. It does not include consolidation differences.")</f>
        <v>Receita e despesa total consolidada de fluxos internos à Administração Central. Não inclui diferenças de consolidação.</v>
      </c>
      <c r="C35" s="376"/>
      <c r="D35" s="376"/>
      <c r="E35" s="376"/>
      <c r="F35" s="376"/>
      <c r="G35" s="376"/>
      <c r="H35" s="376"/>
      <c r="I35" s="30"/>
    </row>
    <row r="36" spans="2:9" ht="15">
      <c r="B36" s="146" t="str">
        <f>IF(Indice_index!$Z$1=1,"Fonte: Entidade Orçamental.","Source: Budgetary Entity.")</f>
        <v>Fonte: Entidade Orçamental.</v>
      </c>
      <c r="C36" s="146"/>
      <c r="D36" s="146"/>
      <c r="E36" s="28"/>
      <c r="F36" s="179"/>
      <c r="G36" s="27"/>
      <c r="H36" s="27"/>
      <c r="I36" s="147"/>
    </row>
    <row r="37" spans="2:9" ht="15">
      <c r="B37" s="383"/>
      <c r="C37" s="383"/>
      <c r="D37" s="61"/>
      <c r="E37" s="61"/>
    </row>
    <row r="38" spans="2:9" ht="15" hidden="1">
      <c r="B38" s="382"/>
      <c r="C38" s="382"/>
    </row>
    <row r="39" spans="2:9" ht="15" hidden="1">
      <c r="B39" s="382"/>
      <c r="C39" s="382"/>
    </row>
    <row r="40" spans="2:9" ht="15" hidden="1">
      <c r="B40" s="383"/>
      <c r="C40" s="383"/>
    </row>
  </sheetData>
  <mergeCells count="9">
    <mergeCell ref="C11:E11"/>
    <mergeCell ref="F11:H11"/>
    <mergeCell ref="B40:C40"/>
    <mergeCell ref="B37:C37"/>
    <mergeCell ref="B38:C38"/>
    <mergeCell ref="B39:C39"/>
    <mergeCell ref="B10:B12"/>
    <mergeCell ref="C10:H10"/>
    <mergeCell ref="B35:H35"/>
  </mergeCells>
  <conditionalFormatting sqref="B33">
    <cfRule type="cellIs" dxfId="24" priority="1" operator="equal">
      <formula>0</formula>
    </cfRule>
  </conditionalFormatting>
  <conditionalFormatting sqref="C15:H33">
    <cfRule type="cellIs" dxfId="23" priority="3"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6"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4"/>
  <sheetViews>
    <sheetView showGridLines="0" workbookViewId="0"/>
  </sheetViews>
  <sheetFormatPr defaultColWidth="0" defaultRowHeight="14.85" customHeight="1" zeroHeight="1"/>
  <cols>
    <col min="1" max="1" width="8.5703125" style="49" customWidth="1"/>
    <col min="2" max="2" width="46.5703125" style="30" customWidth="1"/>
    <col min="3" max="5" width="10.5703125" style="30" customWidth="1"/>
    <col min="6" max="7" width="10.5703125" style="49" customWidth="1"/>
    <col min="8" max="10" width="10.5703125" customWidth="1"/>
    <col min="11" max="11" width="9.42578125" customWidth="1"/>
    <col min="12" max="16384" width="9.42578125" hidden="1"/>
  </cols>
  <sheetData>
    <row r="1" spans="1:13" ht="15"/>
    <row r="2" spans="1:13" ht="15"/>
    <row r="3" spans="1:13" ht="15"/>
    <row r="4" spans="1:13" ht="15"/>
    <row r="5" spans="1:13" ht="18" customHeight="1">
      <c r="A5"/>
      <c r="B5" s="254" t="str">
        <f>IF(Indice_index!$Z$1=1,"ANEXOS ESTATÍSTICOS","STATISTICAL ANNEXES")</f>
        <v>ANEXOS ESTATÍSTICOS</v>
      </c>
      <c r="C5"/>
      <c r="D5"/>
      <c r="E5"/>
      <c r="F5"/>
      <c r="G5"/>
    </row>
    <row r="6" spans="1:13" ht="18" customHeight="1">
      <c r="A6"/>
      <c r="B6" s="255" t="str">
        <f>IF(Indice_index!$Z$1=1,"Fevereiro de 2026","February 2026")</f>
        <v>Fevereiro de 2026</v>
      </c>
      <c r="C6"/>
      <c r="D6"/>
      <c r="E6"/>
      <c r="F6"/>
      <c r="G6"/>
    </row>
    <row r="7" spans="1:13" ht="48.75" customHeight="1">
      <c r="A7" s="11"/>
      <c r="B7" s="12"/>
      <c r="C7" s="12"/>
      <c r="D7" s="12"/>
      <c r="E7" s="13"/>
      <c r="F7" s="11"/>
      <c r="G7" s="11"/>
      <c r="H7" s="11"/>
      <c r="I7" s="11"/>
      <c r="J7" s="10"/>
      <c r="K7" s="10"/>
      <c r="L7" s="10"/>
      <c r="M7" s="10"/>
    </row>
    <row r="8" spans="1:13" ht="15.75">
      <c r="B8" s="114"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114"/>
      <c r="D8" s="114"/>
      <c r="E8" s="2"/>
      <c r="F8" s="2"/>
      <c r="G8" s="2"/>
    </row>
    <row r="9" spans="1:13" ht="15.75">
      <c r="B9" s="3" t="str">
        <f>+'3 - Conta AC + SS'!B9</f>
        <v>Período: janeiro a fevereiro</v>
      </c>
      <c r="C9" s="114"/>
      <c r="D9" s="114"/>
      <c r="E9" s="2"/>
      <c r="F9" s="2"/>
      <c r="G9" s="2"/>
      <c r="J9" s="3" t="str">
        <f>IF(Indice_index!$Z$1=1,"€ Milhões","€ Millions")</f>
        <v>€ Milhões</v>
      </c>
    </row>
    <row r="10" spans="1:13" ht="15" customHeight="1">
      <c r="B10" s="414" t="str">
        <f>IF(Indice_index!$Z$1=1,"Dimensão/Componente","Dimension/Component")</f>
        <v>Dimensão/Componente</v>
      </c>
      <c r="C10" s="343" t="str">
        <f>IF(Indice_index!$Z$1=1,"Anos Anteriores (2021-2024)","Previous Years (2021-2024)")</f>
        <v>Anos Anteriores (2021-2024)</v>
      </c>
      <c r="D10" s="374" t="str">
        <f>IF(Indice_index!$Z$1=1,"Execução Provisória 2025","Provisional Execution 2025")</f>
        <v>Execução Provisória 2025</v>
      </c>
      <c r="E10" s="355" t="str">
        <f>IF(Indice_index!$Z$1=1,"Execução Acumulada","Accumulated Execution")</f>
        <v>Execução Acumulada</v>
      </c>
      <c r="F10" s="355"/>
      <c r="G10" s="355"/>
      <c r="H10" s="355"/>
      <c r="I10" s="355"/>
      <c r="J10" s="356"/>
    </row>
    <row r="11" spans="1:13" ht="15" customHeight="1">
      <c r="B11" s="415"/>
      <c r="C11" s="343"/>
      <c r="D11" s="373"/>
      <c r="E11" s="375">
        <v>2025</v>
      </c>
      <c r="F11" s="371"/>
      <c r="G11" s="372"/>
      <c r="H11" s="375">
        <v>2026</v>
      </c>
      <c r="I11" s="371"/>
      <c r="J11" s="372"/>
    </row>
    <row r="12" spans="1:13" ht="24">
      <c r="B12" s="356"/>
      <c r="C12" s="417"/>
      <c r="D12" s="416"/>
      <c r="E12" s="22" t="str">
        <f>IF(Indice_index!$Z$1=1,"PRR","Recovery and Resilience Plan")</f>
        <v>PRR</v>
      </c>
      <c r="F12" s="22" t="str">
        <f>IF(Indice_index!$Z$1=1,"Esforço Nacional","National Effort")</f>
        <v>Esforço Nacional</v>
      </c>
      <c r="G12" s="22" t="s">
        <v>396</v>
      </c>
      <c r="H12" s="22" t="str">
        <f>IF(Indice_index!$Z$1=1,"PRR","Recovery and Resilience Plan")</f>
        <v>PRR</v>
      </c>
      <c r="I12" s="22" t="str">
        <f>IF(Indice_index!$Z$1=1,"Esforço Nacional","National Effort")</f>
        <v>Esforço Nacional</v>
      </c>
      <c r="J12" s="22" t="s">
        <v>396</v>
      </c>
    </row>
    <row r="13" spans="1:13" ht="14.1" customHeight="1">
      <c r="B13" s="29" t="str">
        <f>IF(Indice_index!$Z$1=1,"RESILIÊNCIA","RESILIENCE")</f>
        <v>RESILIÊNCIA</v>
      </c>
      <c r="C13" s="18">
        <f t="shared" ref="C13:J13" si="0">+SUM(C14:C22)</f>
        <v>3818.5544905099969</v>
      </c>
      <c r="D13" s="18">
        <f t="shared" si="0"/>
        <v>3198.8091800099992</v>
      </c>
      <c r="E13" s="18">
        <f t="shared" si="0"/>
        <v>201.89583932999969</v>
      </c>
      <c r="F13" s="18">
        <f t="shared" si="0"/>
        <v>1.2056700600000003</v>
      </c>
      <c r="G13" s="18">
        <f t="shared" si="0"/>
        <v>203.10150938999968</v>
      </c>
      <c r="H13" s="18">
        <f t="shared" si="0"/>
        <v>398.42416544999992</v>
      </c>
      <c r="I13" s="18">
        <f t="shared" si="0"/>
        <v>1.30645181</v>
      </c>
      <c r="J13" s="18">
        <f t="shared" si="0"/>
        <v>399.73061725999986</v>
      </c>
    </row>
    <row r="14" spans="1:13" ht="14.1" customHeight="1">
      <c r="B14" s="121" t="str">
        <f>IF(Indice_index!$Z$1=1,"C1. SNS","C1. NATIONAL HEALTH SERVICE")</f>
        <v>C1. SNS</v>
      </c>
      <c r="C14" s="4">
        <v>216.76611595999998</v>
      </c>
      <c r="D14" s="4">
        <v>247.56891819000018</v>
      </c>
      <c r="E14" s="4">
        <v>5.1084734200000002</v>
      </c>
      <c r="F14" s="4">
        <v>4.7985E-2</v>
      </c>
      <c r="G14" s="4">
        <v>5.1564584199999999</v>
      </c>
      <c r="H14" s="4">
        <v>48.01869885</v>
      </c>
      <c r="I14" s="4">
        <v>0.25012976000000003</v>
      </c>
      <c r="J14" s="4">
        <v>48.268828610000007</v>
      </c>
    </row>
    <row r="15" spans="1:13" ht="14.1" customHeight="1">
      <c r="B15" s="121" t="str">
        <f>IF(Indice_index!$Z$1=1,"C2. HABITAÇÃO","C2. HOUSING")</f>
        <v>C2. HABITAÇÃO</v>
      </c>
      <c r="C15" s="4">
        <v>756.92196471999978</v>
      </c>
      <c r="D15" s="4">
        <v>847.74219120000032</v>
      </c>
      <c r="E15" s="4">
        <v>12.878231629999991</v>
      </c>
      <c r="F15" s="4">
        <v>0.17197081000000003</v>
      </c>
      <c r="G15" s="4">
        <v>13.050202439999994</v>
      </c>
      <c r="H15" s="4">
        <v>57.003303289999998</v>
      </c>
      <c r="I15" s="4">
        <v>0.23358561999999999</v>
      </c>
      <c r="J15" s="4">
        <v>57.236888909999998</v>
      </c>
    </row>
    <row r="16" spans="1:13" ht="14.1" customHeight="1">
      <c r="B16" s="121" t="str">
        <f>IF(Indice_index!$Z$1=1,"C3. RESPOSTAS SOCIAIS","C3. SOCIAL RESPONSES")</f>
        <v>C3. RESPOSTAS SOCIAIS</v>
      </c>
      <c r="C16" s="4">
        <v>15.41664879</v>
      </c>
      <c r="D16" s="4">
        <v>11.505297229999998</v>
      </c>
      <c r="E16" s="4">
        <v>0.14591538999999998</v>
      </c>
      <c r="F16" s="4">
        <v>0</v>
      </c>
      <c r="G16" s="4">
        <v>0.14591538999999998</v>
      </c>
      <c r="H16" s="4">
        <v>0.81589402</v>
      </c>
      <c r="I16" s="4">
        <v>5.6005519999999996E-2</v>
      </c>
      <c r="J16" s="4">
        <v>0.87189953999999992</v>
      </c>
    </row>
    <row r="17" spans="2:10" ht="14.1" customHeight="1">
      <c r="B17" s="121" t="str">
        <f>IF(Indice_index!$Z$1=1,"C4. CULTURA","C4. CULTURE")</f>
        <v>C4. CULTURA</v>
      </c>
      <c r="C17" s="4">
        <v>80.512915090000007</v>
      </c>
      <c r="D17" s="4">
        <v>45.999881160000008</v>
      </c>
      <c r="E17" s="4">
        <v>2.5899967399999992</v>
      </c>
      <c r="F17" s="4">
        <v>0</v>
      </c>
      <c r="G17" s="4">
        <v>2.5899967399999992</v>
      </c>
      <c r="H17" s="4">
        <v>20.243532520000002</v>
      </c>
      <c r="I17" s="4">
        <v>1.15E-3</v>
      </c>
      <c r="J17" s="4">
        <v>20.244682520000005</v>
      </c>
    </row>
    <row r="18" spans="2:10" ht="14.1" customHeight="1">
      <c r="B18" s="121" t="str">
        <f>IF(Indice_index!$Z$1=1,"C5. CAPITALIZAÇÃO E INOVAÇÃO EMPRESARIAL","C5. CAPITALIZATION AND BUSINESS INNOVATION")</f>
        <v>C5. CAPITALIZAÇÃO E INOVAÇÃO EMPRESARIAL</v>
      </c>
      <c r="C18" s="4">
        <v>1729.5001927199969</v>
      </c>
      <c r="D18" s="4">
        <v>1333.9220498299985</v>
      </c>
      <c r="E18" s="4">
        <v>129.10173299999971</v>
      </c>
      <c r="F18" s="4">
        <v>0.76574841000000027</v>
      </c>
      <c r="G18" s="4">
        <v>129.86748140999967</v>
      </c>
      <c r="H18" s="4">
        <v>173.80236666999994</v>
      </c>
      <c r="I18" s="4">
        <v>0.50819232000000003</v>
      </c>
      <c r="J18" s="4">
        <v>174.31055898999992</v>
      </c>
    </row>
    <row r="19" spans="2:10" ht="14.1" customHeight="1">
      <c r="B19" s="121" t="str">
        <f>IF(Indice_index!$Z$1=1,"C6. QUALIFICAÇÕES E COMPETÊNCIAS","C6. QUALIFICATIONS AND SKILLS")</f>
        <v>C6. QUALIFICAÇÕES E COMPETÊNCIAS</v>
      </c>
      <c r="C19" s="4">
        <v>677.11589823999975</v>
      </c>
      <c r="D19" s="4">
        <v>383.02377495000025</v>
      </c>
      <c r="E19" s="4">
        <v>25.234429740000007</v>
      </c>
      <c r="F19" s="4">
        <v>0.21996584</v>
      </c>
      <c r="G19" s="4">
        <v>25.454395580000011</v>
      </c>
      <c r="H19" s="4">
        <v>56.464335699999992</v>
      </c>
      <c r="I19" s="4">
        <v>0.25738858999999997</v>
      </c>
      <c r="J19" s="4">
        <v>56.721724289999997</v>
      </c>
    </row>
    <row r="20" spans="2:10" ht="14.1" customHeight="1">
      <c r="B20" s="121" t="str">
        <f>IF(Indice_index!$Z$1=1,"C7. INFRAESTRUTURAS","C7. INFRASTRUCTURES")</f>
        <v>C7. INFRAESTRUTURAS</v>
      </c>
      <c r="C20" s="4">
        <v>186.48566022000003</v>
      </c>
      <c r="D20" s="4">
        <v>203.07530768999999</v>
      </c>
      <c r="E20" s="4">
        <v>10.914639370000002</v>
      </c>
      <c r="F20" s="4">
        <v>0</v>
      </c>
      <c r="G20" s="4">
        <v>10.914639370000002</v>
      </c>
      <c r="H20" s="4">
        <v>25.556342109999996</v>
      </c>
      <c r="I20" s="4">
        <v>0</v>
      </c>
      <c r="J20" s="4">
        <v>25.556342109999996</v>
      </c>
    </row>
    <row r="21" spans="2:10" ht="14.1" customHeight="1">
      <c r="B21" s="121" t="str">
        <f>IF(Indice_index!$Z$1=1,"C8. FLORESTAS","C8. FORESTS")</f>
        <v>C8. FLORESTAS</v>
      </c>
      <c r="C21" s="4">
        <v>153.75349231999999</v>
      </c>
      <c r="D21" s="4">
        <v>121.29684162999999</v>
      </c>
      <c r="E21" s="4">
        <v>15.922420040000002</v>
      </c>
      <c r="F21" s="4">
        <v>0</v>
      </c>
      <c r="G21" s="4">
        <v>15.922420040000002</v>
      </c>
      <c r="H21" s="4">
        <v>16.496255459999997</v>
      </c>
      <c r="I21" s="4">
        <v>0</v>
      </c>
      <c r="J21" s="4">
        <v>16.496255459999997</v>
      </c>
    </row>
    <row r="22" spans="2:10" ht="14.1" customHeight="1">
      <c r="B22" s="121" t="str">
        <f>IF(Indice_index!$Z$1=1,"C9. GESTÃO HÍDRICA","C9. WATER MANAGEMENT")</f>
        <v>C9. GESTÃO HÍDRICA</v>
      </c>
      <c r="C22" s="4">
        <v>2.0816024500000001</v>
      </c>
      <c r="D22" s="4">
        <v>4.6749181299999982</v>
      </c>
      <c r="E22" s="4">
        <v>0</v>
      </c>
      <c r="F22" s="4">
        <v>0</v>
      </c>
      <c r="G22" s="4">
        <v>0</v>
      </c>
      <c r="H22" s="4">
        <v>2.3436830000000002E-2</v>
      </c>
      <c r="I22" s="4">
        <v>0</v>
      </c>
      <c r="J22" s="4">
        <v>2.3436830000000002E-2</v>
      </c>
    </row>
    <row r="23" spans="2:10" ht="14.1" customHeight="1">
      <c r="B23" s="29" t="str">
        <f>IF(Indice_index!$Z$1=1,"TRANSIÇÃO CLIMÁTICA","CLIMATE TRANSITION")</f>
        <v>TRANSIÇÃO CLIMÁTICA</v>
      </c>
      <c r="C23" s="18">
        <f>+SUM(C24:C30)</f>
        <v>805.71454236</v>
      </c>
      <c r="D23" s="18">
        <f t="shared" ref="D23:J23" si="1">+SUM(D24:D30)</f>
        <v>573.46007230999987</v>
      </c>
      <c r="E23" s="18">
        <f t="shared" si="1"/>
        <v>12.43231317</v>
      </c>
      <c r="F23" s="18">
        <f t="shared" si="1"/>
        <v>0.10609014</v>
      </c>
      <c r="G23" s="18">
        <f t="shared" si="1"/>
        <v>12.53840331</v>
      </c>
      <c r="H23" s="18">
        <f t="shared" si="1"/>
        <v>72.508675760000003</v>
      </c>
      <c r="I23" s="18">
        <f t="shared" si="1"/>
        <v>0.24006984000000001</v>
      </c>
      <c r="J23" s="18">
        <f t="shared" si="1"/>
        <v>72.748745599999992</v>
      </c>
    </row>
    <row r="24" spans="2:10" ht="14.1" customHeight="1">
      <c r="B24" s="121" t="str">
        <f>IF(Indice_index!$Z$1=1,"C10. MAR","C10. SEA")</f>
        <v>C10. MAR</v>
      </c>
      <c r="C24" s="4">
        <v>146.14721397999992</v>
      </c>
      <c r="D24" s="4">
        <v>89.808867389999932</v>
      </c>
      <c r="E24" s="4">
        <v>3.7461797000000003</v>
      </c>
      <c r="F24" s="4">
        <v>1.8192420000000001E-2</v>
      </c>
      <c r="G24" s="4">
        <v>3.76437212</v>
      </c>
      <c r="H24" s="4">
        <v>2.6362761800000007</v>
      </c>
      <c r="I24" s="4">
        <v>0</v>
      </c>
      <c r="J24" s="4">
        <v>2.6362761800000007</v>
      </c>
    </row>
    <row r="25" spans="2:10" ht="14.1" customHeight="1">
      <c r="B25" s="121" t="str">
        <f>IF(Indice_index!$Z$1=1,"C11. DESCARBONIZAÇÃO DA INDÚSTRIA","C11. DECARBONIZATION OF INDUSTRY")</f>
        <v>C11. DESCARBONIZAÇÃO DA INDÚSTRIA</v>
      </c>
      <c r="C25" s="4">
        <v>277.48229045000005</v>
      </c>
      <c r="D25" s="4">
        <v>180.11536457999998</v>
      </c>
      <c r="E25" s="4">
        <v>0</v>
      </c>
      <c r="F25" s="4">
        <v>0</v>
      </c>
      <c r="G25" s="4">
        <v>0</v>
      </c>
      <c r="H25" s="4">
        <v>20.346687709999998</v>
      </c>
      <c r="I25" s="4">
        <v>7.6829880000000003E-2</v>
      </c>
      <c r="J25" s="4">
        <v>20.423517589999999</v>
      </c>
    </row>
    <row r="26" spans="2:10" ht="14.1" customHeight="1">
      <c r="B26" s="121" t="str">
        <f>IF(Indice_index!$Z$1=1,"C12. BIOECONOMIA SUSTENTÁVEL","C12. SUSTAINABLE BIOECONOMY")</f>
        <v>C12. BIOECONOMIA SUSTENTÁVEL</v>
      </c>
      <c r="C26" s="4">
        <v>41.242519280000003</v>
      </c>
      <c r="D26" s="4">
        <v>31.018158939999999</v>
      </c>
      <c r="E26" s="4">
        <v>0.63333875000000006</v>
      </c>
      <c r="F26" s="4">
        <v>1.955113E-2</v>
      </c>
      <c r="G26" s="4">
        <v>0.65288988000000014</v>
      </c>
      <c r="H26" s="4">
        <v>8.7585705699999998</v>
      </c>
      <c r="I26" s="4">
        <v>0</v>
      </c>
      <c r="J26" s="4">
        <v>8.7585705699999998</v>
      </c>
    </row>
    <row r="27" spans="2:10" ht="14.1" customHeight="1">
      <c r="B27" s="121" t="str">
        <f>IF(Indice_index!$Z$1=1,"C13. EFICIÊNCIA ENERGÉTICA DOS EDIFÍCIOS","C13. ENERGY EFFICIENCY IN BUILDINGS")</f>
        <v>C13. EFICIÊNCIA ENERGÉTICA DOS EDIFÍCIOS</v>
      </c>
      <c r="C27" s="4">
        <v>203.41096961000002</v>
      </c>
      <c r="D27" s="4">
        <v>59.573198139999981</v>
      </c>
      <c r="E27" s="4">
        <v>1.30013523</v>
      </c>
      <c r="F27" s="4">
        <v>6.8346589999999999E-2</v>
      </c>
      <c r="G27" s="4">
        <v>1.3684818200000008</v>
      </c>
      <c r="H27" s="4">
        <v>8.2410230999999978</v>
      </c>
      <c r="I27" s="4">
        <v>0.11609387</v>
      </c>
      <c r="J27" s="4">
        <v>8.3571169699999981</v>
      </c>
    </row>
    <row r="28" spans="2:10" ht="14.1" customHeight="1">
      <c r="B28" s="121" t="str">
        <f>IF(Indice_index!$Z$1=1,"C14. HIDROGÉNIO E RENOVÁVEIS","C14. HYDROGEN AND RENEWABLES")</f>
        <v>C14. HIDROGÉNIO E RENOVÁVEIS</v>
      </c>
      <c r="C28" s="4">
        <v>10.216590279999998</v>
      </c>
      <c r="D28" s="4">
        <v>3.469595</v>
      </c>
      <c r="E28" s="4">
        <v>0</v>
      </c>
      <c r="F28" s="4">
        <v>0</v>
      </c>
      <c r="G28" s="4">
        <v>0</v>
      </c>
      <c r="H28" s="4">
        <v>1.55457201</v>
      </c>
      <c r="I28" s="4">
        <v>0</v>
      </c>
      <c r="J28" s="4">
        <v>1.55457201</v>
      </c>
    </row>
    <row r="29" spans="2:10" ht="14.1" customHeight="1">
      <c r="B29" s="121" t="str">
        <f>IF(Indice_index!$Z$1=1,"C15. MOBILIDADE SUSTENTÁVEL","C15. SUSTAINABLE MOBILITY")</f>
        <v>C15. MOBILIDADE SUSTENTÁVEL</v>
      </c>
      <c r="C29" s="4">
        <v>127.21495876</v>
      </c>
      <c r="D29" s="4">
        <v>113.44980524</v>
      </c>
      <c r="E29" s="4">
        <v>3.69594164</v>
      </c>
      <c r="F29" s="4">
        <v>0</v>
      </c>
      <c r="G29" s="4">
        <v>3.69594164</v>
      </c>
      <c r="H29" s="4">
        <v>20.892800530000002</v>
      </c>
      <c r="I29" s="4">
        <v>4.7146089999999995E-2</v>
      </c>
      <c r="J29" s="4">
        <v>20.939946619999997</v>
      </c>
    </row>
    <row r="30" spans="2:10" ht="14.1" customHeight="1">
      <c r="B30" s="121" t="s">
        <v>397</v>
      </c>
      <c r="C30" s="4">
        <v>0</v>
      </c>
      <c r="D30" s="4">
        <v>96.025083019999997</v>
      </c>
      <c r="E30" s="4">
        <v>3.0567178499999992</v>
      </c>
      <c r="F30" s="4">
        <v>0</v>
      </c>
      <c r="G30" s="4">
        <v>3.0567178499999992</v>
      </c>
      <c r="H30" s="4">
        <v>10.078745660000001</v>
      </c>
      <c r="I30" s="4">
        <v>0</v>
      </c>
      <c r="J30" s="4">
        <v>10.078745660000001</v>
      </c>
    </row>
    <row r="31" spans="2:10" ht="14.1" customHeight="1">
      <c r="B31" s="29" t="str">
        <f>IF(Indice_index!$Z$1=1,"TRANSIÇÃO DIGITAL","DIGITAL TRANSITION")</f>
        <v>TRANSIÇÃO DIGITAL</v>
      </c>
      <c r="C31" s="18">
        <f t="shared" ref="C31:J31" si="2">+SUM(C32:C36)</f>
        <v>774.66717582000024</v>
      </c>
      <c r="D31" s="18">
        <f t="shared" si="2"/>
        <v>428.14052530000004</v>
      </c>
      <c r="E31" s="18">
        <f>+SUM(E32:E36)</f>
        <v>38.073106119999991</v>
      </c>
      <c r="F31" s="18">
        <f t="shared" si="2"/>
        <v>1.9567881</v>
      </c>
      <c r="G31" s="18">
        <f t="shared" si="2"/>
        <v>40.029894219999989</v>
      </c>
      <c r="H31" s="18">
        <f t="shared" si="2"/>
        <v>49.447795109999994</v>
      </c>
      <c r="I31" s="18">
        <f t="shared" si="2"/>
        <v>0.92935122000000003</v>
      </c>
      <c r="J31" s="18">
        <f t="shared" si="2"/>
        <v>50.377146330000002</v>
      </c>
    </row>
    <row r="32" spans="2:10" ht="14.1" customHeight="1">
      <c r="B32" s="121" t="str">
        <f>IF(Indice_index!$Z$1=1,"C16. EMPRESAS 4.0","C16. COMPANIES 4.0")</f>
        <v>C16. EMPRESAS 4.0</v>
      </c>
      <c r="C32" s="4">
        <v>158.11519278999998</v>
      </c>
      <c r="D32" s="4">
        <v>146.46013623000002</v>
      </c>
      <c r="E32" s="4">
        <v>17.379787149999999</v>
      </c>
      <c r="F32" s="4">
        <v>1.6941979999999995E-2</v>
      </c>
      <c r="G32" s="4">
        <v>17.396729129999994</v>
      </c>
      <c r="H32" s="4">
        <v>32.229212719999992</v>
      </c>
      <c r="I32" s="4">
        <v>4.8302999999999996E-4</v>
      </c>
      <c r="J32" s="4">
        <v>32.229695749999998</v>
      </c>
    </row>
    <row r="33" spans="2:11" ht="14.1" customHeight="1">
      <c r="B33" s="121" t="str">
        <f>IF(Indice_index!$Z$1=1,"C17. QUALIDADE E SUSTENTABILIDADE DAS FINANÇAS PÚBLICAS","C17. QUALITY AND SUSTAINABILITY OF PUBLIC FINANCES")</f>
        <v>C17. QUALIDADE E SUSTENTABILIDADE DAS FINANÇAS PÚBLICAS</v>
      </c>
      <c r="C33" s="4">
        <v>24.417114760000004</v>
      </c>
      <c r="D33" s="4">
        <v>20.280952639999999</v>
      </c>
      <c r="E33" s="4">
        <v>0.22360117999999998</v>
      </c>
      <c r="F33" s="4">
        <v>0</v>
      </c>
      <c r="G33" s="4">
        <v>0.22360117999999998</v>
      </c>
      <c r="H33" s="4">
        <v>2.781633E-2</v>
      </c>
      <c r="I33" s="4">
        <v>0</v>
      </c>
      <c r="J33" s="4">
        <v>2.781633E-2</v>
      </c>
    </row>
    <row r="34" spans="2:11" ht="14.1" customHeight="1">
      <c r="B34" s="121" t="str">
        <f>IF(Indice_index!$Z$1=1,"C18. JUSTIÇA ECONÓMICA E AMBIENTE DE NEGÓCIOS","C18. ECONOMIC JUSTICE AND BUSINESS ENVIRONMENT")</f>
        <v>C18. JUSTIÇA ECONÓMICA E AMBIENTE DE NEGÓCIOS</v>
      </c>
      <c r="C34" s="4">
        <v>81.99874112000002</v>
      </c>
      <c r="D34" s="4">
        <v>114.20995743000005</v>
      </c>
      <c r="E34" s="4">
        <v>3.9136918900000004</v>
      </c>
      <c r="F34" s="4">
        <v>0.43677041999999999</v>
      </c>
      <c r="G34" s="4">
        <v>4.3504623099999993</v>
      </c>
      <c r="H34" s="4">
        <v>8.560073850000002</v>
      </c>
      <c r="I34" s="4">
        <v>0.59962541999999996</v>
      </c>
      <c r="J34" s="4">
        <v>9.1596992700000026</v>
      </c>
    </row>
    <row r="35" spans="2:11" ht="14.1" customHeight="1">
      <c r="B35" s="121" t="str">
        <f>IF(Indice_index!$Z$1=1,"C19. ADMINISTRAÇÃO PÚBLICA MAIS EFICIENTE","C19. MORE EFFICIENT PUBLIC ADMINISTRATION")</f>
        <v>C19. ADMINISTRAÇÃO PÚBLICA MAIS EFICIENTE</v>
      </c>
      <c r="C35" s="4">
        <v>179.43277989000018</v>
      </c>
      <c r="D35" s="4">
        <v>107.92243591999997</v>
      </c>
      <c r="E35" s="4">
        <v>2.6405160299999983</v>
      </c>
      <c r="F35" s="4">
        <v>0.11051943</v>
      </c>
      <c r="G35" s="4">
        <v>2.7510354599999989</v>
      </c>
      <c r="H35" s="4">
        <v>4.4609688700000012</v>
      </c>
      <c r="I35" s="4">
        <v>8.6477420000000013E-2</v>
      </c>
      <c r="J35" s="4">
        <v>4.5474462900000008</v>
      </c>
    </row>
    <row r="36" spans="2:11" ht="14.1" customHeight="1">
      <c r="B36" s="121" t="str">
        <f>IF(Indice_index!$Z$1=1,"C20. ESCOLA DIGITAL","C20. DIGITAL SCHOOL")</f>
        <v>C20. ESCOLA DIGITAL</v>
      </c>
      <c r="C36" s="4">
        <v>330.70334726000004</v>
      </c>
      <c r="D36" s="4">
        <v>39.267043080000001</v>
      </c>
      <c r="E36" s="4">
        <v>13.915509869999999</v>
      </c>
      <c r="F36" s="4">
        <v>1.39255627</v>
      </c>
      <c r="G36" s="4">
        <v>15.308066139999999</v>
      </c>
      <c r="H36" s="4">
        <v>4.1697233399999991</v>
      </c>
      <c r="I36" s="4">
        <v>0.24276535000000002</v>
      </c>
      <c r="J36" s="4">
        <v>4.4124886899999991</v>
      </c>
    </row>
    <row r="37" spans="2:11" ht="14.1" customHeight="1">
      <c r="B37" s="91" t="str">
        <f>IF(Indice_index!$Z$1=1,"Despesa Total","Total Expenditure")</f>
        <v>Despesa Total</v>
      </c>
      <c r="C37" s="26">
        <f t="shared" ref="C37:J37" si="3">+C13+C23+C31</f>
        <v>5398.9362086899973</v>
      </c>
      <c r="D37" s="26">
        <f t="shared" si="3"/>
        <v>4200.4097776199987</v>
      </c>
      <c r="E37" s="26">
        <f t="shared" si="3"/>
        <v>252.40125861999968</v>
      </c>
      <c r="F37" s="26">
        <f t="shared" si="3"/>
        <v>3.2685483000000004</v>
      </c>
      <c r="G37" s="26">
        <f t="shared" si="3"/>
        <v>255.66980691999967</v>
      </c>
      <c r="H37" s="26">
        <f t="shared" si="3"/>
        <v>520.38063631999989</v>
      </c>
      <c r="I37" s="26">
        <f t="shared" si="3"/>
        <v>2.4758728699999999</v>
      </c>
      <c r="J37" s="26">
        <f t="shared" si="3"/>
        <v>522.85650918999988</v>
      </c>
    </row>
    <row r="38" spans="2:11" ht="15">
      <c r="B38" s="9" t="str">
        <f>IF(Indice_index!$Z$1=1,"Notas:","Notes:")</f>
        <v>Notas:</v>
      </c>
      <c r="C38" s="9"/>
      <c r="D38" s="9"/>
      <c r="E38" s="9"/>
      <c r="F38" s="9"/>
      <c r="G38" s="9"/>
      <c r="H38" s="9"/>
      <c r="I38" s="9"/>
      <c r="J38" s="9"/>
      <c r="K38" s="9"/>
    </row>
    <row r="39" spans="2:11" ht="15">
      <c r="B39" s="376" t="str">
        <f>IF(Indice_index!$Z$1=1,"Despesa total consolidada de fluxos internos à Administração Central. Não inclui diferenças de consolidação.","Total Expenditure Consolidated ​​of internal flows to the Central Government. It does not include consolidation differences.")</f>
        <v>Despesa total consolidada de fluxos internos à Administração Central. Não inclui diferenças de consolidação.</v>
      </c>
      <c r="C39" s="376"/>
      <c r="D39" s="376"/>
      <c r="E39" s="376"/>
      <c r="F39" s="376"/>
      <c r="G39" s="376"/>
      <c r="H39" s="376"/>
      <c r="I39" s="376"/>
      <c r="J39" s="376"/>
      <c r="K39" s="30"/>
    </row>
    <row r="40" spans="2:11" ht="15">
      <c r="B40" s="146" t="str">
        <f>IF(Indice_index!$Z$1=1,"Fonte: Entidade Orçamental.","Source: Budgetary Entity.")</f>
        <v>Fonte: Entidade Orçamental.</v>
      </c>
      <c r="C40" s="146"/>
      <c r="D40" s="146"/>
      <c r="E40" s="146"/>
      <c r="F40" s="146"/>
      <c r="G40" s="28"/>
      <c r="H40" s="179"/>
      <c r="I40" s="27"/>
      <c r="J40" s="27"/>
      <c r="K40" s="147"/>
    </row>
    <row r="41" spans="2:11" ht="15">
      <c r="B41" s="383"/>
      <c r="C41" s="383"/>
      <c r="D41" s="383"/>
      <c r="E41" s="383"/>
      <c r="F41" s="61"/>
      <c r="G41" s="61"/>
    </row>
    <row r="42" spans="2:11" ht="15" hidden="1">
      <c r="B42" s="382"/>
      <c r="C42" s="382"/>
      <c r="D42" s="382"/>
      <c r="E42" s="382"/>
      <c r="F42" s="61"/>
      <c r="G42" s="61"/>
    </row>
    <row r="43" spans="2:11" ht="15" hidden="1">
      <c r="B43" s="382"/>
      <c r="C43" s="382"/>
      <c r="D43" s="382"/>
      <c r="E43" s="382"/>
      <c r="F43" s="61"/>
      <c r="G43" s="61"/>
    </row>
    <row r="44" spans="2:11" ht="15" hidden="1">
      <c r="B44" s="383"/>
      <c r="C44" s="383"/>
      <c r="D44" s="383"/>
      <c r="E44" s="383"/>
      <c r="F44" s="53"/>
      <c r="G44" s="53"/>
    </row>
  </sheetData>
  <mergeCells count="11">
    <mergeCell ref="E11:G11"/>
    <mergeCell ref="H11:J11"/>
    <mergeCell ref="B10:B12"/>
    <mergeCell ref="E10:J10"/>
    <mergeCell ref="D10:D12"/>
    <mergeCell ref="C10:C12"/>
    <mergeCell ref="B41:E41"/>
    <mergeCell ref="B42:E42"/>
    <mergeCell ref="B43:E43"/>
    <mergeCell ref="B44:E44"/>
    <mergeCell ref="B39:J39"/>
  </mergeCells>
  <conditionalFormatting sqref="C14:J22 C24:J30 C32:J36">
    <cfRule type="cellIs" dxfId="22"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40"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41"/>
  <sheetViews>
    <sheetView showGridLines="0" tabSelected="1" zoomScaleNormal="100" workbookViewId="0">
      <selection activeCell="C8" sqref="C8"/>
    </sheetView>
  </sheetViews>
  <sheetFormatPr defaultColWidth="0" defaultRowHeight="15" zeroHeight="1"/>
  <cols>
    <col min="1" max="2" width="3.5703125" style="33" customWidth="1"/>
    <col min="3" max="3" width="125.5703125" style="33" customWidth="1"/>
    <col min="4" max="6" width="16.42578125" style="33" customWidth="1"/>
    <col min="7" max="7" width="9.42578125" style="33" customWidth="1"/>
    <col min="8" max="28" width="9.42578125" style="33" hidden="1" customWidth="1"/>
    <col min="29" max="16384" width="9.42578125" hidden="1"/>
  </cols>
  <sheetData>
    <row r="1" spans="2:26">
      <c r="B1"/>
      <c r="C1"/>
      <c r="D1"/>
      <c r="E1"/>
      <c r="F1"/>
      <c r="G1"/>
      <c r="H1"/>
      <c r="I1"/>
      <c r="J1"/>
      <c r="K1"/>
      <c r="L1"/>
      <c r="M1"/>
      <c r="N1"/>
      <c r="O1"/>
      <c r="P1"/>
      <c r="Q1"/>
      <c r="R1"/>
      <c r="S1"/>
      <c r="T1"/>
      <c r="U1"/>
      <c r="V1"/>
      <c r="W1"/>
      <c r="X1" s="45">
        <v>1</v>
      </c>
      <c r="Y1" s="39" t="s">
        <v>6</v>
      </c>
      <c r="Z1" s="45">
        <v>1</v>
      </c>
    </row>
    <row r="2" spans="2:26" ht="32.25" customHeight="1">
      <c r="B2" s="44"/>
      <c r="C2"/>
      <c r="D2"/>
      <c r="E2"/>
      <c r="F2"/>
      <c r="G2"/>
      <c r="H2"/>
      <c r="I2"/>
      <c r="J2"/>
      <c r="K2"/>
      <c r="L2"/>
      <c r="M2"/>
      <c r="N2"/>
      <c r="O2"/>
      <c r="P2"/>
      <c r="Q2"/>
      <c r="R2"/>
      <c r="S2"/>
      <c r="T2"/>
      <c r="U2"/>
      <c r="V2"/>
      <c r="W2"/>
      <c r="X2" s="45">
        <v>2</v>
      </c>
      <c r="Y2" s="39" t="s">
        <v>5</v>
      </c>
      <c r="Z2" s="45"/>
    </row>
    <row r="3" spans="2:26" ht="30" customHeight="1">
      <c r="B3" s="44"/>
      <c r="C3"/>
      <c r="D3" s="274" t="str">
        <f>IF(Indice_index!$Z$1=1,"ANEXOS ESTATÍSTICOS","STATISTICAL ANNEXES")</f>
        <v>ANEXOS ESTATÍSTICOS</v>
      </c>
      <c r="E3" s="274"/>
      <c r="F3"/>
      <c r="G3"/>
      <c r="H3"/>
      <c r="I3"/>
      <c r="J3"/>
      <c r="K3"/>
      <c r="L3"/>
      <c r="M3"/>
      <c r="N3"/>
      <c r="O3"/>
      <c r="P3"/>
      <c r="Q3"/>
      <c r="R3"/>
      <c r="S3"/>
      <c r="T3"/>
      <c r="U3"/>
      <c r="V3"/>
      <c r="W3"/>
      <c r="X3"/>
      <c r="Y3"/>
      <c r="Z3"/>
    </row>
    <row r="4" spans="2:26" ht="60" customHeight="1">
      <c r="B4" s="35"/>
      <c r="C4" s="43"/>
      <c r="D4" s="338" t="str">
        <f>IF(Indice_index!$Z$1=1,"Fevereiro de 2026","February 2026")</f>
        <v>Fevereiro de 2026</v>
      </c>
      <c r="E4" s="338"/>
      <c r="F4" s="338"/>
      <c r="G4"/>
      <c r="H4"/>
      <c r="I4"/>
      <c r="J4"/>
      <c r="K4"/>
      <c r="L4"/>
      <c r="M4"/>
      <c r="N4"/>
      <c r="O4"/>
      <c r="P4"/>
      <c r="Q4"/>
      <c r="R4"/>
      <c r="S4"/>
      <c r="T4"/>
      <c r="U4"/>
      <c r="V4"/>
      <c r="W4"/>
      <c r="X4"/>
      <c r="Y4"/>
      <c r="Z4"/>
    </row>
    <row r="5" spans="2:26">
      <c r="B5" s="335" t="s">
        <v>4</v>
      </c>
      <c r="C5" s="335"/>
      <c r="D5" s="40"/>
      <c r="E5" s="39"/>
      <c r="F5" s="39"/>
      <c r="G5" s="42"/>
      <c r="H5" s="42"/>
      <c r="I5" s="39"/>
      <c r="J5" s="39"/>
      <c r="K5" s="39"/>
      <c r="L5" s="39"/>
      <c r="M5" s="39"/>
      <c r="N5" s="39"/>
      <c r="O5" s="39"/>
      <c r="P5" s="39"/>
      <c r="Q5" s="39"/>
      <c r="R5" s="39"/>
      <c r="S5" s="39"/>
      <c r="T5" s="39"/>
      <c r="U5" s="39"/>
      <c r="V5" s="39"/>
      <c r="W5" s="39"/>
      <c r="X5" s="39"/>
      <c r="Y5" s="39"/>
      <c r="Z5" s="39"/>
    </row>
    <row r="6" spans="2:26">
      <c r="B6" s="41"/>
      <c r="C6" s="41"/>
      <c r="D6" s="40"/>
      <c r="E6" s="39"/>
      <c r="F6" s="39"/>
      <c r="G6" s="39"/>
      <c r="H6" s="39"/>
      <c r="I6" s="39"/>
      <c r="J6" s="39"/>
      <c r="K6" s="39"/>
      <c r="L6" s="39"/>
      <c r="M6" s="39"/>
      <c r="N6" s="39"/>
      <c r="O6" s="39"/>
      <c r="P6" s="39"/>
      <c r="Q6" s="39"/>
      <c r="R6" s="39"/>
      <c r="S6" s="39"/>
      <c r="T6" s="39"/>
      <c r="U6" s="39"/>
      <c r="V6" s="39"/>
      <c r="W6" s="39"/>
      <c r="X6" s="39"/>
      <c r="Y6" s="39"/>
      <c r="Z6" s="39"/>
    </row>
    <row r="7" spans="2:26"/>
    <row r="8" spans="2:26" ht="30">
      <c r="C8" s="38"/>
      <c r="D8" s="37" t="str">
        <f>IF(Indice_index!$Z$1=1,"Última actualização","Last updated on")</f>
        <v>Última actualização</v>
      </c>
      <c r="E8" s="37" t="str">
        <f>IF(Indice_index!$Z$1=1,"Próxima actualização","Next update")</f>
        <v>Próxima actualização</v>
      </c>
      <c r="F8" s="37" t="str">
        <f>IF(Indice_index!$Z$1=1,"Último valor disponível","Last available figures")</f>
        <v>Último valor disponível</v>
      </c>
    </row>
    <row r="9" spans="2:26" ht="20.85" customHeight="1">
      <c r="C9" s="34" t="str">
        <f>+'1 - Saldo Global Rec Desp'!B8</f>
        <v>Quadro 1 - Receita, despesa e saldo das Administrações Públicas</v>
      </c>
      <c r="D9" s="336" t="str">
        <f>IF(Indice_index!$Z$1=1,"31-março-26","31-March-26")</f>
        <v>31-março-26</v>
      </c>
      <c r="E9" s="336" t="str">
        <f>IF(Indice_index!$Z$1=1,"30-abril-26","30-April-26")</f>
        <v>30-abril-26</v>
      </c>
      <c r="F9" s="337" t="str">
        <f>IF(Indice_index!$Z$1=1,"fevereiro 2026","February 2026")</f>
        <v>fevereiro 2026</v>
      </c>
    </row>
    <row r="10" spans="2:26" ht="20.85" customHeight="1">
      <c r="C10" s="34" t="str">
        <f>+'2 - Conta Consol AP'!B8</f>
        <v>Quadro 2 - Conta Consolidada das Administrações Públicas</v>
      </c>
      <c r="D10" s="336"/>
      <c r="E10" s="336"/>
      <c r="F10" s="337"/>
    </row>
    <row r="11" spans="2:26" ht="20.85" customHeight="1">
      <c r="C11" s="34" t="str">
        <f>+'3 - Conta AC + SS'!B8</f>
        <v>Quadro 3 - Conta Consolidada da Administração Central e Segurança Social</v>
      </c>
      <c r="D11" s="336"/>
      <c r="E11" s="336"/>
      <c r="F11" s="337"/>
    </row>
    <row r="12" spans="2:26" ht="20.85" customHeight="1">
      <c r="C12" s="34" t="str">
        <f>+'4 - Conta AC'!B8</f>
        <v>Quadro 4 - Conta Consolidada da Administração Central</v>
      </c>
      <c r="D12" s="336"/>
      <c r="E12" s="336"/>
      <c r="F12" s="337"/>
    </row>
    <row r="13" spans="2:26" ht="20.85" customHeight="1">
      <c r="C13" s="34" t="str">
        <f>+'5 - Estado'!B8</f>
        <v>Quadro 5 - Execução Orçamental do Estado</v>
      </c>
      <c r="D13" s="336"/>
      <c r="E13" s="336"/>
      <c r="F13" s="337"/>
      <c r="J13" s="36"/>
    </row>
    <row r="14" spans="2:26" ht="20.85" customHeight="1">
      <c r="C14" s="34" t="str">
        <f>+'6 - R_Est'!B8</f>
        <v>Quadro 6 - Receita do Estado</v>
      </c>
      <c r="D14" s="336"/>
      <c r="E14" s="336"/>
      <c r="F14" s="337"/>
    </row>
    <row r="15" spans="2:26" ht="20.85" customHeight="1">
      <c r="C15" s="34" t="str">
        <f>+'7 - SFA'!B8</f>
        <v>Quadro 7 - Execução Orçamental dos Serviços e Fundos Autónomos (inclui Entidades Públicas Reclassificadas da Administração Central)</v>
      </c>
      <c r="D15" s="336"/>
      <c r="E15" s="336"/>
      <c r="F15" s="337"/>
    </row>
    <row r="16" spans="2:26" ht="20.85" customHeight="1">
      <c r="C16" s="34" t="str">
        <f>+'8 - EPR'!B8</f>
        <v>Quadro 8 - Execução Orçamental das Entidades Públicas Reclassificadas da Administração Central</v>
      </c>
      <c r="D16" s="336"/>
      <c r="E16" s="336"/>
      <c r="F16" s="337"/>
    </row>
    <row r="17" spans="3:6" ht="20.85" customHeight="1">
      <c r="C17" s="34" t="str">
        <f>+'9 - CGA'!B8</f>
        <v>Quadro 9 - Execução Orçamental da Caixa Geral de Aposentações</v>
      </c>
      <c r="D17" s="336"/>
      <c r="E17" s="336"/>
      <c r="F17" s="337"/>
    </row>
    <row r="18" spans="3:6" ht="20.85" customHeight="1">
      <c r="C18" s="34" t="str">
        <f>+'10 - SS'!B8</f>
        <v>Quadro 10 - Execução Orçamental da Segurança Social</v>
      </c>
      <c r="D18" s="336"/>
      <c r="E18" s="336"/>
      <c r="F18" s="337"/>
    </row>
    <row r="19" spans="3:6" ht="20.85" customHeight="1">
      <c r="C19" s="34" t="str">
        <f>+'11 - SS Eco'!B8</f>
        <v>Quadro 11 - Execução Orçamental da Segurança Social por Classificação Económica</v>
      </c>
      <c r="D19" s="336"/>
      <c r="E19" s="336"/>
      <c r="F19" s="337"/>
    </row>
    <row r="20" spans="3:6" ht="20.85" customHeight="1">
      <c r="C20" s="34" t="str">
        <f>+'12 - Adm R'!B8</f>
        <v>Quadro 12 - Execução Orçamental da Administração Regional</v>
      </c>
      <c r="D20" s="336"/>
      <c r="E20" s="336"/>
      <c r="F20" s="337"/>
    </row>
    <row r="21" spans="3:6" ht="20.85" customHeight="1">
      <c r="C21" s="34" t="str">
        <f>+'13 - Adm Loc'!B8</f>
        <v>Quadro 13 - Execução Orçamental dos Municípios</v>
      </c>
      <c r="D21" s="336"/>
      <c r="E21" s="336"/>
      <c r="F21" s="337"/>
    </row>
    <row r="22" spans="3:6" ht="20.85" customHeight="1">
      <c r="C22" s="34" t="str">
        <f>'14 - PRR Conta AC'!B8</f>
        <v>Quadro 14 - Plano de Recuperação e Resiliência - Conta Consolidada da Administração Central</v>
      </c>
      <c r="D22" s="336"/>
      <c r="E22" s="336"/>
      <c r="F22" s="337"/>
    </row>
    <row r="23" spans="3:6" ht="20.85" customHeight="1">
      <c r="C23" s="34" t="str">
        <f>'15 - PRR Exec Programa'!B8</f>
        <v>Quadro 15 - Plano de Recuperação e Resiliência - Administração Central por Programa Orçamental</v>
      </c>
      <c r="D23" s="336"/>
      <c r="E23" s="336"/>
      <c r="F23" s="337"/>
    </row>
    <row r="24" spans="3:6" ht="20.85" customHeight="1">
      <c r="C24" s="34" t="str">
        <f>'16 - PRR Exec Componente'!B8</f>
        <v>Quadro 16 - Plano de Recuperação e Resiliência - Administração Central por Dimensão e Componente</v>
      </c>
      <c r="D24" s="336"/>
      <c r="E24" s="336"/>
      <c r="F24" s="337"/>
    </row>
    <row r="25" spans="3:6" ht="20.85" customHeight="1">
      <c r="C25" s="34" t="str">
        <f>'17 - Despesa Ativos '!B8</f>
        <v>Quadro 17 - Despesa com Ativos Financeiros do Estado</v>
      </c>
      <c r="D25" s="336"/>
      <c r="E25" s="336"/>
      <c r="F25" s="337"/>
    </row>
    <row r="26" spans="3:6" ht="20.85" customHeight="1">
      <c r="C26" s="34" t="str">
        <f>'18 - SNS exec fin'!B8</f>
        <v>Quadro 18 - Execução Financeira Consolidada do Serviço Nacional de Saúde</v>
      </c>
      <c r="D26" s="336"/>
      <c r="E26" s="336"/>
      <c r="F26" s="337"/>
    </row>
    <row r="27" spans="3:6" ht="20.85" customHeight="1">
      <c r="C27" s="34" t="str">
        <f>'19 - Dív não Fin'!B8</f>
        <v>Quadro 19 - Dívida não Financeira das Administrações Públicas</v>
      </c>
      <c r="D27" s="336"/>
      <c r="E27" s="336"/>
      <c r="F27" s="337"/>
    </row>
    <row r="28" spans="3:6" ht="20.85" customHeight="1">
      <c r="C28" s="34" t="str">
        <f>'20 - CGA Ind'!B8</f>
        <v>Quadro 20 - Indicadores Físicos e Financeiros do Sistema de Proteção Social da Função Pública</v>
      </c>
      <c r="D28" s="336"/>
      <c r="E28" s="336"/>
      <c r="F28" s="337"/>
    </row>
    <row r="29" spans="3:6" ht="20.85" customHeight="1">
      <c r="C29" s="34" t="str">
        <f>'21 - Ef Temp AC+SS'!B8</f>
        <v>Quadro 21 - Efeitos temporários/especiais na conta da Administração Central e Segurança Social</v>
      </c>
      <c r="D29" s="336"/>
      <c r="E29" s="336"/>
      <c r="F29" s="337"/>
    </row>
    <row r="30" spans="3:6" ht="20.85" customHeight="1">
      <c r="C30" s="34" t="str">
        <f>'22 - Util. Cond. Dot. Orç'!B8</f>
        <v>Quadro 22 - Utilização condicionada das dotações orçamentais do OE 2026</v>
      </c>
      <c r="D30" s="336"/>
      <c r="E30" s="336"/>
      <c r="F30" s="337"/>
    </row>
    <row r="31" spans="3:6" ht="20.85" customHeight="1">
      <c r="C31" s="34" t="str">
        <f>'23 - Desp. Efetiva por PO'!B8</f>
        <v>Quadro 23 - Despesa Efetiva Consolidada por Programa Orçamental</v>
      </c>
      <c r="D31" s="336"/>
      <c r="E31" s="336"/>
      <c r="F31" s="337"/>
    </row>
    <row r="32" spans="3:6" ht="20.85" customHeight="1">
      <c r="C32" s="34" t="str">
        <f>'24 - Fator. explic. Contas Nac.'!B8</f>
        <v>Quadro 24 - Fatores explicativos com efeito diferenciado em Contas Nacionais</v>
      </c>
      <c r="D32" s="336"/>
      <c r="E32" s="336"/>
      <c r="F32" s="337"/>
    </row>
    <row r="33" spans="1:28" ht="20.85" customHeight="1">
      <c r="C33" s="34" t="str">
        <f>'25 - Lista Entidades AC 2026'!B8</f>
        <v>Quadro 25 - Lista de entidades da Administração Central em 2026</v>
      </c>
      <c r="D33" s="336"/>
      <c r="E33" s="336"/>
      <c r="F33" s="337"/>
    </row>
    <row r="34" spans="1:28">
      <c r="A34"/>
      <c r="B34" s="194"/>
      <c r="C34" s="194"/>
      <c r="D34" s="194"/>
      <c r="E34" s="194"/>
      <c r="F34" s="194"/>
      <c r="G34"/>
      <c r="H34"/>
      <c r="I34"/>
      <c r="J34"/>
      <c r="K34"/>
      <c r="L34"/>
      <c r="M34"/>
      <c r="N34"/>
      <c r="O34"/>
      <c r="P34"/>
      <c r="Q34"/>
      <c r="R34"/>
      <c r="S34"/>
      <c r="T34"/>
      <c r="U34"/>
      <c r="V34"/>
      <c r="W34"/>
      <c r="X34"/>
      <c r="Y34"/>
      <c r="Z34"/>
      <c r="AA34"/>
      <c r="AB34"/>
    </row>
    <row r="35" spans="1:28"/>
    <row r="36" spans="1:28"/>
    <row r="37" spans="1:28"/>
    <row r="38" spans="1:28"/>
    <row r="39" spans="1:28"/>
    <row r="40" spans="1:28"/>
    <row r="41" spans="1:28"/>
  </sheetData>
  <mergeCells count="5">
    <mergeCell ref="B5:C5"/>
    <mergeCell ref="D9:D33"/>
    <mergeCell ref="E9:E33"/>
    <mergeCell ref="F9:F33"/>
    <mergeCell ref="D4:F4"/>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Conta AC + SS'!A1" display="'3 - Conta AC + SS'!A1" xr:uid="{00000000-0004-0000-0100-000004000000}"/>
    <hyperlink ref="C12" location="'4 - Conta AC'!A1" display="'4 - Conta AC'!A1" xr:uid="{00000000-0004-0000-0100-000005000000}"/>
    <hyperlink ref="C13" location="'5 - Estado'!A1" display="'5 - Estado'!A1" xr:uid="{00000000-0004-0000-0100-000006000000}"/>
    <hyperlink ref="C14" location="'6 - R_Est'!A1" display="'6 - R_Est'!A1" xr:uid="{00000000-0004-0000-0100-000007000000}"/>
    <hyperlink ref="C15" location="'7 - SFA'!A1" display="'7 - SFA'!A1" xr:uid="{00000000-0004-0000-0100-000008000000}"/>
    <hyperlink ref="C16" location="'8 - EPR'!A1" display="'8 - EPR'!A1" xr:uid="{00000000-0004-0000-0100-000009000000}"/>
    <hyperlink ref="C17" location="'9 - CGA'!A1" display="'9 - CGA'!A1" xr:uid="{00000000-0004-0000-0100-00000A000000}"/>
    <hyperlink ref="C18" location="'10 - SS'!A1" display="'10 - SS'!A1" xr:uid="{00000000-0004-0000-0100-00000B000000}"/>
    <hyperlink ref="C19" location="'11 - SS Eco'!A1" display="'11 - SS Eco'!A1" xr:uid="{00000000-0004-0000-0100-00000C000000}"/>
    <hyperlink ref="C20" location="'12 - Adm R'!A1" display="'12 - Adm R'!A1" xr:uid="{00000000-0004-0000-0100-00000D000000}"/>
    <hyperlink ref="C21" location="'13 - Adm Loc'!A1" display="'13 - Adm Loc'!A1" xr:uid="{00000000-0004-0000-0100-00000E000000}"/>
    <hyperlink ref="C25" location="'17 - Despesa Ativos '!A1" display="'17 - Despesa Ativos '!A1" xr:uid="{00000000-0004-0000-0100-00000F000000}"/>
    <hyperlink ref="C26" location="'18 - SNS exec fin'!A1" display="'18 - SNS exec fin'!A1" xr:uid="{00000000-0004-0000-0100-000010000000}"/>
    <hyperlink ref="C27" location="'19 - Dív não Fin'!A1" display="'19 - Dív não Fin'!A1" xr:uid="{00000000-0004-0000-0100-000011000000}"/>
    <hyperlink ref="C28" location="'20 - CGA Ind'!A1" display="'20 - CGA Ind'!A1" xr:uid="{00000000-0004-0000-0100-000012000000}"/>
    <hyperlink ref="C29" location="'21 - Ef Temp AC+SS'!A1" display="'21 - Ef Temp AC+SS'!A1" xr:uid="{00000000-0004-0000-0100-000013000000}"/>
    <hyperlink ref="C30" location="'22 - Util. Cond. Dot. Orç'!A1" display="'22 - Util. Cond. Dot. Orç'!A1" xr:uid="{00000000-0004-0000-0100-000015000000}"/>
    <hyperlink ref="C31" location="'23 - Desp. Efetiva por PO'!A1" display="'23 - Desp. Efetiva por PO'!A1" xr:uid="{00000000-0004-0000-0100-000016000000}"/>
    <hyperlink ref="C22" location="'14 - PRR Conta AC'!A1" display="'14 - PRR Conta AC'!A1" xr:uid="{00000000-0004-0000-0100-000018000000}"/>
    <hyperlink ref="C23" location="'15 - PRR Exec Programa'!A1" display="'15 - PRR Exec Programa'!A1" xr:uid="{00000000-0004-0000-0100-000019000000}"/>
    <hyperlink ref="C24" location="'16 - PRR Exec Componente'!A1" display="'16 - PRR Exec Componente'!A1" xr:uid="{00000000-0004-0000-0100-00001A000000}"/>
    <hyperlink ref="C32" location="'24 - Fator. explic. Contas Nac.'!A1" display="'24 - Fator. explic. Contas Nac.'!A1" xr:uid="{AABD5D43-BBDC-4EC8-B5A3-9ABAE8354A84}"/>
    <hyperlink ref="C33" location="'25 - Lista Entidades AC 2026'!A1" display="'25 - Lista Entidades AC 2026'!A1" xr:uid="{11FFDC9C-24A3-4023-B49A-CE45E277F4A0}"/>
  </hyperlinks>
  <pageMargins left="0.70866141732283472" right="0.70866141732283472" top="0.74803149606299213" bottom="0.74803149606299213" header="0.31496062992125984" footer="0.31496062992125984"/>
  <pageSetup paperSize="9" scale="58" orientation="portrait" r:id="rId1"/>
  <ignoredErrors>
    <ignoredError sqref="F10:F29 F30:F33 D9:E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28575</xdr:rowOff>
                  </from>
                  <to>
                    <xdr:col>2</xdr:col>
                    <xdr:colOff>4371975</xdr:colOff>
                    <xdr:row>5</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R47"/>
  <sheetViews>
    <sheetView showGridLines="0" zoomScaleNormal="100" workbookViewId="0">
      <selection activeCell="C10" sqref="C10"/>
    </sheetView>
  </sheetViews>
  <sheetFormatPr defaultColWidth="0" defaultRowHeight="14.85" customHeight="1" zeroHeight="1"/>
  <cols>
    <col min="1" max="1" width="8.5703125" style="90" customWidth="1"/>
    <col min="2" max="2" width="35.42578125" style="90" customWidth="1"/>
    <col min="3" max="3" width="10.7109375" style="90" bestFit="1" customWidth="1"/>
    <col min="4" max="4" width="11.5703125" style="90" bestFit="1" customWidth="1"/>
    <col min="5" max="9" width="9.42578125" style="90" customWidth="1"/>
    <col min="10" max="10" width="8.5703125" style="90" customWidth="1"/>
    <col min="11" max="18" width="0" hidden="1" customWidth="1"/>
    <col min="19" max="16384" width="9.42578125" hidden="1"/>
  </cols>
  <sheetData>
    <row r="1" spans="1:11" ht="14.85" customHeight="1">
      <c r="K1" s="90"/>
    </row>
    <row r="2" spans="1:11" ht="15">
      <c r="K2" s="90"/>
    </row>
    <row r="3" spans="1:11" ht="15">
      <c r="K3" s="90"/>
    </row>
    <row r="4" spans="1:11" ht="15">
      <c r="K4" s="90"/>
    </row>
    <row r="5" spans="1:11" ht="18" customHeight="1">
      <c r="A5"/>
      <c r="B5" s="254" t="str">
        <f>IF(Indice_index!$Z$1=1,"ANEXOS ESTATÍSTICOS","STATISTICAL ANNEXES")</f>
        <v>ANEXOS ESTATÍSTICOS</v>
      </c>
      <c r="C5"/>
      <c r="D5"/>
      <c r="E5"/>
      <c r="F5"/>
      <c r="G5"/>
      <c r="H5"/>
      <c r="I5"/>
      <c r="J5"/>
    </row>
    <row r="6" spans="1:11" ht="18" customHeight="1">
      <c r="A6"/>
      <c r="B6" s="255" t="str">
        <f>IF(Indice_index!$Z$1=1,"Fevereiro de 2026","February 2026")</f>
        <v>Fevereiro de 2026</v>
      </c>
      <c r="C6"/>
      <c r="D6"/>
      <c r="E6"/>
      <c r="F6"/>
      <c r="G6"/>
      <c r="H6"/>
      <c r="I6"/>
      <c r="J6"/>
    </row>
    <row r="7" spans="1:11" ht="50.1" customHeight="1">
      <c r="B7" s="12"/>
      <c r="C7" s="13"/>
      <c r="D7" s="11"/>
      <c r="E7" s="11"/>
      <c r="F7" s="11"/>
      <c r="G7" s="11"/>
      <c r="H7" s="11"/>
      <c r="I7" s="11"/>
      <c r="J7" s="11"/>
      <c r="K7" s="90"/>
    </row>
    <row r="8" spans="1:11" ht="15.75">
      <c r="B8" s="1" t="str">
        <f>IF(Indice_index!$Z$1=1,"Quadro 17 - Despesa com Ativos Financeiros do Estado","17 - State Financial assets expenditure")</f>
        <v>Quadro 17 - Despesa com Ativos Financeiros do Estado</v>
      </c>
      <c r="C8" s="2"/>
      <c r="D8" s="2"/>
      <c r="E8" s="2"/>
      <c r="F8" s="2"/>
      <c r="G8" s="2"/>
      <c r="H8" s="2"/>
      <c r="I8" s="2"/>
    </row>
    <row r="9" spans="1:11" ht="15">
      <c r="B9" s="3" t="str">
        <f>+'3 - Conta AC + SS'!B9</f>
        <v>Período: janeiro a fevereiro</v>
      </c>
      <c r="C9" s="3"/>
      <c r="D9" s="3"/>
      <c r="E9" s="116"/>
      <c r="F9" s="116"/>
      <c r="G9" s="3"/>
      <c r="H9" s="3" t="str">
        <f>IF(Indice_index!$Z$1=1,"€ Milhões","€ Millions")</f>
        <v>€ Milhões</v>
      </c>
    </row>
    <row r="10" spans="1:11" ht="26.85" customHeight="1">
      <c r="B10" s="374"/>
      <c r="C10" s="22" t="str">
        <f>IF(Indice_index!$Z$1=1,"Execução Provisória","Provisional Execution")</f>
        <v>Execução Provisória</v>
      </c>
      <c r="D10" s="22" t="str">
        <f>IF(Indice_index!$Z$1=1,"Orçamento Inicial","Budget")</f>
        <v>Orçamento Inicial</v>
      </c>
      <c r="E10" s="375" t="str">
        <f>IF(Indice_index!$Z$1=1,"Execução","Execution")</f>
        <v>Execução</v>
      </c>
      <c r="F10" s="372"/>
      <c r="G10" s="22" t="str">
        <f>IF(Indice_index!$Z$1=1,"Execução Acumulada","Accumulated Execution")</f>
        <v>Execução Acumulada</v>
      </c>
      <c r="H10" s="374" t="str">
        <f>IF(Indice_index!$Z$1=1,"Grau de Execução (%)","Execution Rate (%)")</f>
        <v>Grau de Execução (%)</v>
      </c>
    </row>
    <row r="11" spans="1:11" ht="15" customHeight="1">
      <c r="B11" s="373"/>
      <c r="C11" s="22">
        <v>2025</v>
      </c>
      <c r="D11" s="22">
        <v>2026</v>
      </c>
      <c r="E11" s="275" t="str">
        <f>IF(Indice_index!$Z$1=1,"jan/2026","Jan/2026")</f>
        <v>jan/2026</v>
      </c>
      <c r="F11" s="275" t="str">
        <f>IF(Indice_index!$Z$1=1,"fev/2026","Feb/2026")</f>
        <v>fev/2026</v>
      </c>
      <c r="G11" s="22">
        <v>2026</v>
      </c>
      <c r="H11" s="373"/>
    </row>
    <row r="12" spans="1:11" ht="14.1" customHeight="1">
      <c r="B12" s="167" t="str">
        <f>IF(Indice_index!$Z$1=1,"Empréstimos a curto prazo","Short term loans")</f>
        <v>Empréstimos a curto prazo</v>
      </c>
      <c r="C12" s="128">
        <v>0</v>
      </c>
      <c r="D12" s="128">
        <v>50</v>
      </c>
      <c r="E12" s="128">
        <v>0</v>
      </c>
      <c r="F12" s="128">
        <v>0</v>
      </c>
      <c r="G12" s="128">
        <v>0</v>
      </c>
      <c r="H12" s="128">
        <f t="shared" ref="H12:H31" si="0">IFERROR(IF(G12/D12*100&lt;-300,"-",IF(G12/D12*100&gt;300,"-",G12/D12*100)),"-")</f>
        <v>0</v>
      </c>
      <c r="I12" s="238"/>
    </row>
    <row r="13" spans="1:11" ht="14.1" customHeight="1">
      <c r="B13" s="167" t="str">
        <f>IF(Indice_index!$Z$1=1,"Empréstimos a médio e longo prazos","Medium-long term loans")</f>
        <v>Empréstimos a médio e longo prazos</v>
      </c>
      <c r="C13" s="128">
        <f>SUM(C14:C21)</f>
        <v>630.0965583599999</v>
      </c>
      <c r="D13" s="128">
        <f>SUM(D14:D21)</f>
        <v>6988.0417109999989</v>
      </c>
      <c r="E13" s="128">
        <f t="shared" ref="E13:G13" si="1">SUM(E14:E21)</f>
        <v>0</v>
      </c>
      <c r="F13" s="128">
        <f t="shared" si="1"/>
        <v>2</v>
      </c>
      <c r="G13" s="128">
        <f t="shared" si="1"/>
        <v>2</v>
      </c>
      <c r="H13" s="128">
        <f t="shared" si="0"/>
        <v>2.8620321439291999E-2</v>
      </c>
      <c r="I13" s="238"/>
      <c r="J13" s="200"/>
    </row>
    <row r="14" spans="1:11" ht="14.1" customHeight="1">
      <c r="B14" s="121" t="str">
        <f>IF(Indice_index!$Z$1=1,"Entidades Privadas","Private Entities")</f>
        <v>Entidades Privadas</v>
      </c>
      <c r="C14" s="128">
        <v>0</v>
      </c>
      <c r="D14" s="4">
        <v>180</v>
      </c>
      <c r="E14" s="128">
        <v>0</v>
      </c>
      <c r="F14" s="128">
        <v>0</v>
      </c>
      <c r="G14" s="128">
        <v>0</v>
      </c>
      <c r="H14" s="128">
        <f t="shared" si="0"/>
        <v>0</v>
      </c>
      <c r="I14" s="238"/>
      <c r="J14" s="200"/>
    </row>
    <row r="15" spans="1:11" ht="14.1" customHeight="1">
      <c r="B15" s="121" t="str">
        <f>IF(Indice_index!$Z$1=1,"Entidades Públicas","Public Entities")</f>
        <v>Entidades Públicas</v>
      </c>
      <c r="C15" s="4">
        <v>0</v>
      </c>
      <c r="D15" s="4">
        <v>4172.5985999999994</v>
      </c>
      <c r="E15" s="4">
        <v>0</v>
      </c>
      <c r="F15" s="4">
        <v>0</v>
      </c>
      <c r="G15" s="4">
        <v>0</v>
      </c>
      <c r="H15" s="128">
        <f t="shared" si="0"/>
        <v>0</v>
      </c>
      <c r="I15" s="238"/>
      <c r="J15" s="200"/>
    </row>
    <row r="16" spans="1:11" ht="14.1" customHeight="1">
      <c r="B16" s="121" t="str">
        <f>IF(Indice_index!$Z$1=1,"Serviços e Fundos Autónomos","Autonomous Services and Funds ")</f>
        <v>Serviços e Fundos Autónomos</v>
      </c>
      <c r="C16" s="4">
        <v>397.73780635999998</v>
      </c>
      <c r="D16" s="4">
        <v>1440.6870449999999</v>
      </c>
      <c r="E16" s="4">
        <v>0</v>
      </c>
      <c r="F16" s="4">
        <v>0</v>
      </c>
      <c r="G16" s="4">
        <v>0</v>
      </c>
      <c r="H16" s="128">
        <f t="shared" si="0"/>
        <v>0</v>
      </c>
      <c r="I16" s="238"/>
      <c r="J16" s="200"/>
    </row>
    <row r="17" spans="2:10" ht="14.1" customHeight="1">
      <c r="B17" s="121" t="str">
        <f>IF(Indice_index!$Z$1=1,"Entidades Públicas Reclassificadas","Reclassified Public Entities")</f>
        <v>Entidades Públicas Reclassificadas</v>
      </c>
      <c r="C17" s="4">
        <v>61.940744000000002</v>
      </c>
      <c r="D17" s="4">
        <v>868.408726</v>
      </c>
      <c r="E17" s="4">
        <v>0</v>
      </c>
      <c r="F17" s="4">
        <v>0</v>
      </c>
      <c r="G17" s="4">
        <v>0</v>
      </c>
      <c r="H17" s="128">
        <f t="shared" si="0"/>
        <v>0</v>
      </c>
      <c r="I17" s="238"/>
      <c r="J17" s="200"/>
    </row>
    <row r="18" spans="2:10" ht="14.1" customHeight="1">
      <c r="B18" s="121" t="str">
        <f>IF(Indice_index!$Z$1=1,"Administração Regional","Regional Government")</f>
        <v>Administração Regional</v>
      </c>
      <c r="C18" s="4">
        <v>150</v>
      </c>
      <c r="D18" s="4">
        <v>300</v>
      </c>
      <c r="E18" s="4">
        <v>0</v>
      </c>
      <c r="F18" s="4">
        <v>0</v>
      </c>
      <c r="G18" s="4">
        <v>0</v>
      </c>
      <c r="H18" s="128">
        <f t="shared" si="0"/>
        <v>0</v>
      </c>
      <c r="I18" s="238"/>
      <c r="J18" s="200"/>
    </row>
    <row r="19" spans="2:10" ht="14.1" customHeight="1">
      <c r="B19" s="121" t="str">
        <f>IF(Indice_index!$Z$1=1," Administração Local","Local Administration")</f>
        <v xml:space="preserve"> Administração Local</v>
      </c>
      <c r="C19" s="4">
        <v>4.7271320000000001</v>
      </c>
      <c r="D19" s="4">
        <v>10</v>
      </c>
      <c r="E19" s="4">
        <v>0</v>
      </c>
      <c r="F19" s="4">
        <v>0</v>
      </c>
      <c r="G19" s="4">
        <v>0</v>
      </c>
      <c r="H19" s="128">
        <f t="shared" si="0"/>
        <v>0</v>
      </c>
      <c r="I19" s="238"/>
      <c r="J19" s="200"/>
    </row>
    <row r="20" spans="2:10" ht="14.1" customHeight="1">
      <c r="B20" s="121" t="str">
        <f>IF(Indice_index!$Z$1=1,"Outros Fundos","Other Funds")</f>
        <v>Outros Fundos</v>
      </c>
      <c r="C20" s="4">
        <v>0.69087600000000005</v>
      </c>
      <c r="D20" s="4">
        <v>1.34734</v>
      </c>
      <c r="E20" s="4">
        <v>0</v>
      </c>
      <c r="F20" s="4">
        <v>0</v>
      </c>
      <c r="G20" s="4">
        <v>0</v>
      </c>
      <c r="H20" s="128">
        <f t="shared" si="0"/>
        <v>0</v>
      </c>
      <c r="I20" s="238"/>
      <c r="J20" s="200"/>
    </row>
    <row r="21" spans="2:10" ht="14.1" customHeight="1">
      <c r="B21" s="121" t="str">
        <f>IF(Indice_index!$Z$1=1,"Países Terceiros","Other Countries")</f>
        <v>Países Terceiros</v>
      </c>
      <c r="C21" s="4">
        <v>15</v>
      </c>
      <c r="D21" s="4">
        <v>15</v>
      </c>
      <c r="E21" s="4">
        <v>0</v>
      </c>
      <c r="F21" s="4">
        <v>2</v>
      </c>
      <c r="G21" s="4">
        <v>2</v>
      </c>
      <c r="H21" s="128">
        <f t="shared" si="0"/>
        <v>13.333333333333334</v>
      </c>
      <c r="I21" s="238"/>
      <c r="J21" s="200"/>
    </row>
    <row r="22" spans="2:10" ht="14.1" customHeight="1">
      <c r="B22" s="167" t="str">
        <f>IF(Indice_index!$Z$1=1,"Dotações de capital","Capital injections")</f>
        <v>Dotações de capital</v>
      </c>
      <c r="C22" s="128">
        <f>SUM(C23:C25)</f>
        <v>2916.7683230000002</v>
      </c>
      <c r="D22" s="128">
        <f>SUM(D23:D25)</f>
        <v>4179.794817</v>
      </c>
      <c r="E22" s="128">
        <f t="shared" ref="E22:G22" si="2">SUM(E23:E25)</f>
        <v>0</v>
      </c>
      <c r="F22" s="128">
        <f t="shared" si="2"/>
        <v>364.60223999999999</v>
      </c>
      <c r="G22" s="128">
        <f t="shared" si="2"/>
        <v>364.60223999999999</v>
      </c>
      <c r="H22" s="128">
        <f t="shared" si="0"/>
        <v>8.7229698098360018</v>
      </c>
      <c r="I22" s="238"/>
      <c r="J22" s="200"/>
    </row>
    <row r="23" spans="2:10" ht="14.1" customHeight="1">
      <c r="B23" s="121" t="str">
        <f>IF(Indice_index!$Z$1=1,"Empresas Públicas não Financeiras","Non Financial Public Enterprises")</f>
        <v>Empresas Públicas não Financeiras</v>
      </c>
      <c r="C23" s="4">
        <v>343</v>
      </c>
      <c r="D23" s="4">
        <v>1750</v>
      </c>
      <c r="E23" s="4">
        <v>0</v>
      </c>
      <c r="F23" s="4">
        <v>0</v>
      </c>
      <c r="G23" s="4">
        <v>0</v>
      </c>
      <c r="H23" s="128">
        <f t="shared" si="0"/>
        <v>0</v>
      </c>
      <c r="I23" s="238"/>
      <c r="J23" s="200"/>
    </row>
    <row r="24" spans="2:10" ht="14.1" customHeight="1">
      <c r="B24" s="121" t="str">
        <f>IF(Indice_index!$Z$1=1,"Entidades Públicas Reclassificadas","Reclassified Public Entities")</f>
        <v>Entidades Públicas Reclassificadas</v>
      </c>
      <c r="C24" s="4">
        <v>2573.7683230000002</v>
      </c>
      <c r="D24" s="4">
        <v>2408.0719209999997</v>
      </c>
      <c r="E24" s="4">
        <v>0</v>
      </c>
      <c r="F24" s="4">
        <v>364.60223999999999</v>
      </c>
      <c r="G24" s="4">
        <v>364.60223999999999</v>
      </c>
      <c r="H24" s="128">
        <f t="shared" si="0"/>
        <v>15.140836817223949</v>
      </c>
      <c r="I24" s="238"/>
      <c r="J24" s="200"/>
    </row>
    <row r="25" spans="2:10" ht="14.1" customHeight="1">
      <c r="B25" s="121" t="str">
        <f>IF(Indice_index!$Z$1=1,"Outros Fundos","Other Funds")</f>
        <v>Outros Fundos</v>
      </c>
      <c r="C25" s="4">
        <v>0</v>
      </c>
      <c r="D25" s="4">
        <v>21.722895999999999</v>
      </c>
      <c r="E25" s="4">
        <v>0</v>
      </c>
      <c r="F25" s="4">
        <v>0</v>
      </c>
      <c r="G25" s="4">
        <v>0</v>
      </c>
      <c r="H25" s="128">
        <f t="shared" si="0"/>
        <v>0</v>
      </c>
      <c r="I25" s="238"/>
      <c r="J25" s="200"/>
    </row>
    <row r="26" spans="2:10" ht="14.1" customHeight="1">
      <c r="B26" s="167" t="str">
        <f>IF(Indice_index!$Z$1=1,"Aquisição de Participações","Acquisition of Shares")</f>
        <v>Aquisição de Participações</v>
      </c>
      <c r="C26" s="128">
        <v>5.1510955199999993</v>
      </c>
      <c r="D26" s="128">
        <v>0</v>
      </c>
      <c r="E26" s="128">
        <v>0</v>
      </c>
      <c r="F26" s="128">
        <v>0</v>
      </c>
      <c r="G26" s="128">
        <v>0</v>
      </c>
      <c r="H26" s="128" t="str">
        <f t="shared" si="0"/>
        <v>-</v>
      </c>
      <c r="I26" s="238"/>
      <c r="J26" s="200"/>
    </row>
    <row r="27" spans="2:10" ht="14.1" customHeight="1">
      <c r="B27" s="167" t="str">
        <f>IF(Indice_index!$Z$1=1,"Investimentos Militares","Military Investments")</f>
        <v>Investimentos Militares</v>
      </c>
      <c r="C27" s="128">
        <v>0</v>
      </c>
      <c r="D27" s="128">
        <v>1200</v>
      </c>
      <c r="E27" s="128">
        <v>0</v>
      </c>
      <c r="F27" s="128">
        <v>0</v>
      </c>
      <c r="G27" s="128">
        <v>0</v>
      </c>
      <c r="H27" s="128">
        <f t="shared" si="0"/>
        <v>0</v>
      </c>
      <c r="I27" s="238"/>
      <c r="J27" s="200"/>
    </row>
    <row r="28" spans="2:10" ht="14.1" customHeight="1">
      <c r="B28" s="167" t="str">
        <f>IF(Indice_index!$Z$1=1,"Execução de garantias","Guarantees executions")</f>
        <v>Execução de garantias</v>
      </c>
      <c r="C28" s="128">
        <v>64.345647249999999</v>
      </c>
      <c r="D28" s="128">
        <v>92.497</v>
      </c>
      <c r="E28" s="128">
        <v>0</v>
      </c>
      <c r="F28" s="128">
        <v>7.6071797199999995</v>
      </c>
      <c r="G28" s="128">
        <v>7.6071797199999995</v>
      </c>
      <c r="H28" s="128">
        <f t="shared" si="0"/>
        <v>8.2242448079397157</v>
      </c>
      <c r="I28" s="238"/>
      <c r="J28" s="200"/>
    </row>
    <row r="29" spans="2:10" ht="14.1" customHeight="1">
      <c r="B29" s="167" t="str">
        <f>IF(Indice_index!$Z$1=1,"Expropriações","Expropriations")</f>
        <v>Expropriações</v>
      </c>
      <c r="C29" s="128">
        <v>0</v>
      </c>
      <c r="D29" s="128">
        <v>1</v>
      </c>
      <c r="E29" s="128">
        <v>0</v>
      </c>
      <c r="F29" s="128">
        <v>0</v>
      </c>
      <c r="G29" s="128">
        <v>0</v>
      </c>
      <c r="H29" s="128">
        <f t="shared" si="0"/>
        <v>0</v>
      </c>
      <c r="I29" s="238"/>
      <c r="J29" s="200"/>
    </row>
    <row r="30" spans="2:10" ht="14.1" customHeight="1">
      <c r="B30" s="167" t="str">
        <f>IF(Indice_index!$Z$1=1,"Participações em organizações internacionais","International Organizations membership")</f>
        <v>Participações em organizações internacionais</v>
      </c>
      <c r="C30" s="128">
        <v>16.355196230000001</v>
      </c>
      <c r="D30" s="128">
        <v>14.919135000000001</v>
      </c>
      <c r="E30" s="128">
        <v>0</v>
      </c>
      <c r="F30" s="128">
        <v>1.8009701</v>
      </c>
      <c r="G30" s="128">
        <v>1.8009701</v>
      </c>
      <c r="H30" s="128">
        <f t="shared" si="0"/>
        <v>12.071545032604101</v>
      </c>
      <c r="I30" s="238"/>
      <c r="J30" s="200"/>
    </row>
    <row r="31" spans="2:10" ht="14.1" customHeight="1">
      <c r="B31" s="167" t="str">
        <f>IF(Indice_index!$Z$1=1,"Outros ativos","Other assets")</f>
        <v>Outros ativos</v>
      </c>
      <c r="C31" s="128">
        <v>0</v>
      </c>
      <c r="D31" s="128">
        <v>20</v>
      </c>
      <c r="E31" s="128">
        <v>0</v>
      </c>
      <c r="F31" s="128">
        <v>0</v>
      </c>
      <c r="G31" s="128"/>
      <c r="H31" s="128">
        <f t="shared" si="0"/>
        <v>0</v>
      </c>
      <c r="I31" s="238"/>
      <c r="J31" s="200"/>
    </row>
    <row r="32" spans="2:10" ht="14.1" customHeight="1">
      <c r="B32" s="91" t="str">
        <f>IF(Indice_index!$Z$1=1,"Total dos ativos financeiros","Financial Assets - Total")</f>
        <v>Total dos ativos financeiros</v>
      </c>
      <c r="C32" s="26">
        <f>C12+C13+C22+C26+C27+C28+C29+C30+C31</f>
        <v>3632.7168203600004</v>
      </c>
      <c r="D32" s="26">
        <f>D12+D13+D22+D26+D27+D28+D29+D30+D31</f>
        <v>12546.252662999999</v>
      </c>
      <c r="E32" s="26">
        <f>E12+E13+E22+E26+E27+E28+E29+E30+E31</f>
        <v>0</v>
      </c>
      <c r="F32" s="26">
        <f>F12+F13+F22+F26+F27+F28+F29+F30+F31</f>
        <v>376.01038981999994</v>
      </c>
      <c r="G32" s="26">
        <f>G12+G13+G22+G26+G27+G28+G29+G30+G31</f>
        <v>376.01038981999994</v>
      </c>
      <c r="H32" s="26">
        <f t="shared" ref="H32" si="3">IFERROR(G32/D32*100,0)</f>
        <v>2.99699360374662</v>
      </c>
      <c r="I32" s="238"/>
      <c r="J32" s="200"/>
    </row>
    <row r="33" spans="2:9" ht="15" customHeight="1">
      <c r="B33" s="155" t="str">
        <f>IF(Indice_index!$Z$1=1,"Fonte: Ministério das Finanças.","Source: Ministry of Finance.")</f>
        <v>Fonte: Ministério das Finanças.</v>
      </c>
      <c r="C33" s="294"/>
      <c r="D33" s="9"/>
      <c r="E33" s="9"/>
      <c r="F33" s="9"/>
      <c r="G33" s="9"/>
      <c r="H33" s="9"/>
      <c r="I33" s="9"/>
    </row>
    <row r="34" spans="2:9" ht="15" customHeight="1">
      <c r="B34" s="418"/>
      <c r="C34" s="418"/>
      <c r="D34" s="418"/>
      <c r="E34" s="418"/>
      <c r="F34" s="418"/>
      <c r="G34" s="418"/>
      <c r="H34" s="418"/>
    </row>
    <row r="35" spans="2:9" ht="15" customHeight="1"/>
    <row r="36" spans="2:9" ht="14.85" customHeight="1"/>
    <row r="37" spans="2:9" ht="14.85" customHeight="1"/>
    <row r="38" spans="2:9" ht="14.85" customHeight="1"/>
    <row r="39" spans="2:9" ht="14.85" customHeight="1"/>
    <row r="40" spans="2:9" ht="14.85" customHeight="1"/>
    <row r="47" spans="2:9" ht="14.85" customHeight="1"/>
  </sheetData>
  <mergeCells count="4">
    <mergeCell ref="B10:B11"/>
    <mergeCell ref="E10:F10"/>
    <mergeCell ref="H10:H11"/>
    <mergeCell ref="B34:H34"/>
  </mergeCells>
  <conditionalFormatting sqref="C12:H31">
    <cfRule type="cellIs" dxfId="21"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ignoredErrors>
    <ignoredError sqref="C22:G22"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2"/>
  <sheetViews>
    <sheetView showGridLines="0" zoomScaleNormal="100" workbookViewId="0"/>
  </sheetViews>
  <sheetFormatPr defaultColWidth="0" defaultRowHeight="15" zeroHeight="1"/>
  <cols>
    <col min="1" max="1" width="8.5703125" style="92" customWidth="1"/>
    <col min="2" max="2" width="47.42578125" style="92" customWidth="1"/>
    <col min="3" max="6" width="9.5703125" style="92" customWidth="1"/>
    <col min="7" max="9" width="8.5703125" style="92" customWidth="1"/>
    <col min="10" max="16384" width="8.5703125" hidden="1"/>
  </cols>
  <sheetData>
    <row r="1" spans="1:9"/>
    <row r="2" spans="1:9"/>
    <row r="3" spans="1:9"/>
    <row r="4" spans="1:9"/>
    <row r="5" spans="1:9" ht="18" customHeight="1">
      <c r="A5"/>
      <c r="B5" s="254" t="str">
        <f>IF(Indice_index!$Z$1=1,"ANEXOS ESTATÍSTICOS","STATISTICAL ANNEXES")</f>
        <v>ANEXOS ESTATÍSTICOS</v>
      </c>
      <c r="C5"/>
      <c r="D5"/>
      <c r="E5"/>
      <c r="F5"/>
      <c r="G5"/>
      <c r="H5"/>
      <c r="I5"/>
    </row>
    <row r="6" spans="1:9" ht="18" customHeight="1">
      <c r="A6"/>
      <c r="B6" s="255" t="str">
        <f>IF(Indice_index!$Z$1=1,"Fevereiro de 2026","February 2026")</f>
        <v>Fevereiro de 2026</v>
      </c>
      <c r="C6"/>
      <c r="D6"/>
      <c r="E6"/>
      <c r="F6"/>
      <c r="G6"/>
      <c r="H6"/>
      <c r="I6"/>
    </row>
    <row r="7" spans="1:9" ht="48.75" customHeight="1">
      <c r="B7" s="12"/>
      <c r="C7" s="13"/>
      <c r="D7" s="11"/>
      <c r="E7" s="11"/>
      <c r="F7" s="11"/>
      <c r="G7" s="11"/>
      <c r="H7" s="11"/>
    </row>
    <row r="8" spans="1:9" ht="15.7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1:9">
      <c r="B9" s="3" t="str">
        <f>+'3 - Conta AC + SS'!B9</f>
        <v>Período: janeiro a fevereiro</v>
      </c>
      <c r="C9" s="3"/>
      <c r="D9" s="3"/>
      <c r="E9" s="3"/>
      <c r="F9" s="3"/>
      <c r="G9" s="3"/>
      <c r="H9" s="3" t="str">
        <f>IF(Indice_index!$Z$1=1,"€ Milhões","€ Millions")</f>
        <v>€ Milhões</v>
      </c>
    </row>
    <row r="10" spans="1:9"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375" t="str">
        <f>IF(Indice_index!$Z$1=1,"Variação Homóloga Acumulada","YOY Change Rate")</f>
        <v>Variação Homóloga Acumulada</v>
      </c>
      <c r="H10" s="372"/>
    </row>
    <row r="11" spans="1:9" ht="26.85" customHeight="1">
      <c r="B11" s="373"/>
      <c r="C11" s="22">
        <v>2025</v>
      </c>
      <c r="D11" s="22">
        <v>2026</v>
      </c>
      <c r="E11" s="22">
        <v>2025</v>
      </c>
      <c r="F11" s="22">
        <v>2026</v>
      </c>
      <c r="G11" s="22" t="str">
        <f>IF(Indice_index!$Z$1=1,"TVHA (%)","YOY Change Rate (%)")</f>
        <v>TVHA (%)</v>
      </c>
      <c r="H11" s="22" t="str">
        <f>IF(Indice_index!$Z$1=1,"Contributo VHA (pp)","YOY Change Contrib. (pp)")</f>
        <v>Contributo VHA (pp)</v>
      </c>
    </row>
    <row r="12" spans="1:9" s="183" customFormat="1" ht="14.1" customHeight="1">
      <c r="B12" s="167" t="str">
        <f>IF(Indice_index!$Z$1=1,"Receita corrente","Current revenue")</f>
        <v>Receita corrente</v>
      </c>
      <c r="C12" s="128">
        <v>15725.373435830001</v>
      </c>
      <c r="D12" s="128">
        <v>16240.999999999998</v>
      </c>
      <c r="E12" s="128">
        <v>2386.2999999999997</v>
      </c>
      <c r="F12" s="128">
        <v>2594.0189973199999</v>
      </c>
      <c r="G12" s="128">
        <f>IFERROR(IF(ABS((F12-E12)/E12)*100&gt;500,"-",((F12-E12)/E12)*100),0)</f>
        <v>8.7046472497171443</v>
      </c>
      <c r="H12" s="128">
        <f>IFERROR((F12-E12)/$E$19*100,"-")</f>
        <v>8.6391198353019565</v>
      </c>
    </row>
    <row r="13" spans="1:9" s="183" customFormat="1" ht="14.1" customHeight="1">
      <c r="B13" s="121" t="str">
        <f>IF(Indice_index!$Z$1=1,"Receita fiscal","Tax")</f>
        <v>Receita fiscal</v>
      </c>
      <c r="C13" s="4">
        <v>120.2</v>
      </c>
      <c r="D13" s="4">
        <v>130.4</v>
      </c>
      <c r="E13" s="4">
        <v>26.8</v>
      </c>
      <c r="F13" s="4">
        <v>31.8</v>
      </c>
      <c r="G13" s="4">
        <f t="shared" ref="G13:G38" si="0">IFERROR(IF(ABS((F13-E13)/E13)*100&gt;500,"-",((F13-E13)/E13)*100),0)</f>
        <v>18.656716417910445</v>
      </c>
      <c r="H13" s="4">
        <f t="shared" ref="H13:H18" si="1">IFERROR((F13-E13)/$E$19*100,"-")</f>
        <v>0.20795208783896194</v>
      </c>
    </row>
    <row r="14" spans="1:9" s="183" customFormat="1" ht="14.1" customHeight="1">
      <c r="B14" s="165" t="str">
        <f>IF(Indice_index!$Z$1=1,"Impostos diretos","Direct taxes")</f>
        <v>Impostos diretos</v>
      </c>
      <c r="C14" s="4">
        <v>0</v>
      </c>
      <c r="D14" s="4">
        <v>0</v>
      </c>
      <c r="E14" s="4">
        <v>0</v>
      </c>
      <c r="F14" s="4">
        <v>0</v>
      </c>
      <c r="G14" s="4">
        <f t="shared" si="0"/>
        <v>0</v>
      </c>
      <c r="H14" s="4">
        <f t="shared" si="1"/>
        <v>0</v>
      </c>
    </row>
    <row r="15" spans="1:9" s="183" customFormat="1" ht="14.1" customHeight="1">
      <c r="B15" s="165" t="str">
        <f>IF(Indice_index!$Z$1=1,"Impostos indiretos","Indirect taxes")</f>
        <v>Impostos indiretos</v>
      </c>
      <c r="C15" s="4">
        <v>120.2</v>
      </c>
      <c r="D15" s="4">
        <v>130.4</v>
      </c>
      <c r="E15" s="4">
        <v>26.8</v>
      </c>
      <c r="F15" s="4">
        <v>31.8</v>
      </c>
      <c r="G15" s="4">
        <f t="shared" si="0"/>
        <v>18.656716417910445</v>
      </c>
      <c r="H15" s="4">
        <f t="shared" si="1"/>
        <v>0.20795208783896194</v>
      </c>
    </row>
    <row r="16" spans="1:9" s="183" customFormat="1" ht="14.1" customHeight="1">
      <c r="B16" s="121" t="str">
        <f>IF(Indice_index!$Z$1=1,"Contribuições de Segurança Social","Social security contributions")</f>
        <v>Contribuições de Segurança Social</v>
      </c>
      <c r="C16" s="4">
        <v>0</v>
      </c>
      <c r="D16" s="4">
        <v>0</v>
      </c>
      <c r="E16" s="4">
        <v>0</v>
      </c>
      <c r="F16" s="4">
        <v>0</v>
      </c>
      <c r="G16" s="4">
        <f t="shared" si="0"/>
        <v>0</v>
      </c>
      <c r="H16" s="4">
        <f t="shared" si="1"/>
        <v>0</v>
      </c>
    </row>
    <row r="17" spans="2:8" s="183" customFormat="1" ht="14.1" customHeight="1">
      <c r="B17" s="121" t="str">
        <f>IF(Indice_index!$Z$1=1,"Outras receitas correntes","Other current revenue")</f>
        <v>Outras receitas correntes</v>
      </c>
      <c r="C17" s="4">
        <v>15605.17343583</v>
      </c>
      <c r="D17" s="4">
        <v>16110.599999999999</v>
      </c>
      <c r="E17" s="4">
        <v>2359.4999999999995</v>
      </c>
      <c r="F17" s="4">
        <v>2562.2189973199997</v>
      </c>
      <c r="G17" s="4">
        <f t="shared" si="0"/>
        <v>8.5916082780250154</v>
      </c>
      <c r="H17" s="4">
        <f t="shared" si="1"/>
        <v>8.4311677474629931</v>
      </c>
    </row>
    <row r="18" spans="2:8" s="183" customFormat="1" ht="14.1" customHeight="1">
      <c r="B18" s="167" t="str">
        <f>IF(Indice_index!$Z$1=1,"Receita de capital","Capital revenue")</f>
        <v>Receita de capital</v>
      </c>
      <c r="C18" s="128">
        <v>201</v>
      </c>
      <c r="D18" s="128">
        <v>722.8</v>
      </c>
      <c r="E18" s="128">
        <v>18.100000000000001</v>
      </c>
      <c r="F18" s="128">
        <v>16.7</v>
      </c>
      <c r="G18" s="128">
        <f t="shared" si="0"/>
        <v>-7.7348066298342646</v>
      </c>
      <c r="H18" s="128">
        <f t="shared" si="1"/>
        <v>-5.8226584594909432E-2</v>
      </c>
    </row>
    <row r="19" spans="2:8" ht="14.1" customHeight="1">
      <c r="B19" s="29" t="str">
        <f>IF(Indice_index!$Z$1=1,"Receita efetiva","Effective revenue")</f>
        <v>Receita efetiva</v>
      </c>
      <c r="C19" s="18">
        <v>15926.373435830001</v>
      </c>
      <c r="D19" s="18">
        <v>16963.8</v>
      </c>
      <c r="E19" s="18">
        <v>2404.3999999999996</v>
      </c>
      <c r="F19" s="18">
        <v>2610.7189973199997</v>
      </c>
      <c r="G19" s="18">
        <f t="shared" si="0"/>
        <v>8.5808932507070423</v>
      </c>
      <c r="H19" s="18"/>
    </row>
    <row r="20" spans="2:8" s="183" customFormat="1" ht="14.1" customHeight="1">
      <c r="B20" s="167" t="str">
        <f>IF(Indice_index!$Z$1=1,"Despesa corrente","Current expenditure")</f>
        <v>Despesa corrente</v>
      </c>
      <c r="C20" s="128">
        <v>16519.200000000004</v>
      </c>
      <c r="D20" s="128">
        <v>16868.099999999999</v>
      </c>
      <c r="E20" s="128">
        <v>2456.8999999999996</v>
      </c>
      <c r="F20" s="128">
        <v>2590.1000000000004</v>
      </c>
      <c r="G20" s="128">
        <f t="shared" si="0"/>
        <v>5.4214660751353634</v>
      </c>
      <c r="H20" s="128">
        <f>IFERROR((F20-E20)/$E$38*100,"-")</f>
        <v>5.3855173250313646</v>
      </c>
    </row>
    <row r="21" spans="2:8" s="183" customFormat="1" ht="14.1" customHeight="1">
      <c r="B21" s="121" t="str">
        <f>IF(Indice_index!$Z$1=1,"Despesas com o pessoal","Employees")</f>
        <v>Despesas com o pessoal</v>
      </c>
      <c r="C21" s="4">
        <v>7165.4000000000005</v>
      </c>
      <c r="D21" s="4">
        <v>7624.0999999999985</v>
      </c>
      <c r="E21" s="4">
        <v>1215.0999999999999</v>
      </c>
      <c r="F21" s="4">
        <v>1272.3999999999999</v>
      </c>
      <c r="G21" s="4">
        <f t="shared" si="0"/>
        <v>4.715661262447532</v>
      </c>
      <c r="H21" s="4">
        <f t="shared" ref="H21:H36" si="2">IFERROR((F21-E21)/$E$38*100,"-")</f>
        <v>2.3167428132454599</v>
      </c>
    </row>
    <row r="22" spans="2:8" s="183" customFormat="1" ht="14.1" customHeight="1">
      <c r="B22" s="165" t="str">
        <f>IF(Indice_index!$Z$1=1,"Remunerações certas e permanentes","Certain and permanent wages")</f>
        <v>Remunerações certas e permanentes</v>
      </c>
      <c r="C22" s="4">
        <v>4698.5</v>
      </c>
      <c r="D22" s="4">
        <v>4971.5999999999995</v>
      </c>
      <c r="E22" s="4">
        <v>786.6</v>
      </c>
      <c r="F22" s="4">
        <v>847.3</v>
      </c>
      <c r="G22" s="4">
        <f t="shared" si="0"/>
        <v>7.716755657259081</v>
      </c>
      <c r="H22" s="4">
        <f t="shared" si="2"/>
        <v>2.4542109731937063</v>
      </c>
    </row>
    <row r="23" spans="2:8" s="183" customFormat="1" ht="14.1" customHeight="1">
      <c r="B23" s="165" t="str">
        <f>IF(Indice_index!$Z$1=1,"Abonos variáveis ou eventuais","Variable or contingent bonuses")</f>
        <v>Abonos variáveis ou eventuais</v>
      </c>
      <c r="C23" s="4">
        <v>1134.6000000000001</v>
      </c>
      <c r="D23" s="4">
        <v>1235.5999999999999</v>
      </c>
      <c r="E23" s="4">
        <v>204.89999999999998</v>
      </c>
      <c r="F23" s="4">
        <v>190.6</v>
      </c>
      <c r="G23" s="4">
        <f t="shared" si="0"/>
        <v>-6.9790141532454779</v>
      </c>
      <c r="H23" s="4">
        <f t="shared" si="2"/>
        <v>-0.57817490801762761</v>
      </c>
    </row>
    <row r="24" spans="2:8" s="183" customFormat="1" ht="14.1" customHeight="1">
      <c r="B24" s="165" t="str">
        <f>IF(Indice_index!$Z$1=1,"Segurança Social","Social security")</f>
        <v>Segurança Social</v>
      </c>
      <c r="C24" s="4">
        <v>1332.3</v>
      </c>
      <c r="D24" s="4">
        <v>1416.9</v>
      </c>
      <c r="E24" s="4">
        <v>223.6</v>
      </c>
      <c r="F24" s="4">
        <v>234.5</v>
      </c>
      <c r="G24" s="4">
        <f t="shared" si="0"/>
        <v>4.8747763864042959</v>
      </c>
      <c r="H24" s="4">
        <f t="shared" si="2"/>
        <v>0.44070674806938126</v>
      </c>
    </row>
    <row r="25" spans="2:8" s="183" customFormat="1" ht="14.1" customHeight="1">
      <c r="B25" s="121" t="str">
        <f>IF(Indice_index!$Z$1=1,"Aquisição de bens e serviços","Purchase of goods and services")</f>
        <v>Aquisição de bens e serviços</v>
      </c>
      <c r="C25" s="4">
        <v>9099.6</v>
      </c>
      <c r="D25" s="4">
        <v>8925.4</v>
      </c>
      <c r="E25" s="4">
        <v>1214.1999999999998</v>
      </c>
      <c r="F25" s="4">
        <v>1286.9000000000001</v>
      </c>
      <c r="G25" s="4">
        <f t="shared" si="0"/>
        <v>5.9874814692802074</v>
      </c>
      <c r="H25" s="4">
        <f t="shared" si="2"/>
        <v>2.9393927141875342</v>
      </c>
    </row>
    <row r="26" spans="2:8" s="183" customFormat="1" ht="14.1" customHeight="1">
      <c r="B26" s="165" t="str">
        <f>IF(Indice_index!$Z$1=1,"Produtos vendidos em farmácias","Medicines")</f>
        <v>Produtos vendidos em farmácias</v>
      </c>
      <c r="C26" s="4">
        <v>2055.8000000000002</v>
      </c>
      <c r="D26" s="4">
        <v>1985.8</v>
      </c>
      <c r="E26" s="4">
        <v>322.50000000000006</v>
      </c>
      <c r="F26" s="4">
        <v>363.5</v>
      </c>
      <c r="G26" s="4">
        <f t="shared" si="0"/>
        <v>12.713178294573623</v>
      </c>
      <c r="H26" s="4">
        <f t="shared" si="2"/>
        <v>1.6577042817288623</v>
      </c>
    </row>
    <row r="27" spans="2:8" s="183" customFormat="1" ht="24" customHeight="1">
      <c r="B27" s="334" t="str">
        <f>IF(Indice_index!$Z$1=1,"Meios complementares de diagnóstico e terapêutica e outros subcontratos","Complementary diagnosis and therapeutic means and other subcontracts")</f>
        <v>Meios complementares de diagnóstico e terapêutica e outros subcontratos</v>
      </c>
      <c r="C27" s="4">
        <v>1981.6</v>
      </c>
      <c r="D27" s="4">
        <v>2050.6999999999998</v>
      </c>
      <c r="E27" s="4">
        <v>283.99999999999983</v>
      </c>
      <c r="F27" s="4">
        <v>326.89999999999998</v>
      </c>
      <c r="G27" s="4">
        <f t="shared" si="0"/>
        <v>15.105633802816962</v>
      </c>
      <c r="H27" s="4">
        <f t="shared" si="2"/>
        <v>1.7345247240528909</v>
      </c>
    </row>
    <row r="28" spans="2:8" s="183" customFormat="1" ht="14.1" customHeight="1">
      <c r="B28" s="165" t="str">
        <f>IF(Indice_index!$Z$1=1,"Parcerias público-privadas (PPP)","Public-Private Partnerships (PPP)")</f>
        <v>Parcerias público-privadas (PPP)</v>
      </c>
      <c r="C28" s="4">
        <v>221.4</v>
      </c>
      <c r="D28" s="4">
        <v>231</v>
      </c>
      <c r="E28" s="4">
        <v>24.8</v>
      </c>
      <c r="F28" s="4">
        <v>28.6</v>
      </c>
      <c r="G28" s="4">
        <f t="shared" si="0"/>
        <v>15.322580645161294</v>
      </c>
      <c r="H28" s="4">
        <f t="shared" si="2"/>
        <v>0.15364088464804113</v>
      </c>
    </row>
    <row r="29" spans="2:8" s="183" customFormat="1" ht="14.1" customHeight="1">
      <c r="B29" s="165" t="str">
        <f>IF(Indice_index!$Z$1=1,"Aquisição de bens (compras inventários)","Purchase of goods (inventories)")</f>
        <v>Aquisição de bens (compras inventários)</v>
      </c>
      <c r="C29" s="4">
        <v>3355.6</v>
      </c>
      <c r="D29" s="4">
        <v>3251.8999999999996</v>
      </c>
      <c r="E29" s="4">
        <v>373.29999999999995</v>
      </c>
      <c r="F29" s="4">
        <v>333.4</v>
      </c>
      <c r="G29" s="4">
        <f t="shared" si="0"/>
        <v>-10.688454326279127</v>
      </c>
      <c r="H29" s="4">
        <f t="shared" si="2"/>
        <v>-1.6132292888044304</v>
      </c>
    </row>
    <row r="30" spans="2:8" s="183" customFormat="1" ht="14.1" customHeight="1">
      <c r="B30" s="165" t="str">
        <f>IF(Indice_index!$Z$1=1,"Outras aquisições de bens e serviços","Other acquisitions of goods and services")</f>
        <v>Outras aquisições de bens e serviços</v>
      </c>
      <c r="C30" s="4">
        <v>1485.2</v>
      </c>
      <c r="D30" s="4">
        <v>1406</v>
      </c>
      <c r="E30" s="4">
        <v>209.6</v>
      </c>
      <c r="F30" s="4">
        <v>234.5</v>
      </c>
      <c r="G30" s="4">
        <f t="shared" si="0"/>
        <v>11.879770992366415</v>
      </c>
      <c r="H30" s="4">
        <f t="shared" si="2"/>
        <v>1.0067521125621643</v>
      </c>
    </row>
    <row r="31" spans="2:8" s="183" customFormat="1" ht="14.1" customHeight="1">
      <c r="B31" s="121" t="str">
        <f>IF(Indice_index!$Z$1=1,"Juros e outros encargos","Interests and other charges")</f>
        <v>Juros e outros encargos</v>
      </c>
      <c r="C31" s="4">
        <v>4.9000000000000004</v>
      </c>
      <c r="D31" s="4">
        <v>0.6</v>
      </c>
      <c r="E31" s="4">
        <v>0.4</v>
      </c>
      <c r="F31" s="4">
        <v>0.3</v>
      </c>
      <c r="G31" s="4">
        <f t="shared" si="0"/>
        <v>-25.000000000000007</v>
      </c>
      <c r="H31" s="4">
        <f t="shared" si="2"/>
        <v>-4.0431811749484514E-3</v>
      </c>
    </row>
    <row r="32" spans="2:8" s="183" customFormat="1" ht="14.1" customHeight="1">
      <c r="B32" s="121" t="str">
        <f>IF(Indice_index!$Z$1=1,"Transferências correntes","Current transfers")</f>
        <v>Transferências correntes</v>
      </c>
      <c r="C32" s="4">
        <v>242.4</v>
      </c>
      <c r="D32" s="4">
        <v>293.10000000000002</v>
      </c>
      <c r="E32" s="4">
        <v>26.1</v>
      </c>
      <c r="F32" s="4">
        <v>30.2</v>
      </c>
      <c r="G32" s="4">
        <f t="shared" si="0"/>
        <v>15.708812260536389</v>
      </c>
      <c r="H32" s="4">
        <f t="shared" si="2"/>
        <v>0.16577042817288637</v>
      </c>
    </row>
    <row r="33" spans="2:8" s="183" customFormat="1" ht="14.1" customHeight="1">
      <c r="B33" s="121" t="str">
        <f>IF(Indice_index!$Z$1=1,"Outras despesas correntes","Other current expenditures")</f>
        <v>Outras despesas correntes</v>
      </c>
      <c r="C33" s="4">
        <v>6.9</v>
      </c>
      <c r="D33" s="4">
        <v>24.9</v>
      </c>
      <c r="E33" s="4">
        <v>1.1000000000000001</v>
      </c>
      <c r="F33" s="4">
        <v>0.3</v>
      </c>
      <c r="G33" s="4">
        <f t="shared" si="0"/>
        <v>-72.727272727272734</v>
      </c>
      <c r="H33" s="4">
        <f t="shared" si="2"/>
        <v>-3.2345449399587604E-2</v>
      </c>
    </row>
    <row r="34" spans="2:8" s="183" customFormat="1" ht="14.1" customHeight="1">
      <c r="B34" s="167" t="str">
        <f>IF(Indice_index!$Z$1=1,"Despesa de capital","Capital expenditure")</f>
        <v>Despesa de capital</v>
      </c>
      <c r="C34" s="128">
        <v>442.29999999999995</v>
      </c>
      <c r="D34" s="128">
        <v>1228.3</v>
      </c>
      <c r="E34" s="128">
        <v>16.399999999999999</v>
      </c>
      <c r="F34" s="128">
        <v>47.6</v>
      </c>
      <c r="G34" s="128">
        <f t="shared" si="0"/>
        <v>190.24390243902442</v>
      </c>
      <c r="H34" s="128">
        <f t="shared" si="2"/>
        <v>1.2614725265839166</v>
      </c>
    </row>
    <row r="35" spans="2:8" s="183" customFormat="1" ht="14.1" customHeight="1">
      <c r="B35" s="121" t="str">
        <f>IF(Indice_index!$Z$1=1,"Investimentos","Investments")</f>
        <v>Investimentos</v>
      </c>
      <c r="C35" s="4">
        <v>338.9</v>
      </c>
      <c r="D35" s="4">
        <v>1050.7</v>
      </c>
      <c r="E35" s="4">
        <v>15.6</v>
      </c>
      <c r="F35" s="4">
        <v>17.100000000000001</v>
      </c>
      <c r="G35" s="4">
        <f t="shared" si="0"/>
        <v>9.6153846153846274</v>
      </c>
      <c r="H35" s="4">
        <f t="shared" si="2"/>
        <v>6.064771762422682E-2</v>
      </c>
    </row>
    <row r="36" spans="2:8" s="183" customFormat="1" ht="14.1" customHeight="1">
      <c r="B36" s="121" t="str">
        <f>IF(Indice_index!$Z$1=1,"Transferências de capital","Capital transfers")</f>
        <v>Transferências de capital</v>
      </c>
      <c r="C36" s="4">
        <v>103.4</v>
      </c>
      <c r="D36" s="4">
        <v>177.6</v>
      </c>
      <c r="E36" s="4">
        <v>0.8</v>
      </c>
      <c r="F36" s="4">
        <v>30.5</v>
      </c>
      <c r="G36" s="4" t="str">
        <f t="shared" si="0"/>
        <v>-</v>
      </c>
      <c r="H36" s="4">
        <f t="shared" si="2"/>
        <v>1.2008248089596896</v>
      </c>
    </row>
    <row r="37" spans="2:8" s="183" customFormat="1" ht="14.1" customHeight="1">
      <c r="B37" s="121" t="str">
        <f>IF(Indice_index!$Z$1=1,"Outras despesas de capital","Other capital expenditures")</f>
        <v>Outras despesas de capital</v>
      </c>
      <c r="C37" s="4">
        <v>0</v>
      </c>
      <c r="D37" s="4">
        <v>0</v>
      </c>
      <c r="E37" s="4">
        <v>0</v>
      </c>
      <c r="F37" s="4">
        <v>0</v>
      </c>
      <c r="G37" s="4">
        <f t="shared" si="0"/>
        <v>0</v>
      </c>
      <c r="H37" s="4">
        <v>0</v>
      </c>
    </row>
    <row r="38" spans="2:8" ht="14.1" customHeight="1">
      <c r="B38" s="29" t="str">
        <f>IF(Indice_index!$Z$1=1,"Despesa efetiva","Effective expenditure")</f>
        <v>Despesa efetiva</v>
      </c>
      <c r="C38" s="18">
        <v>16961.500000000004</v>
      </c>
      <c r="D38" s="18">
        <v>18096.399999999998</v>
      </c>
      <c r="E38" s="18">
        <v>2473.2999999999997</v>
      </c>
      <c r="F38" s="18">
        <v>2637.7000000000003</v>
      </c>
      <c r="G38" s="18">
        <f t="shared" si="0"/>
        <v>6.646989851615273</v>
      </c>
      <c r="H38" s="18"/>
    </row>
    <row r="39" spans="2:8" ht="14.1" customHeight="1">
      <c r="B39" s="29" t="str">
        <f>IF(Indice_index!$Z$1=1,"Saldo global","Overall balance")</f>
        <v>Saldo global</v>
      </c>
      <c r="C39" s="18">
        <v>-1035.1265641700029</v>
      </c>
      <c r="D39" s="18">
        <v>-1132.5999999999985</v>
      </c>
      <c r="E39" s="18">
        <v>-68.900000000000091</v>
      </c>
      <c r="F39" s="18">
        <v>-26.981002680000529</v>
      </c>
      <c r="G39" s="18"/>
      <c r="H39" s="18"/>
    </row>
    <row r="40" spans="2:8" ht="15" customHeight="1">
      <c r="B40" s="9" t="str">
        <f>IF(Indice_index!$Z$1=1,"Fonte: Administração Central do Sistema de Saúde, I.P.","Source: Health System Central Administration.")</f>
        <v>Fonte: Administração Central do Sistema de Saúde, I.P.</v>
      </c>
      <c r="C40" s="9"/>
      <c r="D40" s="148"/>
      <c r="E40" s="9"/>
      <c r="F40" s="9"/>
      <c r="G40" s="9"/>
      <c r="H40" s="9"/>
    </row>
    <row r="41" spans="2:8" ht="15" customHeight="1">
      <c r="B41" s="9"/>
      <c r="C41" s="9"/>
      <c r="D41" s="148"/>
      <c r="E41" s="9"/>
      <c r="F41" s="9"/>
      <c r="G41" s="9"/>
      <c r="H41" s="9"/>
    </row>
    <row r="42" spans="2:8"/>
  </sheetData>
  <mergeCells count="3">
    <mergeCell ref="B10:B11"/>
    <mergeCell ref="E10:F10"/>
    <mergeCell ref="G10:H10"/>
  </mergeCells>
  <conditionalFormatting sqref="C12:H18">
    <cfRule type="cellIs" dxfId="20" priority="6" operator="equal">
      <formula>0</formula>
    </cfRule>
  </conditionalFormatting>
  <conditionalFormatting sqref="C20:H37">
    <cfRule type="cellIs" dxfId="19"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104"/>
  <sheetViews>
    <sheetView showGridLines="0" zoomScaleNormal="100" workbookViewId="0"/>
  </sheetViews>
  <sheetFormatPr defaultColWidth="0" defaultRowHeight="14.85" customHeight="1" zeroHeight="1"/>
  <cols>
    <col min="1" max="1" width="8.5703125" style="92" customWidth="1"/>
    <col min="2" max="2" width="2.42578125" style="78" customWidth="1"/>
    <col min="3" max="3" width="27.5703125" style="78" customWidth="1"/>
    <col min="4" max="17" width="8.42578125" style="78" customWidth="1"/>
    <col min="18" max="18" width="11" style="78" bestFit="1" customWidth="1"/>
    <col min="19" max="19" width="0" hidden="1" customWidth="1"/>
    <col min="20" max="16384" width="9.42578125" hidden="1"/>
  </cols>
  <sheetData>
    <row r="1" spans="1:18" ht="14.85" customHeight="1"/>
    <row r="2" spans="1:18" ht="15"/>
    <row r="3" spans="1:18" ht="15"/>
    <row r="4" spans="1:18" ht="15"/>
    <row r="5" spans="1:18" ht="18" customHeight="1">
      <c r="A5"/>
      <c r="B5" s="254" t="str">
        <f>IF(Indice_index!$Z$1=1,"ANEXOS ESTATÍSTICOS","STATISTICAL ANNEXES")</f>
        <v>ANEXOS ESTATÍSTICOS</v>
      </c>
      <c r="C5"/>
      <c r="D5"/>
      <c r="E5"/>
      <c r="F5"/>
      <c r="G5"/>
      <c r="H5"/>
      <c r="I5"/>
      <c r="J5"/>
      <c r="K5"/>
      <c r="L5"/>
      <c r="M5"/>
      <c r="N5"/>
      <c r="O5"/>
      <c r="P5"/>
      <c r="Q5"/>
      <c r="R5"/>
    </row>
    <row r="6" spans="1:18" ht="18" customHeight="1">
      <c r="A6"/>
      <c r="B6" s="255" t="str">
        <f>IF(Indice_index!$Z$1=1,"Fevereiro de 2026","February 2026")</f>
        <v>Fevereiro de 2026</v>
      </c>
      <c r="C6"/>
      <c r="D6"/>
      <c r="E6"/>
      <c r="F6"/>
      <c r="G6"/>
      <c r="H6"/>
      <c r="I6"/>
      <c r="J6"/>
      <c r="K6"/>
      <c r="L6"/>
      <c r="M6"/>
      <c r="N6"/>
      <c r="O6"/>
      <c r="P6"/>
      <c r="Q6"/>
      <c r="R6"/>
    </row>
    <row r="7" spans="1:18" ht="49.5" customHeight="1">
      <c r="B7" s="12"/>
      <c r="C7" s="13"/>
      <c r="D7" s="11"/>
      <c r="E7" s="11"/>
      <c r="F7" s="11"/>
      <c r="G7" s="11"/>
      <c r="H7" s="11"/>
      <c r="I7" s="11"/>
      <c r="J7" s="11"/>
      <c r="K7" s="10"/>
      <c r="L7" s="10"/>
      <c r="M7" s="10"/>
      <c r="N7" s="10"/>
      <c r="O7" s="10"/>
      <c r="P7"/>
      <c r="Q7"/>
    </row>
    <row r="8" spans="1:18" ht="15.7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1:18" ht="15">
      <c r="B9" s="3" t="str">
        <f>+'3 - Conta AC + SS'!B9</f>
        <v>Período: janeiro a fevereiro</v>
      </c>
      <c r="C9" s="3"/>
      <c r="D9" s="3"/>
      <c r="E9" s="3"/>
      <c r="F9" s="3"/>
      <c r="G9" s="3"/>
      <c r="H9" s="3"/>
      <c r="I9" s="3"/>
      <c r="J9" s="3"/>
      <c r="K9" s="3"/>
      <c r="L9" s="3"/>
      <c r="M9" s="3"/>
      <c r="N9" s="3"/>
      <c r="O9" s="3"/>
      <c r="P9" s="3"/>
      <c r="Q9" s="3" t="str">
        <f>IF(Indice_index!$Z$1=1,"€ Milhões","€ Millions")</f>
        <v>€ Milhões</v>
      </c>
    </row>
    <row r="10" spans="1:18" ht="14.1" customHeight="1">
      <c r="B10" s="371"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71"/>
      <c r="D10" s="371"/>
      <c r="E10" s="371"/>
      <c r="F10" s="371"/>
      <c r="G10" s="371"/>
      <c r="H10" s="426"/>
      <c r="I10" s="371"/>
      <c r="J10" s="371"/>
      <c r="K10" s="371"/>
      <c r="L10" s="371"/>
      <c r="M10" s="371"/>
      <c r="N10" s="371"/>
      <c r="O10" s="371"/>
      <c r="P10" s="371"/>
      <c r="Q10" s="372"/>
    </row>
    <row r="11" spans="1:18" ht="14.1" customHeight="1">
      <c r="B11" s="426" t="str">
        <f>IF(Indice_index!$Z$1=1,"Natureza da Dívida","Nature of Debt")</f>
        <v>Natureza da Dívida</v>
      </c>
      <c r="C11" s="414"/>
      <c r="D11" s="375">
        <v>2025</v>
      </c>
      <c r="E11" s="371"/>
      <c r="F11" s="371"/>
      <c r="G11" s="371"/>
      <c r="H11" s="371"/>
      <c r="I11" s="371"/>
      <c r="J11" s="371"/>
      <c r="K11" s="371"/>
      <c r="L11" s="371"/>
      <c r="M11" s="371"/>
      <c r="N11" s="372"/>
      <c r="O11" s="375">
        <v>2026</v>
      </c>
      <c r="P11" s="372"/>
      <c r="Q11" s="394" t="str">
        <f>IF(Indice_index!$Z$1=1,"Variação Homóloga","YOY change")</f>
        <v>Variação Homóloga</v>
      </c>
    </row>
    <row r="12" spans="1:18" ht="14.1" customHeight="1">
      <c r="B12" s="344"/>
      <c r="C12" s="415"/>
      <c r="D12" s="160" t="str">
        <f>IF(Indice_index!$Z$1=1,"fev*","Feb*")</f>
        <v>fev*</v>
      </c>
      <c r="E12" s="22" t="str">
        <f>IF(Indice_index!$Z$1=1,"mar*","Mar*")</f>
        <v>mar*</v>
      </c>
      <c r="F12" s="22" t="str">
        <f>IF(Indice_index!$Z$1=1,"abr*","Apr*")</f>
        <v>abr*</v>
      </c>
      <c r="G12" s="22" t="str">
        <f>IF(Indice_index!$Z$1=1,"mai*","May*")</f>
        <v>mai*</v>
      </c>
      <c r="H12" s="22" t="str">
        <f>IF(Indice_index!$Z$1=1,"jun*","Jun*")</f>
        <v>jun*</v>
      </c>
      <c r="I12" s="22" t="str">
        <f>IF(Indice_index!$Z$1=1,"jul*","Jul*")</f>
        <v>jul*</v>
      </c>
      <c r="J12" s="22" t="str">
        <f>IF(Indice_index!$Z$1=1,"ago*","Aug*")</f>
        <v>ago*</v>
      </c>
      <c r="K12" s="22" t="str">
        <f>IF(Indice_index!$Z$1=1,"set*","Sep*")</f>
        <v>set*</v>
      </c>
      <c r="L12" s="22" t="str">
        <f>IF(Indice_index!$Z$1=1,"out*","Oct*")</f>
        <v>out*</v>
      </c>
      <c r="M12" s="22" t="str">
        <f>IF(Indice_index!$Z$1=1,"nov*","Nov*")</f>
        <v>nov*</v>
      </c>
      <c r="N12" s="160" t="str">
        <f>IF(Indice_index!$Z$1=1,"dez*","Dec*")</f>
        <v>dez*</v>
      </c>
      <c r="O12" s="22" t="str">
        <f>IF(Indice_index!$Z$1=1,"jan*","Jan*")</f>
        <v>jan*</v>
      </c>
      <c r="P12" s="160" t="str">
        <f>IF(Indice_index!$Z$1=1,"fev*","Feb*")</f>
        <v>fev*</v>
      </c>
      <c r="Q12" s="343"/>
    </row>
    <row r="13" spans="1:18" ht="14.1" customHeight="1">
      <c r="B13" s="429" t="str">
        <f>IF(Indice_index!$Z$1=1,"AC","CG")</f>
        <v>AC</v>
      </c>
      <c r="C13" s="314" t="str">
        <f>IF(Indice_index!$Z$1=1,"Aquisição de bens e serviços","Goods and services acquisition")</f>
        <v>Aquisição de bens e serviços</v>
      </c>
      <c r="D13" s="315">
        <v>402.11718879</v>
      </c>
      <c r="E13" s="315">
        <v>400.5373681799997</v>
      </c>
      <c r="F13" s="315">
        <v>409.77110701999987</v>
      </c>
      <c r="G13" s="315">
        <v>416.02163306999995</v>
      </c>
      <c r="H13" s="315">
        <v>432.18958242999963</v>
      </c>
      <c r="I13" s="315">
        <v>458.98429812999973</v>
      </c>
      <c r="J13" s="315">
        <v>472.88071244999992</v>
      </c>
      <c r="K13" s="315">
        <v>561.9619866999999</v>
      </c>
      <c r="L13" s="315">
        <v>535.55552907999993</v>
      </c>
      <c r="M13" s="315">
        <v>496.81899893999957</v>
      </c>
      <c r="N13" s="315">
        <v>372.08061862</v>
      </c>
      <c r="O13" s="315">
        <v>419.02564357</v>
      </c>
      <c r="P13" s="315">
        <v>421.6333276700002</v>
      </c>
      <c r="Q13" s="315">
        <f>P13-D13</f>
        <v>19.516138880000199</v>
      </c>
    </row>
    <row r="14" spans="1:18" ht="14.1" customHeight="1">
      <c r="B14" s="429"/>
      <c r="C14" s="314" t="str">
        <f>IF(Indice_index!$Z$1=1,"Aquisição de bens de capital","Capital goods acquisition")</f>
        <v>Aquisição de bens de capital</v>
      </c>
      <c r="D14" s="315">
        <v>58.738656590000012</v>
      </c>
      <c r="E14" s="315">
        <v>40.000553350000004</v>
      </c>
      <c r="F14" s="315">
        <v>77.366496799999993</v>
      </c>
      <c r="G14" s="315">
        <v>107.33635807999998</v>
      </c>
      <c r="H14" s="315">
        <v>86.589033249999972</v>
      </c>
      <c r="I14" s="315">
        <v>85.515196369999998</v>
      </c>
      <c r="J14" s="315">
        <v>82.364098830000032</v>
      </c>
      <c r="K14" s="315">
        <v>100.14608018000004</v>
      </c>
      <c r="L14" s="315">
        <v>154.92080108999997</v>
      </c>
      <c r="M14" s="315">
        <v>210.6021045600001</v>
      </c>
      <c r="N14" s="315">
        <v>64.128198099999992</v>
      </c>
      <c r="O14" s="315">
        <v>70.792844560000006</v>
      </c>
      <c r="P14" s="315">
        <v>88.853457449999965</v>
      </c>
      <c r="Q14" s="315">
        <f t="shared" ref="Q14:Q17" si="0">P14-D14</f>
        <v>30.114800859999953</v>
      </c>
    </row>
    <row r="15" spans="1:18" ht="14.1" customHeight="1">
      <c r="B15" s="429"/>
      <c r="C15" s="314" t="str">
        <f>IF(Indice_index!$Z$1=1,"Transferências para AP","Transfers inside GG")</f>
        <v>Transferências para AP</v>
      </c>
      <c r="D15" s="315">
        <v>60.975087290000005</v>
      </c>
      <c r="E15" s="315">
        <v>60.382807239999991</v>
      </c>
      <c r="F15" s="315">
        <v>104.78081091999999</v>
      </c>
      <c r="G15" s="315">
        <v>119.99284994000003</v>
      </c>
      <c r="H15" s="315">
        <v>132.96035567999999</v>
      </c>
      <c r="I15" s="315">
        <v>341.58550317999999</v>
      </c>
      <c r="J15" s="315">
        <v>203.39913599999997</v>
      </c>
      <c r="K15" s="315">
        <v>160.39935586000001</v>
      </c>
      <c r="L15" s="315">
        <v>96.725635439999976</v>
      </c>
      <c r="M15" s="315">
        <v>165.12976555999998</v>
      </c>
      <c r="N15" s="315">
        <v>24.271136439999999</v>
      </c>
      <c r="O15" s="315">
        <v>9.7915972400000015</v>
      </c>
      <c r="P15" s="315">
        <v>35.927219010000009</v>
      </c>
      <c r="Q15" s="315">
        <f t="shared" si="0"/>
        <v>-25.047868279999996</v>
      </c>
    </row>
    <row r="16" spans="1:18" ht="14.1" customHeight="1">
      <c r="B16" s="429"/>
      <c r="C16" s="314" t="str">
        <f>IF(Indice_index!$Z$1=1,"Transferências para fora das AP","Transfers outside GG")</f>
        <v>Transferências para fora das AP</v>
      </c>
      <c r="D16" s="315">
        <v>21.461241019999999</v>
      </c>
      <c r="E16" s="315">
        <v>55.119289370000004</v>
      </c>
      <c r="F16" s="315">
        <v>16.228620039999996</v>
      </c>
      <c r="G16" s="315">
        <v>18.476546790000008</v>
      </c>
      <c r="H16" s="315">
        <v>30.932567660000007</v>
      </c>
      <c r="I16" s="315">
        <v>42.938053029999978</v>
      </c>
      <c r="J16" s="315">
        <v>39.782838560000002</v>
      </c>
      <c r="K16" s="315">
        <v>70.494329470000011</v>
      </c>
      <c r="L16" s="315">
        <v>42.834048160000002</v>
      </c>
      <c r="M16" s="315">
        <v>147.85422646000004</v>
      </c>
      <c r="N16" s="315">
        <v>7.7389279799999997</v>
      </c>
      <c r="O16" s="315">
        <v>32.75885353999999</v>
      </c>
      <c r="P16" s="315">
        <v>27.578825129999991</v>
      </c>
      <c r="Q16" s="315">
        <f>P16-D16</f>
        <v>6.1175841099999921</v>
      </c>
    </row>
    <row r="17" spans="2:17" ht="14.1" customHeight="1">
      <c r="B17" s="429"/>
      <c r="C17" s="314" t="str">
        <f>IF(Indice_index!$Z$1=1,"Outras","Others")</f>
        <v>Outras</v>
      </c>
      <c r="D17" s="315">
        <v>149.46258260999991</v>
      </c>
      <c r="E17" s="315">
        <v>163.02365346000011</v>
      </c>
      <c r="F17" s="315">
        <v>163.86451108000011</v>
      </c>
      <c r="G17" s="315">
        <v>158.24365516</v>
      </c>
      <c r="H17" s="315">
        <v>201.04824504000001</v>
      </c>
      <c r="I17" s="315">
        <v>189.70372105999999</v>
      </c>
      <c r="J17" s="315">
        <v>141.56473853000003</v>
      </c>
      <c r="K17" s="315">
        <v>191.98547722000009</v>
      </c>
      <c r="L17" s="315">
        <v>185.88588218000015</v>
      </c>
      <c r="M17" s="315">
        <v>198.70065101</v>
      </c>
      <c r="N17" s="315">
        <v>83.212881419999931</v>
      </c>
      <c r="O17" s="315">
        <v>99.803604889999875</v>
      </c>
      <c r="P17" s="315">
        <v>111.77449380999994</v>
      </c>
      <c r="Q17" s="315">
        <f t="shared" si="0"/>
        <v>-37.688088799999974</v>
      </c>
    </row>
    <row r="18" spans="2:17" ht="14.1" customHeight="1">
      <c r="B18" s="430" t="str">
        <f>IF(Indice_index!$Z$1=1,"Total da Administração Central","Central Government - Total")</f>
        <v>Total da Administração Central</v>
      </c>
      <c r="C18" s="431"/>
      <c r="D18" s="18">
        <v>692.75475629999994</v>
      </c>
      <c r="E18" s="18">
        <v>719.06367159999991</v>
      </c>
      <c r="F18" s="18">
        <v>772.01154585999973</v>
      </c>
      <c r="G18" s="18">
        <v>820.07104303999995</v>
      </c>
      <c r="H18" s="18">
        <v>883.7197840599996</v>
      </c>
      <c r="I18" s="18">
        <v>1118.7267717699999</v>
      </c>
      <c r="J18" s="18">
        <v>939.99152436999998</v>
      </c>
      <c r="K18" s="18">
        <v>1084.9872294300001</v>
      </c>
      <c r="L18" s="18">
        <v>1015.92189595</v>
      </c>
      <c r="M18" s="18">
        <v>1219.1057465299998</v>
      </c>
      <c r="N18" s="18">
        <v>551.43176255999992</v>
      </c>
      <c r="O18" s="18">
        <v>632.17254379999997</v>
      </c>
      <c r="P18" s="18">
        <v>685.76732307000009</v>
      </c>
      <c r="Q18" s="18">
        <f>P18-D18</f>
        <v>-6.9874332299998514</v>
      </c>
    </row>
    <row r="19" spans="2:17" ht="14.1" customHeight="1">
      <c r="B19" s="429" t="str">
        <f>IF(Indice_index!$Z$1=1,"AR","RG")</f>
        <v>AR</v>
      </c>
      <c r="C19" s="314" t="str">
        <f>IF(Indice_index!$Z$1=1,"Aquisição de bens e serviços","Goods and Services Acquisition")</f>
        <v>Aquisição de bens e serviços</v>
      </c>
      <c r="D19" s="316">
        <v>91.977814330000001</v>
      </c>
      <c r="E19" s="316">
        <v>86.828057480000012</v>
      </c>
      <c r="F19" s="316">
        <v>95.627223509999993</v>
      </c>
      <c r="G19" s="316">
        <v>102.86864986999998</v>
      </c>
      <c r="H19" s="316">
        <v>89.366738199999986</v>
      </c>
      <c r="I19" s="316">
        <v>104.94365522000012</v>
      </c>
      <c r="J19" s="316">
        <v>86.311769920000003</v>
      </c>
      <c r="K19" s="316">
        <v>78.312589770000045</v>
      </c>
      <c r="L19" s="316">
        <v>80.761716820000004</v>
      </c>
      <c r="M19" s="316">
        <v>77.093443579999899</v>
      </c>
      <c r="N19" s="316">
        <v>54.314859669999997</v>
      </c>
      <c r="O19" s="316">
        <v>99.715035010000008</v>
      </c>
      <c r="P19" s="316">
        <v>81.311903750000042</v>
      </c>
      <c r="Q19" s="315">
        <f>P19-D19</f>
        <v>-10.665910579999959</v>
      </c>
    </row>
    <row r="20" spans="2:17" ht="14.1" customHeight="1">
      <c r="B20" s="429"/>
      <c r="C20" s="314" t="str">
        <f>IF(Indice_index!$Z$1=1,"Aquisição de bens de capital","Capital Goods Acquisition")</f>
        <v>Aquisição de bens de capital</v>
      </c>
      <c r="D20" s="317">
        <v>35.690923749999996</v>
      </c>
      <c r="E20" s="317">
        <v>33.531192179999998</v>
      </c>
      <c r="F20" s="317">
        <v>32.55391728</v>
      </c>
      <c r="G20" s="317">
        <v>32.754074100000004</v>
      </c>
      <c r="H20" s="317">
        <v>39.501029170000002</v>
      </c>
      <c r="I20" s="317">
        <v>32.318881380000008</v>
      </c>
      <c r="J20" s="317">
        <v>33.623115940000005</v>
      </c>
      <c r="K20" s="317">
        <v>36.082469220000007</v>
      </c>
      <c r="L20" s="317">
        <v>51.438237139999998</v>
      </c>
      <c r="M20" s="317">
        <v>45.464062330000004</v>
      </c>
      <c r="N20" s="317">
        <v>34.343009930000001</v>
      </c>
      <c r="O20" s="317">
        <v>28.518022040000002</v>
      </c>
      <c r="P20" s="317">
        <v>27.957245369999999</v>
      </c>
      <c r="Q20" s="315">
        <f t="shared" ref="Q20:Q23" si="1">P20-D20</f>
        <v>-7.7336783799999971</v>
      </c>
    </row>
    <row r="21" spans="2:17" ht="14.1" customHeight="1">
      <c r="B21" s="429"/>
      <c r="C21" s="314" t="str">
        <f>IF(Indice_index!$Z$1=1,"Transferências para AP","Transfers inside GG")</f>
        <v>Transferências para AP</v>
      </c>
      <c r="D21" s="317">
        <v>4.3529722920000005</v>
      </c>
      <c r="E21" s="317">
        <v>11.960369679999999</v>
      </c>
      <c r="F21" s="317">
        <v>2.2253766100000001</v>
      </c>
      <c r="G21" s="317">
        <v>2.7917093499999996</v>
      </c>
      <c r="H21" s="317">
        <v>8.8446557499999994</v>
      </c>
      <c r="I21" s="317">
        <v>9.5233154800000008</v>
      </c>
      <c r="J21" s="317">
        <v>12.532928159999999</v>
      </c>
      <c r="K21" s="317">
        <v>6.5556854300000005</v>
      </c>
      <c r="L21" s="317">
        <v>6.4718489899999998</v>
      </c>
      <c r="M21" s="317">
        <v>60.830205069999998</v>
      </c>
      <c r="N21" s="317">
        <v>60.776209030000004</v>
      </c>
      <c r="O21" s="317">
        <v>35.008757280000005</v>
      </c>
      <c r="P21" s="317">
        <v>63.581708140000003</v>
      </c>
      <c r="Q21" s="315">
        <f t="shared" si="1"/>
        <v>59.228735847999999</v>
      </c>
    </row>
    <row r="22" spans="2:17" ht="14.1" customHeight="1">
      <c r="B22" s="429"/>
      <c r="C22" s="314" t="str">
        <f>IF(Indice_index!$Z$1=1,"Transferências para fora das AP","Transfers outside GG")</f>
        <v>Transferências para fora das AP</v>
      </c>
      <c r="D22" s="317">
        <v>35.473589029999999</v>
      </c>
      <c r="E22" s="317">
        <v>30.7898724</v>
      </c>
      <c r="F22" s="317">
        <v>32.697367079999999</v>
      </c>
      <c r="G22" s="317">
        <v>38.87341472</v>
      </c>
      <c r="H22" s="317">
        <v>36.484171149999995</v>
      </c>
      <c r="I22" s="317">
        <v>37.957268470000002</v>
      </c>
      <c r="J22" s="317">
        <v>36.633397279999997</v>
      </c>
      <c r="K22" s="317">
        <v>35.932463929999997</v>
      </c>
      <c r="L22" s="317">
        <v>38.62302897</v>
      </c>
      <c r="M22" s="317">
        <v>34.106110209999997</v>
      </c>
      <c r="N22" s="317">
        <v>24.666024009999997</v>
      </c>
      <c r="O22" s="317">
        <v>32.228616780000003</v>
      </c>
      <c r="P22" s="317">
        <v>33.032014000000004</v>
      </c>
      <c r="Q22" s="315">
        <f t="shared" si="1"/>
        <v>-2.4415750299999956</v>
      </c>
    </row>
    <row r="23" spans="2:17" ht="14.1" customHeight="1">
      <c r="B23" s="429"/>
      <c r="C23" s="314" t="str">
        <f>IF(Indice_index!$Z$1=1,"Outras","Others")</f>
        <v>Outras</v>
      </c>
      <c r="D23" s="318">
        <v>30.621809989999999</v>
      </c>
      <c r="E23" s="318">
        <v>29.971391090000019</v>
      </c>
      <c r="F23" s="318">
        <v>50.732852580000014</v>
      </c>
      <c r="G23" s="318">
        <v>39.998464830000003</v>
      </c>
      <c r="H23" s="318">
        <v>60.466489940000024</v>
      </c>
      <c r="I23" s="318">
        <v>32.322845030000025</v>
      </c>
      <c r="J23" s="318">
        <v>36.493357579999994</v>
      </c>
      <c r="K23" s="318">
        <v>34.962592920000013</v>
      </c>
      <c r="L23" s="318">
        <v>58.441580839999965</v>
      </c>
      <c r="M23" s="318">
        <v>54.176037420000021</v>
      </c>
      <c r="N23" s="318">
        <v>19.795359640000001</v>
      </c>
      <c r="O23" s="318">
        <v>28.546226019999963</v>
      </c>
      <c r="P23" s="318">
        <v>31.647818640000001</v>
      </c>
      <c r="Q23" s="315">
        <f t="shared" si="1"/>
        <v>1.0260086500000014</v>
      </c>
    </row>
    <row r="24" spans="2:17" ht="14.1" customHeight="1">
      <c r="B24" s="430" t="str">
        <f>IF(Indice_index!$Z$1=1,"Total da Administração Regional","Regional Government - Total")</f>
        <v>Total da Administração Regional</v>
      </c>
      <c r="C24" s="431"/>
      <c r="D24" s="18">
        <v>198.117109392</v>
      </c>
      <c r="E24" s="18">
        <v>193.08088283000006</v>
      </c>
      <c r="F24" s="18">
        <v>213.83673706000002</v>
      </c>
      <c r="G24" s="18">
        <v>217.28631286999996</v>
      </c>
      <c r="H24" s="18">
        <v>234.66308421000002</v>
      </c>
      <c r="I24" s="18">
        <v>217.06596558000018</v>
      </c>
      <c r="J24" s="18">
        <v>205.59456888</v>
      </c>
      <c r="K24" s="18">
        <v>191.84580127000007</v>
      </c>
      <c r="L24" s="18">
        <v>235.73641276000001</v>
      </c>
      <c r="M24" s="18">
        <v>271.66985860999989</v>
      </c>
      <c r="N24" s="18">
        <v>193.89546228</v>
      </c>
      <c r="O24" s="18">
        <v>224.01665713</v>
      </c>
      <c r="P24" s="18">
        <v>237.53068990000006</v>
      </c>
      <c r="Q24" s="18">
        <f>P24-D24</f>
        <v>39.413580508000052</v>
      </c>
    </row>
    <row r="25" spans="2:17" ht="14.1" customHeight="1">
      <c r="B25" s="432" t="str">
        <f>IF(Indice_index!$Z$1=1,"AL","LG")</f>
        <v>AL</v>
      </c>
      <c r="C25" s="319" t="str">
        <f>IF(Indice_index!$Z$1=1,"Aquisição de bens e serviços","Goods and services acquisition")</f>
        <v>Aquisição de bens e serviços</v>
      </c>
      <c r="D25" s="320">
        <v>395.36571381999994</v>
      </c>
      <c r="E25" s="320">
        <v>411.68211622000001</v>
      </c>
      <c r="F25" s="320">
        <v>410.55324636999995</v>
      </c>
      <c r="G25" s="320">
        <v>428.84185020000007</v>
      </c>
      <c r="H25" s="320">
        <v>436.66521003999992</v>
      </c>
      <c r="I25" s="320">
        <v>435.7082248000001</v>
      </c>
      <c r="J25" s="320">
        <v>417.59621685999991</v>
      </c>
      <c r="K25" s="320">
        <v>415.03068628999989</v>
      </c>
      <c r="L25" s="320">
        <v>420.30622348999998</v>
      </c>
      <c r="M25" s="320">
        <v>445.53126450000002</v>
      </c>
      <c r="N25" s="320">
        <v>377.06148009000003</v>
      </c>
      <c r="O25" s="320">
        <v>330.12108753000007</v>
      </c>
      <c r="P25" s="320">
        <v>329.19301880999996</v>
      </c>
      <c r="Q25" s="315">
        <f>P25-D25</f>
        <v>-66.172695009999984</v>
      </c>
    </row>
    <row r="26" spans="2:17" ht="14.1" customHeight="1">
      <c r="B26" s="429"/>
      <c r="C26" s="321" t="str">
        <f>IF(Indice_index!$Z$1=1,"Aquisição de bens de capital","Capital goods acquisition")</f>
        <v>Aquisição de bens de capital</v>
      </c>
      <c r="D26" s="320">
        <v>190.86041101000001</v>
      </c>
      <c r="E26" s="320">
        <v>229.64931034999998</v>
      </c>
      <c r="F26" s="320">
        <v>240.34898439999998</v>
      </c>
      <c r="G26" s="320">
        <v>278.73915176999998</v>
      </c>
      <c r="H26" s="320">
        <v>280.18342676999998</v>
      </c>
      <c r="I26" s="320">
        <v>283.82951483999994</v>
      </c>
      <c r="J26" s="320">
        <v>305.55467406999998</v>
      </c>
      <c r="K26" s="320">
        <v>309.61668995999997</v>
      </c>
      <c r="L26" s="320">
        <v>352.82001830000002</v>
      </c>
      <c r="M26" s="320">
        <v>370.62950634999982</v>
      </c>
      <c r="N26" s="320">
        <v>293.50499984999999</v>
      </c>
      <c r="O26" s="320">
        <v>262.83931619999998</v>
      </c>
      <c r="P26" s="320">
        <v>279.20719694000002</v>
      </c>
      <c r="Q26" s="315">
        <f t="shared" ref="Q26:Q29" si="2">P26-D26</f>
        <v>88.34678593000001</v>
      </c>
    </row>
    <row r="27" spans="2:17" ht="14.1" customHeight="1">
      <c r="B27" s="429"/>
      <c r="C27" s="321" t="str">
        <f>IF(Indice_index!$Z$1=1,"Transferências para AP","Transfers inside GG")</f>
        <v>Transferências para AP</v>
      </c>
      <c r="D27" s="320">
        <v>34.204753260000004</v>
      </c>
      <c r="E27" s="320">
        <v>33.455046189999997</v>
      </c>
      <c r="F27" s="320">
        <v>34.255256790000004</v>
      </c>
      <c r="G27" s="320">
        <v>38.875376339999995</v>
      </c>
      <c r="H27" s="320">
        <v>34.850316380000002</v>
      </c>
      <c r="I27" s="320">
        <v>32.260924469999999</v>
      </c>
      <c r="J27" s="320">
        <v>32.480664220000001</v>
      </c>
      <c r="K27" s="320">
        <v>31.995347080000005</v>
      </c>
      <c r="L27" s="320">
        <v>28.622900079999997</v>
      </c>
      <c r="M27" s="320">
        <v>27.939745649999995</v>
      </c>
      <c r="N27" s="320">
        <v>26.794610750000004</v>
      </c>
      <c r="O27" s="320">
        <v>39.555700030000004</v>
      </c>
      <c r="P27" s="320">
        <v>45.399834749999997</v>
      </c>
      <c r="Q27" s="315">
        <f t="shared" si="2"/>
        <v>11.195081489999993</v>
      </c>
    </row>
    <row r="28" spans="2:17" ht="14.1" customHeight="1">
      <c r="B28" s="429"/>
      <c r="C28" s="321" t="str">
        <f>IF(Indice_index!$Z$1=1,"Transferências para fora das AP","Transfers outside GG")</f>
        <v>Transferências para fora das AP</v>
      </c>
      <c r="D28" s="320">
        <v>76.580361170000003</v>
      </c>
      <c r="E28" s="320">
        <v>74.694759210000001</v>
      </c>
      <c r="F28" s="320">
        <v>78.767016480000024</v>
      </c>
      <c r="G28" s="320">
        <v>84.187165109999995</v>
      </c>
      <c r="H28" s="320">
        <v>77.164708649999994</v>
      </c>
      <c r="I28" s="320">
        <v>71.599384229999998</v>
      </c>
      <c r="J28" s="320">
        <v>73.56141817999999</v>
      </c>
      <c r="K28" s="320">
        <v>69.911167289999995</v>
      </c>
      <c r="L28" s="320">
        <v>61.986653259999997</v>
      </c>
      <c r="M28" s="320">
        <v>63.793996020000002</v>
      </c>
      <c r="N28" s="320">
        <v>56.696335070000003</v>
      </c>
      <c r="O28" s="320">
        <v>60.23230109</v>
      </c>
      <c r="P28" s="320">
        <v>57.649091420000005</v>
      </c>
      <c r="Q28" s="315">
        <f t="shared" si="2"/>
        <v>-18.931269749999998</v>
      </c>
    </row>
    <row r="29" spans="2:17" ht="14.1" customHeight="1">
      <c r="B29" s="429"/>
      <c r="C29" s="322" t="str">
        <f>IF(Indice_index!$Z$1=1,"Outras","Others")</f>
        <v>Outras</v>
      </c>
      <c r="D29" s="323">
        <v>490.45973324999954</v>
      </c>
      <c r="E29" s="323">
        <v>495.81412699000037</v>
      </c>
      <c r="F29" s="323">
        <v>495.83937499000024</v>
      </c>
      <c r="G29" s="323">
        <v>510.83764432999988</v>
      </c>
      <c r="H29" s="323">
        <v>574.92635272999962</v>
      </c>
      <c r="I29" s="323">
        <v>501.89351657999975</v>
      </c>
      <c r="J29" s="323">
        <v>488.69219264000003</v>
      </c>
      <c r="K29" s="323">
        <v>485.67535045000011</v>
      </c>
      <c r="L29" s="323">
        <v>496.2998450799991</v>
      </c>
      <c r="M29" s="323">
        <v>543.11573334000013</v>
      </c>
      <c r="N29" s="323">
        <v>485.08144869000006</v>
      </c>
      <c r="O29" s="323">
        <v>476.90326960000016</v>
      </c>
      <c r="P29" s="323">
        <v>480.11107625999989</v>
      </c>
      <c r="Q29" s="315">
        <f t="shared" si="2"/>
        <v>-10.348656989999654</v>
      </c>
    </row>
    <row r="30" spans="2:17" ht="14.1" customHeight="1">
      <c r="B30" s="430" t="str">
        <f>IF(Indice_index!$Z$1=1,"Total da Administração Local","Local Government - Total")</f>
        <v>Total da Administração Local</v>
      </c>
      <c r="C30" s="431"/>
      <c r="D30" s="18">
        <v>1187.4709725099995</v>
      </c>
      <c r="E30" s="18">
        <v>1245.2953589600004</v>
      </c>
      <c r="F30" s="18">
        <v>1259.7638790300002</v>
      </c>
      <c r="G30" s="18">
        <v>1341.4811877499999</v>
      </c>
      <c r="H30" s="18">
        <v>1403.7900145699996</v>
      </c>
      <c r="I30" s="18">
        <v>1325.2915649199999</v>
      </c>
      <c r="J30" s="18">
        <v>1317.8851659699999</v>
      </c>
      <c r="K30" s="18">
        <v>1312.2292410700002</v>
      </c>
      <c r="L30" s="18">
        <v>1360.0356402099992</v>
      </c>
      <c r="M30" s="18">
        <v>1451.0102458599999</v>
      </c>
      <c r="N30" s="18">
        <v>1239.13887445</v>
      </c>
      <c r="O30" s="18">
        <v>1169.6516744500002</v>
      </c>
      <c r="P30" s="18">
        <v>1191.5602181799998</v>
      </c>
      <c r="Q30" s="18">
        <f>P30-D30</f>
        <v>4.0892456700003095</v>
      </c>
    </row>
    <row r="31" spans="2:17" ht="14.1" customHeight="1">
      <c r="B31" s="427" t="str">
        <f>IF(Indice_index!$Z$1=1,"Total das Administrações Públicas","General Government - Total")</f>
        <v>Total das Administrações Públicas</v>
      </c>
      <c r="C31" s="428"/>
      <c r="D31" s="163">
        <f t="shared" ref="D31:O31" si="3">D30+D24+D18</f>
        <v>2078.3428382019993</v>
      </c>
      <c r="E31" s="163">
        <f t="shared" si="3"/>
        <v>2157.4399133900006</v>
      </c>
      <c r="F31" s="163">
        <f t="shared" si="3"/>
        <v>2245.61216195</v>
      </c>
      <c r="G31" s="163">
        <f t="shared" si="3"/>
        <v>2378.8385436599997</v>
      </c>
      <c r="H31" s="163">
        <f t="shared" si="3"/>
        <v>2522.1728828399991</v>
      </c>
      <c r="I31" s="163">
        <f t="shared" si="3"/>
        <v>2661.0843022700001</v>
      </c>
      <c r="J31" s="163">
        <f t="shared" si="3"/>
        <v>2463.4712592199999</v>
      </c>
      <c r="K31" s="163">
        <f t="shared" si="3"/>
        <v>2589.0622717700003</v>
      </c>
      <c r="L31" s="163">
        <f t="shared" si="3"/>
        <v>2611.693948919999</v>
      </c>
      <c r="M31" s="163">
        <f t="shared" si="3"/>
        <v>2941.7858509999996</v>
      </c>
      <c r="N31" s="163">
        <f t="shared" si="3"/>
        <v>1984.4660992899999</v>
      </c>
      <c r="O31" s="163">
        <f t="shared" si="3"/>
        <v>2025.8408753799999</v>
      </c>
      <c r="P31" s="163">
        <f t="shared" ref="P31" si="4">P30+P24+P18</f>
        <v>2114.8582311499999</v>
      </c>
      <c r="Q31" s="163">
        <f>P31-D31</f>
        <v>36.515392948000681</v>
      </c>
    </row>
    <row r="32" spans="2:17" ht="15" customHeight="1">
      <c r="B32" s="9" t="str">
        <f>IF(Indice_index!$Z$1=1,"Notas:","Notes:")</f>
        <v>Notas:</v>
      </c>
      <c r="C32" s="9"/>
      <c r="D32" s="9"/>
      <c r="E32" s="9"/>
      <c r="F32" s="9"/>
      <c r="G32" s="9"/>
      <c r="H32" s="9"/>
      <c r="I32" s="9"/>
      <c r="J32" s="9"/>
      <c r="K32" s="9"/>
      <c r="L32" s="9"/>
      <c r="M32" s="9"/>
      <c r="N32" s="9"/>
      <c r="O32" s="9"/>
      <c r="P32" s="9"/>
      <c r="Q32" s="9"/>
    </row>
    <row r="33" spans="1:17" ht="15">
      <c r="B33" s="422"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C33" s="422"/>
      <c r="D33" s="422"/>
      <c r="E33" s="422"/>
      <c r="F33" s="422"/>
      <c r="G33" s="422"/>
      <c r="H33" s="422"/>
      <c r="I33" s="422"/>
      <c r="J33" s="422"/>
      <c r="K33" s="422"/>
      <c r="L33" s="422"/>
      <c r="M33" s="422"/>
      <c r="N33" s="422"/>
      <c r="O33" s="422"/>
      <c r="P33" s="422"/>
      <c r="Q33" s="422"/>
    </row>
    <row r="34" spans="1:17" ht="24.75" customHeight="1">
      <c r="A34" s="239"/>
      <c r="B34" s="420" t="str">
        <f>IF(Indice_index!$Z$1=1,"AC: Exclui a contribuição financeira para a União Europeia, pelo facto de a mesma não ser considerada em dívida, o SNS, EPR e restantes entidades que não se incluem no perímetro de consolidação das Administrações Públicas em contas nacionais.","CG:Excludes financial contribution to EU, as it is not considered to be in debt , NHS, the reclassified public entities and other entities that are not included in the perimeter of consolidation of the General Government in national accounts.")</f>
        <v>AC: Exclui a contribuição financeira para a União Europeia, pelo facto de a mesma não ser considerada em dívida, o SNS, EPR e restantes entidades que não se incluem no perímetro de consolidação das Administrações Públicas em contas nacionais.</v>
      </c>
      <c r="C34" s="420"/>
      <c r="D34" s="420"/>
      <c r="E34" s="420"/>
      <c r="F34" s="420"/>
      <c r="G34" s="420"/>
      <c r="H34" s="420"/>
      <c r="I34" s="420"/>
      <c r="J34" s="420"/>
      <c r="K34" s="420"/>
      <c r="L34" s="420"/>
      <c r="M34" s="420"/>
      <c r="N34" s="420"/>
      <c r="O34" s="420"/>
      <c r="P34" s="420"/>
      <c r="Q34" s="420"/>
    </row>
    <row r="35" spans="1:17" ht="36" customHeight="1">
      <c r="A35" s="239"/>
      <c r="B35" s="420" t="str">
        <f>IF(Indice_index!$Z$1=1,C92,C93)</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5" s="420"/>
      <c r="D35" s="420"/>
      <c r="E35" s="420"/>
      <c r="F35" s="420"/>
      <c r="G35" s="420"/>
      <c r="H35" s="420"/>
      <c r="I35" s="420"/>
      <c r="J35" s="420"/>
      <c r="K35" s="420"/>
      <c r="L35" s="420"/>
      <c r="M35" s="420"/>
      <c r="N35" s="420"/>
      <c r="O35" s="420"/>
      <c r="P35" s="420"/>
      <c r="Q35" s="420"/>
    </row>
    <row r="36" spans="1:17" ht="12.75" customHeight="1">
      <c r="A36" s="239"/>
      <c r="B36" s="425" t="str">
        <f>IF(Indice_index!$Z$1=1,"AC: Dados revistos em jan.26","CG: revised data for jan. 26.")</f>
        <v>AC: Dados revistos em jan.26</v>
      </c>
      <c r="C36" s="425"/>
      <c r="D36" s="425"/>
      <c r="E36" s="425"/>
      <c r="F36" s="425"/>
      <c r="G36" s="425"/>
      <c r="H36" s="425"/>
      <c r="I36" s="425"/>
      <c r="J36" s="425"/>
      <c r="K36" s="425"/>
      <c r="L36" s="425"/>
      <c r="M36" s="425"/>
      <c r="N36" s="425"/>
      <c r="O36" s="425"/>
      <c r="P36" s="425"/>
      <c r="Q36" s="331"/>
    </row>
    <row r="37" spans="1:17" ht="15" customHeight="1">
      <c r="B37" s="421" t="str">
        <f>IF(Indice_index!$Z$1=1,"Fonte: Entidade Orçamental, Direção Geral das Autarquias Locais, Direção Regional do Orçamento e Tesouro da Região Autónoma dos Açores e Direção Regional do Orçamento e Tesouro da Região Autónoma da Madeira","Source: Budgetary Entity., DGAL, Azores Autonomous Region Budget and Treasury Regional Directorate and Madeira Autonomous Region Budget and Treasury Regional Directorate.")</f>
        <v>Fonte: Entidade Orçamental, Direção Geral das Autarquias Locais, Direção Regional do Orçamento e Tesouro da Região Autónoma dos Açores e Direção Regional do Orçamento e Tesouro da Região Autónoma da Madeira</v>
      </c>
      <c r="C37" s="421"/>
      <c r="D37" s="421"/>
      <c r="E37" s="421"/>
      <c r="F37" s="421"/>
      <c r="G37" s="421"/>
      <c r="H37" s="421"/>
      <c r="I37" s="421"/>
      <c r="J37" s="421"/>
      <c r="K37" s="421"/>
      <c r="L37" s="421"/>
      <c r="M37" s="421"/>
      <c r="N37" s="421"/>
      <c r="O37" s="421"/>
      <c r="P37" s="421"/>
      <c r="Q37" s="421"/>
    </row>
    <row r="38" spans="1:17" ht="15" customHeight="1">
      <c r="B38" s="110"/>
      <c r="C38" s="144"/>
      <c r="D38" s="55"/>
      <c r="E38" s="55"/>
      <c r="F38" s="55"/>
      <c r="G38" s="55"/>
      <c r="H38" s="55"/>
      <c r="I38" s="55"/>
      <c r="J38" s="55"/>
      <c r="K38" s="55"/>
      <c r="L38" s="55"/>
      <c r="M38" s="55"/>
      <c r="N38" s="55"/>
      <c r="O38" s="55"/>
      <c r="P38" s="55"/>
      <c r="Q38" s="116" t="str">
        <f>IF(Indice_index!$Z$1=1,"€ Milhões","€ Millions")</f>
        <v>€ Milhões</v>
      </c>
    </row>
    <row r="39" spans="1:17" ht="16.350000000000001" customHeight="1">
      <c r="B39" s="145"/>
      <c r="C39" s="371"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9" s="371"/>
      <c r="E39" s="371"/>
      <c r="F39" s="371"/>
      <c r="G39" s="371"/>
      <c r="H39" s="371"/>
      <c r="I39" s="371"/>
      <c r="J39" s="371"/>
      <c r="K39" s="371"/>
      <c r="L39" s="371"/>
      <c r="M39" s="371"/>
      <c r="N39" s="371"/>
      <c r="O39" s="371"/>
      <c r="P39" s="371"/>
      <c r="Q39" s="371"/>
    </row>
    <row r="40" spans="1:17" ht="15.6" customHeight="1">
      <c r="B40" s="55"/>
      <c r="C40" s="414" t="s">
        <v>12</v>
      </c>
      <c r="D40" s="375">
        <v>2025</v>
      </c>
      <c r="E40" s="371"/>
      <c r="F40" s="371"/>
      <c r="G40" s="371"/>
      <c r="H40" s="371"/>
      <c r="I40" s="371"/>
      <c r="J40" s="371"/>
      <c r="K40" s="371"/>
      <c r="L40" s="371"/>
      <c r="M40" s="371"/>
      <c r="N40" s="372"/>
      <c r="O40" s="375">
        <v>2026</v>
      </c>
      <c r="P40" s="372"/>
      <c r="Q40" s="394" t="str">
        <f>IF(Indice_index!$Z$1=1,"Variação Homóloga","YOY change")</f>
        <v>Variação Homóloga</v>
      </c>
    </row>
    <row r="41" spans="1:17" ht="13.5" customHeight="1">
      <c r="B41" s="110"/>
      <c r="C41" s="356"/>
      <c r="D41" s="160" t="str">
        <f>IF(Indice_index!$Z$1=1,"fev*","Feb*")</f>
        <v>fev*</v>
      </c>
      <c r="E41" s="22" t="str">
        <f>IF(Indice_index!$Z$1=1,"mar*","Mar*")</f>
        <v>mar*</v>
      </c>
      <c r="F41" s="22" t="str">
        <f>IF(Indice_index!$Z$1=1,"abr*","Apr*")</f>
        <v>abr*</v>
      </c>
      <c r="G41" s="22" t="str">
        <f>IF(Indice_index!$Z$1=1,"mai*","May*")</f>
        <v>mai*</v>
      </c>
      <c r="H41" s="22" t="str">
        <f>IF(Indice_index!$Z$1=1,"jun*","Jun*")</f>
        <v>jun*</v>
      </c>
      <c r="I41" s="22" t="str">
        <f>IF(Indice_index!$Z$1=1,"jul*","Jul*")</f>
        <v>jul*</v>
      </c>
      <c r="J41" s="22" t="str">
        <f>IF(Indice_index!$Z$1=1,"ago*","Aug*")</f>
        <v>ago*</v>
      </c>
      <c r="K41" s="22" t="str">
        <f>IF(Indice_index!$Z$1=1,"set*","Sep*")</f>
        <v>set*</v>
      </c>
      <c r="L41" s="22" t="str">
        <f>IF(Indice_index!$Z$1=1,"out*","Oct*")</f>
        <v>out*</v>
      </c>
      <c r="M41" s="22" t="str">
        <f>IF(Indice_index!$Z$1=1,"nov*","Nov*")</f>
        <v>nov*</v>
      </c>
      <c r="N41" s="160" t="str">
        <f>IF(Indice_index!$Z$1=1,"dez*","Dec*")</f>
        <v>dez*</v>
      </c>
      <c r="O41" s="22" t="str">
        <f>IF(Indice_index!$Z$1=1,"jan*","Jan*")</f>
        <v>jan*</v>
      </c>
      <c r="P41" s="160" t="str">
        <f>IF(Indice_index!$Z$1=1,"fev*","Feb*")</f>
        <v>fev*</v>
      </c>
      <c r="Q41" s="343"/>
    </row>
    <row r="42" spans="1:17" ht="14.1" customHeight="1">
      <c r="B42" s="73"/>
      <c r="C42" s="167" t="str">
        <f>IF(Indice_index!$Z$1=1,"Administrações Públicas","General Government")</f>
        <v>Administrações Públicas</v>
      </c>
      <c r="D42" s="128">
        <f>SUM(D43:D48)</f>
        <v>363.37239773999994</v>
      </c>
      <c r="E42" s="128">
        <f t="shared" ref="E42:O42" si="5">SUM(E43:E48)</f>
        <v>414.10735462999997</v>
      </c>
      <c r="F42" s="128">
        <f t="shared" si="5"/>
        <v>500.42875257000003</v>
      </c>
      <c r="G42" s="128">
        <f t="shared" si="5"/>
        <v>648.52667493000001</v>
      </c>
      <c r="H42" s="128">
        <f t="shared" si="5"/>
        <v>859.83098967000001</v>
      </c>
      <c r="I42" s="128">
        <f t="shared" si="5"/>
        <v>754.65120097000022</v>
      </c>
      <c r="J42" s="128">
        <f t="shared" si="5"/>
        <v>910.12920212999995</v>
      </c>
      <c r="K42" s="128">
        <f t="shared" si="5"/>
        <v>1018.5416880400001</v>
      </c>
      <c r="L42" s="128">
        <f t="shared" si="5"/>
        <v>881.92511414000001</v>
      </c>
      <c r="M42" s="128">
        <f t="shared" si="5"/>
        <v>730.53580217000012</v>
      </c>
      <c r="N42" s="128">
        <f t="shared" si="5"/>
        <v>334.16208194000001</v>
      </c>
      <c r="O42" s="128">
        <f t="shared" si="5"/>
        <v>334.67748853999996</v>
      </c>
      <c r="P42" s="128">
        <f>SUM(P43:P48)</f>
        <v>369.20873092000005</v>
      </c>
      <c r="Q42" s="128">
        <f>P42-D42</f>
        <v>5.8363331800001106</v>
      </c>
    </row>
    <row r="43" spans="1:17" ht="14.1" customHeight="1">
      <c r="B43" s="73"/>
      <c r="C43" s="121" t="str">
        <f>IF(Indice_index!$Z$1=1,"Admin. Central excl. Subs. Saúde","Central Government excl. Health Subsector")</f>
        <v>Admin. Central excl. Subs. Saúde</v>
      </c>
      <c r="D43" s="4">
        <v>51.123142669999986</v>
      </c>
      <c r="E43" s="4">
        <v>48.412930769999996</v>
      </c>
      <c r="F43" s="4">
        <v>50.155745070000009</v>
      </c>
      <c r="G43" s="4">
        <v>50.293792010000004</v>
      </c>
      <c r="H43" s="4">
        <v>51.623243580000008</v>
      </c>
      <c r="I43" s="4">
        <v>52.004924209999992</v>
      </c>
      <c r="J43" s="4">
        <v>53.465499800000003</v>
      </c>
      <c r="K43" s="4">
        <v>55.084199590000004</v>
      </c>
      <c r="L43" s="4">
        <v>55.523897079999998</v>
      </c>
      <c r="M43" s="4">
        <v>58.25634642</v>
      </c>
      <c r="N43" s="4">
        <v>51.529623219999998</v>
      </c>
      <c r="O43" s="4">
        <v>52.340533919999984</v>
      </c>
      <c r="P43" s="4">
        <v>52.681598470000004</v>
      </c>
      <c r="Q43" s="4">
        <f>P43-D43</f>
        <v>1.5584558000000186</v>
      </c>
    </row>
    <row r="44" spans="1:17" ht="14.1" customHeight="1">
      <c r="B44" s="73"/>
      <c r="C44" s="121" t="str">
        <f>IF(Indice_index!$Z$1=1,"Subsector da Saúde","Health Subsector")</f>
        <v>Subsector da Saúde</v>
      </c>
      <c r="D44" s="4">
        <v>2.5697672000000003</v>
      </c>
      <c r="E44" s="4">
        <v>2.1301585599999999</v>
      </c>
      <c r="F44" s="4">
        <v>1.46206152</v>
      </c>
      <c r="G44" s="4">
        <v>0.23551421</v>
      </c>
      <c r="H44" s="4">
        <v>0.26935113999999999</v>
      </c>
      <c r="I44" s="4">
        <v>0.75831328000000009</v>
      </c>
      <c r="J44" s="4">
        <v>17.023387100000001</v>
      </c>
      <c r="K44" s="4">
        <v>16.916167590000001</v>
      </c>
      <c r="L44" s="4">
        <v>17.273983519999998</v>
      </c>
      <c r="M44" s="4">
        <v>16.69831391</v>
      </c>
      <c r="N44" s="4">
        <v>16.674864150000001</v>
      </c>
      <c r="O44" s="4">
        <v>1.0573598500000001</v>
      </c>
      <c r="P44" s="4">
        <v>1.2007429100000004</v>
      </c>
      <c r="Q44" s="4">
        <f>P44-D44</f>
        <v>-1.3690242899999998</v>
      </c>
    </row>
    <row r="45" spans="1:17" ht="14.1" customHeight="1">
      <c r="B45" s="73"/>
      <c r="C45" s="121" t="str">
        <f>IF(Indice_index!$Z$1=1,"Unidades de Saúde EPE","HNS - EPE Health Units")</f>
        <v>Unidades de Saúde EPE</v>
      </c>
      <c r="D45" s="4">
        <v>47.955146850000006</v>
      </c>
      <c r="E45" s="4">
        <v>87.360682210000007</v>
      </c>
      <c r="F45" s="4">
        <v>169.17361834999997</v>
      </c>
      <c r="G45" s="4">
        <v>332.28232348</v>
      </c>
      <c r="H45" s="4">
        <v>547.02861094999992</v>
      </c>
      <c r="I45" s="4">
        <v>469.29201211000014</v>
      </c>
      <c r="J45" s="4">
        <v>599.38131115999988</v>
      </c>
      <c r="K45" s="4">
        <v>715.66142363999995</v>
      </c>
      <c r="L45" s="4">
        <v>582.17070067999998</v>
      </c>
      <c r="M45" s="4">
        <v>418.00182281000008</v>
      </c>
      <c r="N45" s="4">
        <v>43.768949160000005</v>
      </c>
      <c r="O45" s="4">
        <v>60.816888980000002</v>
      </c>
      <c r="P45" s="4">
        <v>78.103413180000004</v>
      </c>
      <c r="Q45" s="4">
        <f t="shared" ref="Q45:Q50" si="6">P45-D45</f>
        <v>30.148266329999998</v>
      </c>
    </row>
    <row r="46" spans="1:17" ht="14.1" customHeight="1">
      <c r="B46" s="73"/>
      <c r="C46" s="121" t="str">
        <f>IF(Indice_index!$Z$1=1,"Entidades Públicas Reclassificadas","Reclassified Public Entities")</f>
        <v>Entidades Públicas Reclassificadas</v>
      </c>
      <c r="D46" s="4">
        <v>15.685552569999999</v>
      </c>
      <c r="E46" s="4">
        <v>18.465482120000001</v>
      </c>
      <c r="F46" s="4">
        <v>18.143202329999998</v>
      </c>
      <c r="G46" s="4">
        <v>17.589802219999999</v>
      </c>
      <c r="H46" s="4">
        <v>24.112506780000103</v>
      </c>
      <c r="I46" s="4">
        <v>24.135784820000104</v>
      </c>
      <c r="J46" s="4">
        <v>24.166401590000103</v>
      </c>
      <c r="K46" s="4">
        <v>26.362658609999993</v>
      </c>
      <c r="L46" s="4">
        <v>29.269874469999998</v>
      </c>
      <c r="M46" s="4">
        <v>33.990034919999992</v>
      </c>
      <c r="N46" s="4">
        <v>26.424310639999998</v>
      </c>
      <c r="O46" s="4">
        <v>25.218524129999995</v>
      </c>
      <c r="P46" s="4">
        <v>25.224797089999996</v>
      </c>
      <c r="Q46" s="4">
        <f t="shared" si="6"/>
        <v>9.5392445199999969</v>
      </c>
    </row>
    <row r="47" spans="1:17" ht="14.1" customHeight="1">
      <c r="B47" s="73"/>
      <c r="C47" s="121" t="str">
        <f>IF(Indice_index!$Z$1=1,"Administração Local","Local Government")</f>
        <v>Administração Local</v>
      </c>
      <c r="D47" s="4">
        <v>33.112670529999988</v>
      </c>
      <c r="E47" s="4">
        <v>36.64541655</v>
      </c>
      <c r="F47" s="4">
        <v>40.758602760000009</v>
      </c>
      <c r="G47" s="4">
        <v>43.53347543000001</v>
      </c>
      <c r="H47" s="4">
        <v>44.051613439999997</v>
      </c>
      <c r="I47" s="4">
        <v>41.008782509999996</v>
      </c>
      <c r="J47" s="4">
        <v>46.030137350000011</v>
      </c>
      <c r="K47" s="4">
        <v>40.912081190000002</v>
      </c>
      <c r="L47" s="4">
        <v>40.479233990000019</v>
      </c>
      <c r="M47" s="4">
        <v>42.914976899999999</v>
      </c>
      <c r="N47" s="4">
        <v>33.180790020000003</v>
      </c>
      <c r="O47" s="4">
        <v>26.746458829999998</v>
      </c>
      <c r="P47" s="4">
        <v>26.175241400000004</v>
      </c>
      <c r="Q47" s="4">
        <f>P47-D47</f>
        <v>-6.937429129999984</v>
      </c>
    </row>
    <row r="48" spans="1:17" ht="14.1" customHeight="1">
      <c r="B48" s="93"/>
      <c r="C48" s="121" t="str">
        <f>IF(Indice_index!$Z$1=1,"Administração Regional","Regional Government")</f>
        <v>Administração Regional</v>
      </c>
      <c r="D48" s="4">
        <v>212.92611791999997</v>
      </c>
      <c r="E48" s="4">
        <v>221.09268441999998</v>
      </c>
      <c r="F48" s="4">
        <v>220.73552254000003</v>
      </c>
      <c r="G48" s="4">
        <v>204.59176757999992</v>
      </c>
      <c r="H48" s="4">
        <v>192.74566378000003</v>
      </c>
      <c r="I48" s="4">
        <v>167.45138404000002</v>
      </c>
      <c r="J48" s="4">
        <v>170.06246512999999</v>
      </c>
      <c r="K48" s="4">
        <v>163.60515742000004</v>
      </c>
      <c r="L48" s="4">
        <v>157.20742440000004</v>
      </c>
      <c r="M48" s="4">
        <v>160.67430721000005</v>
      </c>
      <c r="N48" s="4">
        <v>162.58354475000002</v>
      </c>
      <c r="O48" s="4">
        <v>168.49772282999999</v>
      </c>
      <c r="P48" s="4">
        <v>185.82293787000003</v>
      </c>
      <c r="Q48" s="4">
        <f t="shared" si="6"/>
        <v>-27.103180049999935</v>
      </c>
    </row>
    <row r="49" spans="1:18" ht="14.1" customHeight="1">
      <c r="B49" s="73"/>
      <c r="C49" s="167" t="str">
        <f>IF(Indice_index!$Z$1=1,"Outras Entidades","Other Entities")</f>
        <v>Outras Entidades</v>
      </c>
      <c r="D49" s="128">
        <f t="shared" ref="D49:P49" si="7">SUM(D50)</f>
        <v>0.44664528999999997</v>
      </c>
      <c r="E49" s="128">
        <f t="shared" si="7"/>
        <v>0.44664528999999997</v>
      </c>
      <c r="F49" s="128">
        <f t="shared" si="7"/>
        <v>0.44664528999999997</v>
      </c>
      <c r="G49" s="128">
        <f t="shared" si="7"/>
        <v>0.44664528999999997</v>
      </c>
      <c r="H49" s="128">
        <f t="shared" si="7"/>
        <v>0.44664528999999997</v>
      </c>
      <c r="I49" s="128">
        <f t="shared" si="7"/>
        <v>0.44664528999999997</v>
      </c>
      <c r="J49" s="128">
        <f t="shared" si="7"/>
        <v>0.44664528999999997</v>
      </c>
      <c r="K49" s="128">
        <f t="shared" si="7"/>
        <v>0.44664528999999997</v>
      </c>
      <c r="L49" s="128">
        <f t="shared" si="7"/>
        <v>0.44664528999999997</v>
      </c>
      <c r="M49" s="128">
        <f t="shared" si="7"/>
        <v>0.44664528999999997</v>
      </c>
      <c r="N49" s="128">
        <f t="shared" si="7"/>
        <v>0.44664528999999997</v>
      </c>
      <c r="O49" s="128">
        <f t="shared" si="7"/>
        <v>0.44664528999999997</v>
      </c>
      <c r="P49" s="128">
        <f t="shared" si="7"/>
        <v>0.44664528999999997</v>
      </c>
      <c r="Q49" s="128">
        <f t="shared" si="6"/>
        <v>0</v>
      </c>
    </row>
    <row r="50" spans="1:18" ht="14.1" customHeight="1">
      <c r="B50" s="93"/>
      <c r="C50" s="121" t="str">
        <f>IF(Indice_index!$Z$1=1,"Empr. Públicas Não Reclassificadas","Non-reclassified Public Enterprises")</f>
        <v>Empr. Públicas Não Reclassificadas</v>
      </c>
      <c r="D50" s="4">
        <v>0.44664528999999997</v>
      </c>
      <c r="E50" s="4">
        <v>0.44664528999999997</v>
      </c>
      <c r="F50" s="4">
        <v>0.44664528999999997</v>
      </c>
      <c r="G50" s="4">
        <v>0.44664528999999997</v>
      </c>
      <c r="H50" s="4">
        <v>0.44664528999999997</v>
      </c>
      <c r="I50" s="4">
        <v>0.44664528999999997</v>
      </c>
      <c r="J50" s="4">
        <v>0.44664528999999997</v>
      </c>
      <c r="K50" s="4">
        <v>0.44664528999999997</v>
      </c>
      <c r="L50" s="4">
        <v>0.44664528999999997</v>
      </c>
      <c r="M50" s="4">
        <v>0.44664528999999997</v>
      </c>
      <c r="N50" s="4">
        <v>0.44664528999999997</v>
      </c>
      <c r="O50" s="4">
        <v>0.44664528999999997</v>
      </c>
      <c r="P50" s="4">
        <v>0.44664528999999997</v>
      </c>
      <c r="Q50" s="4">
        <f t="shared" si="6"/>
        <v>0</v>
      </c>
    </row>
    <row r="51" spans="1:18" ht="14.1" customHeight="1">
      <c r="B51" s="93"/>
      <c r="C51" s="164" t="str">
        <f>IF(Indice_index!$Z$1=1,"Total","Total")</f>
        <v>Total</v>
      </c>
      <c r="D51" s="26">
        <f>D49+D42</f>
        <v>363.81904302999993</v>
      </c>
      <c r="E51" s="26">
        <f t="shared" ref="E51:O51" si="8">E49+E42</f>
        <v>414.55399991999997</v>
      </c>
      <c r="F51" s="26">
        <f t="shared" si="8"/>
        <v>500.87539786000002</v>
      </c>
      <c r="G51" s="26">
        <f t="shared" si="8"/>
        <v>648.97332022000001</v>
      </c>
      <c r="H51" s="26">
        <f t="shared" si="8"/>
        <v>860.27763496</v>
      </c>
      <c r="I51" s="26">
        <f t="shared" si="8"/>
        <v>755.09784626000021</v>
      </c>
      <c r="J51" s="26">
        <f t="shared" si="8"/>
        <v>910.57584741999995</v>
      </c>
      <c r="K51" s="26">
        <f t="shared" si="8"/>
        <v>1018.98833333</v>
      </c>
      <c r="L51" s="26">
        <f t="shared" si="8"/>
        <v>882.37175943</v>
      </c>
      <c r="M51" s="26">
        <f t="shared" si="8"/>
        <v>730.98244746000012</v>
      </c>
      <c r="N51" s="26">
        <f t="shared" si="8"/>
        <v>334.60872723</v>
      </c>
      <c r="O51" s="26">
        <f t="shared" si="8"/>
        <v>335.12413382999995</v>
      </c>
      <c r="P51" s="26">
        <f>P49+P42</f>
        <v>369.65537621000004</v>
      </c>
      <c r="Q51" s="26">
        <f>P51-D51</f>
        <v>5.8363331800001106</v>
      </c>
    </row>
    <row r="52" spans="1:18" ht="15">
      <c r="B52" s="73"/>
      <c r="C52" s="9" t="str">
        <f>IF(Indice_index!$Z$1=1,"Notas:","Notes:")</f>
        <v>Notas:</v>
      </c>
      <c r="D52" s="9"/>
      <c r="E52" s="9"/>
      <c r="F52" s="9"/>
      <c r="G52" s="9"/>
      <c r="H52" s="9"/>
      <c r="I52" s="9"/>
      <c r="J52" s="9"/>
      <c r="K52" s="9"/>
      <c r="L52" s="9"/>
      <c r="M52" s="9"/>
      <c r="N52" s="9"/>
      <c r="O52" s="9"/>
      <c r="P52" s="9"/>
      <c r="Q52" s="9"/>
    </row>
    <row r="53" spans="1:18" ht="15" customHeight="1">
      <c r="B53" s="73"/>
      <c r="C53" s="424"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3" s="424"/>
      <c r="E53" s="424"/>
      <c r="F53" s="424"/>
      <c r="G53" s="424"/>
      <c r="H53" s="424"/>
      <c r="I53" s="424"/>
      <c r="J53" s="424"/>
      <c r="K53" s="424"/>
      <c r="L53" s="424"/>
      <c r="M53" s="424"/>
      <c r="N53" s="424"/>
      <c r="O53" s="424"/>
      <c r="P53" s="424"/>
      <c r="Q53" s="424"/>
      <c r="R53" s="55"/>
    </row>
    <row r="54" spans="1:18" ht="36" customHeight="1">
      <c r="B54" s="73"/>
      <c r="C54" s="422" t="str">
        <f>IF(Indice_index!$Z$1=1,C92,C93)</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4" s="422"/>
      <c r="E54" s="422"/>
      <c r="F54" s="422"/>
      <c r="G54" s="422"/>
      <c r="H54" s="422"/>
      <c r="I54" s="422"/>
      <c r="J54" s="422"/>
      <c r="K54" s="422"/>
      <c r="L54" s="422"/>
      <c r="M54" s="422"/>
      <c r="N54" s="422"/>
      <c r="O54" s="422"/>
      <c r="P54" s="422"/>
      <c r="Q54" s="422"/>
      <c r="R54" s="55"/>
    </row>
    <row r="55" spans="1:18" ht="0.75" hidden="1" customHeight="1">
      <c r="A55" s="112"/>
      <c r="B55" s="73"/>
      <c r="C55" s="423"/>
      <c r="D55" s="423"/>
      <c r="E55" s="423"/>
      <c r="F55" s="423"/>
      <c r="G55" s="423"/>
      <c r="H55" s="423"/>
      <c r="I55" s="423"/>
      <c r="J55" s="423"/>
      <c r="K55" s="423"/>
      <c r="L55" s="423"/>
      <c r="M55" s="423"/>
      <c r="N55" s="423"/>
      <c r="O55" s="423"/>
      <c r="P55" s="423"/>
      <c r="Q55" s="423"/>
      <c r="R55" s="159"/>
    </row>
    <row r="56" spans="1:18" ht="24.75" customHeight="1">
      <c r="A56" s="112"/>
      <c r="B56" s="73"/>
      <c r="C56" s="419" t="str">
        <f>IF(Indice_index!$Z$1=1,C60,C61)</f>
        <v>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6" s="419"/>
      <c r="E56" s="419"/>
      <c r="F56" s="419"/>
      <c r="G56" s="419"/>
      <c r="H56" s="419"/>
      <c r="I56" s="419"/>
      <c r="J56" s="419"/>
      <c r="K56" s="419"/>
      <c r="L56" s="419"/>
      <c r="M56" s="419"/>
      <c r="N56" s="419"/>
      <c r="O56" s="419"/>
      <c r="P56" s="419"/>
      <c r="Q56" s="419"/>
      <c r="R56" s="55"/>
    </row>
    <row r="57" spans="1:18" ht="15" hidden="1">
      <c r="B57" s="73"/>
      <c r="D57" s="159"/>
      <c r="E57" s="159"/>
      <c r="F57" s="159"/>
      <c r="G57" s="159"/>
      <c r="H57" s="159"/>
      <c r="I57" s="159"/>
      <c r="J57" s="159"/>
      <c r="K57" s="159"/>
      <c r="L57" s="159"/>
      <c r="M57" s="159"/>
      <c r="N57" s="159"/>
      <c r="O57" s="159"/>
      <c r="P57" s="159"/>
      <c r="Q57" s="159"/>
    </row>
    <row r="58" spans="1:18" ht="15" hidden="1">
      <c r="B58" s="55"/>
      <c r="C58" s="55"/>
      <c r="D58" s="55"/>
      <c r="E58" s="55"/>
      <c r="F58" s="55"/>
      <c r="G58" s="55"/>
      <c r="H58" s="55"/>
      <c r="I58" s="55"/>
      <c r="J58" s="55"/>
      <c r="K58" s="55"/>
      <c r="L58" s="55"/>
      <c r="M58" s="55"/>
      <c r="N58" s="55"/>
      <c r="O58" s="55"/>
      <c r="P58" s="55"/>
      <c r="Q58" s="55"/>
    </row>
    <row r="59" spans="1:18" s="182" customFormat="1" ht="15" hidden="1">
      <c r="A59" s="92"/>
      <c r="B59" s="78"/>
      <c r="C59" s="249"/>
      <c r="D59" s="250"/>
      <c r="E59" s="250"/>
      <c r="F59" s="250"/>
      <c r="G59" s="250"/>
      <c r="H59" s="250"/>
      <c r="I59" s="250"/>
      <c r="J59" s="250"/>
      <c r="K59" s="250"/>
      <c r="L59" s="250"/>
      <c r="M59" s="250"/>
      <c r="N59" s="250"/>
      <c r="O59" s="250"/>
      <c r="P59" s="249"/>
      <c r="Q59" s="249"/>
      <c r="R59" s="251"/>
    </row>
    <row r="60" spans="1:18" s="182" customFormat="1" ht="4.5" customHeight="1">
      <c r="A60" s="92"/>
      <c r="B60" s="78"/>
      <c r="C60" s="94" t="s">
        <v>417</v>
      </c>
      <c r="D60" s="252"/>
      <c r="E60" s="252"/>
      <c r="F60" s="252"/>
      <c r="G60" s="252"/>
      <c r="H60" s="252"/>
      <c r="I60" s="252"/>
      <c r="J60" s="252"/>
      <c r="K60" s="252"/>
      <c r="L60" s="252"/>
      <c r="M60" s="252"/>
      <c r="N60" s="251"/>
      <c r="O60" s="251"/>
      <c r="P60" s="251"/>
      <c r="Q60" s="251"/>
      <c r="R60" s="251"/>
    </row>
    <row r="61" spans="1:18" s="182" customFormat="1" ht="15" customHeight="1">
      <c r="A61" s="92"/>
      <c r="B61" s="78"/>
      <c r="C61" s="94" t="s">
        <v>418</v>
      </c>
      <c r="D61" s="94"/>
      <c r="E61" s="94"/>
      <c r="F61" s="94"/>
      <c r="G61" s="94"/>
      <c r="H61" s="94"/>
      <c r="I61" s="94"/>
      <c r="J61" s="94"/>
      <c r="K61" s="94"/>
      <c r="L61" s="94"/>
      <c r="M61" s="94"/>
      <c r="N61" s="94"/>
      <c r="O61" s="94"/>
      <c r="P61" s="94"/>
      <c r="Q61" s="94"/>
      <c r="R61" s="251"/>
    </row>
    <row r="62" spans="1:18" ht="14.85" customHeight="1"/>
    <row r="63" spans="1:18" ht="14.85" customHeight="1"/>
    <row r="64" spans="1:18" ht="14.85" customHeight="1"/>
    <row r="65" ht="14.85" customHeight="1"/>
    <row r="76" ht="14.85" customHeight="1"/>
    <row r="77" ht="14.85" customHeight="1"/>
    <row r="78" ht="14.85" customHeight="1"/>
    <row r="79" ht="14.85" customHeight="1"/>
    <row r="80" ht="14.85" customHeight="1"/>
    <row r="81" spans="3:3" ht="14.85" customHeight="1"/>
    <row r="89" spans="3:3" ht="15" hidden="1">
      <c r="C89" s="185" t="s">
        <v>368</v>
      </c>
    </row>
    <row r="90" spans="3:3" ht="14.85" hidden="1" customHeight="1">
      <c r="C90" s="185" t="s">
        <v>369</v>
      </c>
    </row>
    <row r="91" spans="3:3" ht="15" hidden="1">
      <c r="C91" s="184"/>
    </row>
    <row r="92" spans="3:3" ht="15" hidden="1">
      <c r="C92" s="185" t="s">
        <v>394</v>
      </c>
    </row>
    <row r="93" spans="3:3" ht="15" hidden="1">
      <c r="C93" s="185" t="s">
        <v>395</v>
      </c>
    </row>
    <row r="94" spans="3:3" ht="14.85" customHeight="1"/>
    <row r="95" spans="3:3" ht="14.85" customHeight="1"/>
    <row r="96" spans="3:3" ht="14.85" customHeight="1"/>
    <row r="97" ht="14.85" customHeight="1"/>
    <row r="98" ht="14.85" customHeight="1"/>
    <row r="99" ht="14.85" customHeight="1"/>
    <row r="100" ht="14.85" customHeight="1"/>
    <row r="101" ht="14.85" customHeight="1"/>
    <row r="102" ht="14.85" customHeight="1"/>
    <row r="103" ht="14.85" customHeight="1"/>
    <row r="104" ht="14.85" customHeight="1"/>
  </sheetData>
  <mergeCells count="26">
    <mergeCell ref="B33:Q33"/>
    <mergeCell ref="B10:Q10"/>
    <mergeCell ref="B31:C31"/>
    <mergeCell ref="B11:C12"/>
    <mergeCell ref="Q11:Q12"/>
    <mergeCell ref="B13:B17"/>
    <mergeCell ref="B18:C18"/>
    <mergeCell ref="B19:B23"/>
    <mergeCell ref="B24:C24"/>
    <mergeCell ref="B30:C30"/>
    <mergeCell ref="B25:B29"/>
    <mergeCell ref="O11:P11"/>
    <mergeCell ref="D11:N11"/>
    <mergeCell ref="C56:Q56"/>
    <mergeCell ref="B35:Q35"/>
    <mergeCell ref="B34:Q34"/>
    <mergeCell ref="B37:Q37"/>
    <mergeCell ref="C39:Q39"/>
    <mergeCell ref="Q40:Q41"/>
    <mergeCell ref="C40:C41"/>
    <mergeCell ref="C54:Q54"/>
    <mergeCell ref="C55:Q55"/>
    <mergeCell ref="C53:Q53"/>
    <mergeCell ref="D40:N40"/>
    <mergeCell ref="O40:P40"/>
    <mergeCell ref="B36:P36"/>
  </mergeCells>
  <conditionalFormatting sqref="C25:Q29">
    <cfRule type="cellIs" dxfId="18" priority="2" operator="equal">
      <formula>0</formula>
    </cfRule>
  </conditionalFormatting>
  <conditionalFormatting sqref="D13:Q17">
    <cfRule type="cellIs" dxfId="17" priority="4" operator="equal">
      <formula>0</formula>
    </cfRule>
  </conditionalFormatting>
  <conditionalFormatting sqref="D19:Q23">
    <cfRule type="cellIs" dxfId="16" priority="3" operator="equal">
      <formula>0</formula>
    </cfRule>
  </conditionalFormatting>
  <conditionalFormatting sqref="D42:Q50">
    <cfRule type="cellIs" dxfId="15" priority="1" operator="equal">
      <formula>0</formula>
    </cfRule>
  </conditionalFormatting>
  <pageMargins left="0.70866141732283472" right="0.70866141732283472" top="0.74803149606299213" bottom="0.74803149606299213" header="0.31496062992125984" footer="0.31496062992125984"/>
  <pageSetup paperSize="9" scale="61" orientation="portrait" r:id="rId1"/>
  <ignoredErrors>
    <ignoredError sqref="D42:P4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18"/>
  <sheetViews>
    <sheetView showGridLines="0" zoomScaleNormal="100" workbookViewId="0"/>
  </sheetViews>
  <sheetFormatPr defaultColWidth="0" defaultRowHeight="14.85" customHeight="1" zeroHeight="1"/>
  <cols>
    <col min="1" max="1" width="8.5703125" style="92" customWidth="1"/>
    <col min="2" max="2" width="2.5703125" style="62" customWidth="1"/>
    <col min="3" max="3" width="9.5703125" style="62" customWidth="1"/>
    <col min="4" max="15" width="11" style="62" customWidth="1"/>
    <col min="16" max="16" width="8.5703125" style="62" customWidth="1"/>
    <col min="17" max="16384" width="9.42578125" hidden="1"/>
  </cols>
  <sheetData>
    <row r="1" spans="1:16" ht="14.85" customHeight="1"/>
    <row r="2" spans="1:16" ht="15"/>
    <row r="3" spans="1:16" ht="15"/>
    <row r="4" spans="1:16" ht="15"/>
    <row r="5" spans="1:16" ht="18" customHeight="1">
      <c r="A5"/>
      <c r="B5" s="254" t="str">
        <f>IF(Indice_index!$Z$1=1,"ANEXOS ESTATÍSTICOS","STATISTICAL ANNEXES")</f>
        <v>ANEXOS ESTATÍSTICOS</v>
      </c>
      <c r="C5"/>
      <c r="D5"/>
      <c r="E5"/>
      <c r="F5"/>
      <c r="G5"/>
      <c r="H5"/>
      <c r="I5"/>
      <c r="J5"/>
      <c r="K5"/>
      <c r="L5"/>
      <c r="M5"/>
      <c r="N5"/>
      <c r="O5"/>
      <c r="P5"/>
    </row>
    <row r="6" spans="1:16" ht="18" customHeight="1">
      <c r="A6"/>
      <c r="B6" s="255" t="str">
        <f>IF(Indice_index!$Z$1=1,"Fevereiro de 2026","February 2026")</f>
        <v>Fevereiro de 2026</v>
      </c>
      <c r="C6"/>
      <c r="D6"/>
      <c r="E6"/>
      <c r="F6"/>
      <c r="G6"/>
      <c r="H6"/>
      <c r="I6"/>
      <c r="J6"/>
      <c r="K6"/>
      <c r="L6"/>
      <c r="M6"/>
      <c r="N6"/>
      <c r="O6"/>
      <c r="P6"/>
    </row>
    <row r="7" spans="1:16" ht="50.1" customHeight="1">
      <c r="A7" s="11"/>
      <c r="B7" s="12"/>
      <c r="C7" s="13"/>
      <c r="D7" s="11"/>
      <c r="E7" s="11"/>
      <c r="F7" s="11"/>
      <c r="G7" s="11"/>
      <c r="H7" s="11"/>
      <c r="I7" s="11"/>
      <c r="J7" s="11"/>
      <c r="K7" s="11"/>
      <c r="L7" s="10"/>
      <c r="M7" s="10"/>
      <c r="N7" s="10"/>
      <c r="O7" s="10"/>
      <c r="P7"/>
    </row>
    <row r="8" spans="1:16" ht="15.7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5">
      <c r="A9" s="3"/>
      <c r="B9" s="95"/>
      <c r="C9" s="95"/>
      <c r="D9" s="95"/>
      <c r="E9" s="95"/>
      <c r="F9" s="95"/>
      <c r="G9" s="95"/>
      <c r="H9" s="95"/>
      <c r="I9" s="95"/>
      <c r="J9" s="95"/>
      <c r="K9" s="95"/>
      <c r="L9" s="95"/>
      <c r="M9" s="95"/>
      <c r="N9" s="95"/>
      <c r="O9" s="95"/>
      <c r="P9" s="95"/>
    </row>
    <row r="10" spans="1:16" ht="16.350000000000001" customHeight="1">
      <c r="A10" s="78"/>
      <c r="B10" s="394"/>
      <c r="C10" s="426"/>
      <c r="D10" s="354" t="str">
        <f>IF(Indice_index!$Z$1=1,"Pensionistas","Pensioners")</f>
        <v>Pensionistas</v>
      </c>
      <c r="E10" s="355"/>
      <c r="F10" s="355"/>
      <c r="G10" s="355"/>
      <c r="H10" s="356"/>
      <c r="I10" s="168" t="str">
        <f>IF(Indice_index!$Z$1=1,"Subscritores","Subscribers")</f>
        <v>Subscritores</v>
      </c>
      <c r="J10" s="3"/>
      <c r="K10" s="3"/>
      <c r="L10" s="3"/>
      <c r="M10" s="3"/>
      <c r="N10" s="3"/>
      <c r="O10" s="3"/>
      <c r="P10" s="3"/>
    </row>
    <row r="11" spans="1:16" ht="16.350000000000001" customHeight="1">
      <c r="A11" s="78"/>
      <c r="B11" s="343"/>
      <c r="C11" s="344"/>
      <c r="D11" s="434" t="str">
        <f>IF(Indice_index!$Z$1=1,"Número","Number")</f>
        <v>Número</v>
      </c>
      <c r="E11" s="371" t="str">
        <f>IF(Indice_index!$Z$1=1,"Invalidez","Disability")</f>
        <v>Invalidez</v>
      </c>
      <c r="F11" s="371" t="str">
        <f>IF(Indice_index!$Z$1=1,"Invalidez","Disability")</f>
        <v>Invalidez</v>
      </c>
      <c r="G11" s="435" t="str">
        <f>IF(Indice_index!$Z$1=1,"Invalidez","Disability")</f>
        <v>Invalidez</v>
      </c>
      <c r="H11" s="414" t="str">
        <f>IF(Indice_index!$Z$1=1,"Valor médio pago por pensionista (€)","Average Value paid per Pensioner (€)")</f>
        <v>Valor médio pago por pensionista (€)</v>
      </c>
      <c r="I11" s="374" t="str">
        <f>IF(Indice_index!$Z$1=1,"Número","Number")</f>
        <v>Número</v>
      </c>
      <c r="J11" s="3"/>
      <c r="K11" s="3"/>
      <c r="L11" s="3"/>
      <c r="M11" s="3"/>
      <c r="N11" s="3"/>
      <c r="O11" s="3"/>
      <c r="P11" s="3"/>
    </row>
    <row r="12" spans="1:16" ht="36" customHeight="1">
      <c r="A12" s="78"/>
      <c r="B12" s="343"/>
      <c r="C12" s="344"/>
      <c r="D12" s="22" t="str">
        <f>IF(Indice_index!$Z$1=1,"Velhice e Outros Motivos","Old age and other Reasons")</f>
        <v>Velhice e Outros Motivos</v>
      </c>
      <c r="E12" s="22" t="str">
        <f>IF(Indice_index!$Z$1=1,"Invalidez","Disability")</f>
        <v>Invalidez</v>
      </c>
      <c r="F12" s="22" t="str">
        <f>IF(Indice_index!$Z$1=1,"Sobrevivência e Outros","Survival and Others")</f>
        <v>Sobrevivência e Outros</v>
      </c>
      <c r="G12" s="22" t="str">
        <f>IF(Indice_index!$Z$1=1,"Total de Pensionistas","Total of Pensioners")</f>
        <v>Total de Pensionistas</v>
      </c>
      <c r="H12" s="356"/>
      <c r="I12" s="373"/>
      <c r="P12" s="96"/>
    </row>
    <row r="13" spans="1:16" ht="14.1" hidden="1" customHeight="1">
      <c r="A13" s="81"/>
      <c r="B13" s="357">
        <v>2020</v>
      </c>
      <c r="C13" s="357"/>
      <c r="D13" s="172"/>
      <c r="E13" s="186"/>
      <c r="F13" s="186"/>
      <c r="G13" s="186"/>
      <c r="H13" s="186"/>
      <c r="I13" s="186"/>
      <c r="K13" s="97"/>
      <c r="L13" s="97"/>
      <c r="M13" s="97"/>
      <c r="N13" s="97"/>
      <c r="O13" s="97"/>
      <c r="P13" s="97"/>
    </row>
    <row r="14" spans="1:16" ht="14.1" hidden="1" customHeight="1">
      <c r="A14" s="81"/>
      <c r="B14" s="187"/>
      <c r="C14" s="188" t="str">
        <f>IF(Indice_index!$Z$1=1,"janeiro","January")</f>
        <v>janeiro</v>
      </c>
      <c r="D14" s="189">
        <v>410101</v>
      </c>
      <c r="E14" s="189">
        <v>71061</v>
      </c>
      <c r="F14" s="189">
        <v>165420</v>
      </c>
      <c r="G14" s="189">
        <v>646582</v>
      </c>
      <c r="H14" s="189">
        <v>1146.5</v>
      </c>
      <c r="I14" s="189">
        <v>429965</v>
      </c>
      <c r="K14" s="97"/>
      <c r="L14" s="97"/>
      <c r="M14" s="97"/>
      <c r="N14" s="97"/>
      <c r="O14" s="97"/>
      <c r="P14" s="97"/>
    </row>
    <row r="15" spans="1:16" ht="14.1" hidden="1" customHeight="1">
      <c r="A15" s="81"/>
      <c r="B15" s="187"/>
      <c r="C15" s="188" t="str">
        <f>IF(Indice_index!$Z$1=1,"fevereiro","February")</f>
        <v>fevereiro</v>
      </c>
      <c r="D15" s="189">
        <v>410094</v>
      </c>
      <c r="E15" s="189">
        <v>70877</v>
      </c>
      <c r="F15" s="189">
        <v>165251</v>
      </c>
      <c r="G15" s="189">
        <v>646222</v>
      </c>
      <c r="H15" s="189">
        <v>1125.4000000000001</v>
      </c>
      <c r="I15" s="189">
        <v>428711</v>
      </c>
      <c r="K15" s="97"/>
      <c r="L15" s="97"/>
      <c r="M15" s="97"/>
      <c r="N15" s="97"/>
      <c r="O15" s="97"/>
      <c r="P15" s="97"/>
    </row>
    <row r="16" spans="1:16" ht="14.1" hidden="1" customHeight="1">
      <c r="A16" s="81"/>
      <c r="B16" s="187"/>
      <c r="C16" s="188" t="str">
        <f>IF(Indice_index!$Z$1=1,"março","March")</f>
        <v>março</v>
      </c>
      <c r="D16" s="189">
        <v>410087</v>
      </c>
      <c r="E16" s="189">
        <v>70899</v>
      </c>
      <c r="F16" s="189">
        <v>165182</v>
      </c>
      <c r="G16" s="189">
        <v>646168</v>
      </c>
      <c r="H16" s="189">
        <v>1121.3</v>
      </c>
      <c r="I16" s="189">
        <v>427630</v>
      </c>
      <c r="K16" s="97"/>
      <c r="L16" s="97"/>
      <c r="M16" s="97"/>
      <c r="N16" s="97"/>
      <c r="O16" s="97"/>
      <c r="P16" s="97"/>
    </row>
    <row r="17" spans="1:16" ht="14.1" hidden="1" customHeight="1">
      <c r="A17" s="81"/>
      <c r="B17" s="187"/>
      <c r="C17" s="188" t="str">
        <f>IF(Indice_index!$Z$1=1,"abril","April")</f>
        <v>abril</v>
      </c>
      <c r="D17" s="189">
        <v>410375</v>
      </c>
      <c r="E17" s="189">
        <v>70760</v>
      </c>
      <c r="F17" s="189">
        <v>165317</v>
      </c>
      <c r="G17" s="189">
        <v>646452</v>
      </c>
      <c r="H17" s="189">
        <v>1121.3</v>
      </c>
      <c r="I17" s="189">
        <v>426527</v>
      </c>
      <c r="K17" s="97"/>
      <c r="L17" s="97"/>
      <c r="M17" s="97"/>
      <c r="N17" s="97"/>
      <c r="O17" s="97"/>
      <c r="P17" s="97"/>
    </row>
    <row r="18" spans="1:16" ht="14.1" hidden="1" customHeight="1">
      <c r="B18" s="187"/>
      <c r="C18" s="188" t="str">
        <f>IF(Indice_index!$Z$1=1,"maio","May")</f>
        <v>maio</v>
      </c>
      <c r="D18" s="189">
        <v>410802</v>
      </c>
      <c r="E18" s="189">
        <v>70571</v>
      </c>
      <c r="F18" s="189">
        <v>165247</v>
      </c>
      <c r="G18" s="189">
        <v>646620</v>
      </c>
      <c r="H18" s="189">
        <v>1119.5999999999999</v>
      </c>
      <c r="I18" s="189">
        <v>425361</v>
      </c>
      <c r="K18" s="97"/>
      <c r="L18" s="97"/>
      <c r="M18" s="97"/>
      <c r="N18" s="97"/>
      <c r="O18" s="97"/>
    </row>
    <row r="19" spans="1:16" ht="14.1" hidden="1" customHeight="1">
      <c r="B19" s="187"/>
      <c r="C19" s="188" t="str">
        <f>IF(Indice_index!$Z$1=1,"junho","June")</f>
        <v>junho</v>
      </c>
      <c r="D19" s="189">
        <v>411240</v>
      </c>
      <c r="E19" s="189">
        <v>70372</v>
      </c>
      <c r="F19" s="189">
        <v>165253</v>
      </c>
      <c r="G19" s="189">
        <v>646865</v>
      </c>
      <c r="H19" s="189">
        <v>1119.5999999999999</v>
      </c>
      <c r="I19" s="189">
        <v>424164</v>
      </c>
      <c r="K19" s="97"/>
      <c r="L19" s="97"/>
      <c r="M19" s="97"/>
      <c r="N19" s="97"/>
      <c r="O19" s="97"/>
    </row>
    <row r="20" spans="1:16" ht="14.1" hidden="1" customHeight="1">
      <c r="B20" s="187"/>
      <c r="C20" s="188" t="str">
        <f>IF(Indice_index!$Z$1=1,"julho","July")</f>
        <v>julho</v>
      </c>
      <c r="D20" s="189">
        <v>411780</v>
      </c>
      <c r="E20" s="189">
        <v>70237</v>
      </c>
      <c r="F20" s="189">
        <v>165534</v>
      </c>
      <c r="G20" s="189">
        <v>647551</v>
      </c>
      <c r="H20" s="189">
        <v>2184.8000000000002</v>
      </c>
      <c r="I20" s="189">
        <v>422899</v>
      </c>
      <c r="K20" s="97"/>
      <c r="L20" s="97"/>
      <c r="M20" s="97"/>
      <c r="N20" s="97"/>
      <c r="O20" s="97"/>
    </row>
    <row r="21" spans="1:16" ht="14.1" hidden="1" customHeight="1">
      <c r="B21" s="187"/>
      <c r="C21" s="188" t="str">
        <f>IF(Indice_index!$Z$1=1,"agosto","August")</f>
        <v>agosto</v>
      </c>
      <c r="D21" s="189">
        <v>412314</v>
      </c>
      <c r="E21" s="189">
        <v>70041</v>
      </c>
      <c r="F21" s="189">
        <v>165867</v>
      </c>
      <c r="G21" s="189">
        <v>648222</v>
      </c>
      <c r="H21" s="189">
        <v>1124.2</v>
      </c>
      <c r="I21" s="189">
        <v>421587</v>
      </c>
      <c r="K21" s="98"/>
      <c r="L21" s="98"/>
      <c r="M21" s="98"/>
      <c r="N21" s="98"/>
      <c r="O21" s="98"/>
    </row>
    <row r="22" spans="1:16" ht="14.1" hidden="1" customHeight="1">
      <c r="B22" s="187"/>
      <c r="C22" s="188" t="str">
        <f>IF(Indice_index!$Z$1=1,"setembro","September")</f>
        <v>setembro</v>
      </c>
      <c r="D22" s="189">
        <v>412631</v>
      </c>
      <c r="E22" s="189">
        <v>69806</v>
      </c>
      <c r="F22" s="189">
        <v>165824</v>
      </c>
      <c r="G22" s="189">
        <v>648261</v>
      </c>
      <c r="H22" s="189">
        <v>1124.9000000000001</v>
      </c>
      <c r="I22" s="189">
        <v>419894</v>
      </c>
      <c r="K22" s="98"/>
      <c r="L22" s="98"/>
      <c r="M22" s="98"/>
      <c r="N22" s="98"/>
      <c r="O22" s="98"/>
    </row>
    <row r="23" spans="1:16" ht="14.1" hidden="1" customHeight="1">
      <c r="B23" s="187"/>
      <c r="C23" s="188" t="str">
        <f>IF(Indice_index!$Z$1=1,"outubro","October")</f>
        <v>outubro</v>
      </c>
      <c r="D23" s="189">
        <v>412895</v>
      </c>
      <c r="E23" s="189">
        <v>69624</v>
      </c>
      <c r="F23" s="189">
        <v>165869</v>
      </c>
      <c r="G23" s="189">
        <v>648388</v>
      </c>
      <c r="H23" s="189">
        <v>1119.8</v>
      </c>
      <c r="I23" s="189">
        <v>418736</v>
      </c>
      <c r="K23" s="98"/>
      <c r="L23" s="98"/>
      <c r="M23" s="98"/>
      <c r="N23" s="98"/>
      <c r="O23" s="98"/>
    </row>
    <row r="24" spans="1:16" ht="14.1" hidden="1" customHeight="1">
      <c r="B24" s="187"/>
      <c r="C24" s="188" t="str">
        <f>IF(Indice_index!$Z$1=1,"novembro","November")</f>
        <v>novembro</v>
      </c>
      <c r="D24" s="189">
        <v>413065</v>
      </c>
      <c r="E24" s="189">
        <v>69489</v>
      </c>
      <c r="F24" s="189">
        <v>166049</v>
      </c>
      <c r="G24" s="189">
        <v>648603</v>
      </c>
      <c r="H24" s="189">
        <v>2220.1999999999998</v>
      </c>
      <c r="I24" s="189">
        <v>418012</v>
      </c>
      <c r="K24" s="98"/>
      <c r="L24" s="98"/>
      <c r="M24" s="98"/>
      <c r="N24" s="98"/>
      <c r="O24" s="98"/>
    </row>
    <row r="25" spans="1:16" ht="14.1" hidden="1" customHeight="1">
      <c r="B25" s="190"/>
      <c r="C25" s="188" t="str">
        <f>IF(Indice_index!$Z$1=1,"dezembro","December")</f>
        <v>dezembro</v>
      </c>
      <c r="D25" s="189">
        <v>413108</v>
      </c>
      <c r="E25" s="189">
        <v>69321</v>
      </c>
      <c r="F25" s="189">
        <v>166218</v>
      </c>
      <c r="G25" s="189">
        <v>648647</v>
      </c>
      <c r="H25" s="189">
        <v>1140.3</v>
      </c>
      <c r="I25" s="189">
        <v>416874</v>
      </c>
      <c r="K25" s="98"/>
      <c r="L25" s="98"/>
      <c r="M25" s="98"/>
      <c r="N25" s="98"/>
      <c r="O25" s="98"/>
    </row>
    <row r="26" spans="1:16" ht="14.1" customHeight="1">
      <c r="B26" s="357" t="s">
        <v>13</v>
      </c>
      <c r="C26" s="357"/>
      <c r="D26" s="189"/>
      <c r="E26" s="189"/>
      <c r="F26" s="189"/>
      <c r="G26" s="189"/>
      <c r="H26" s="189"/>
      <c r="I26" s="189"/>
      <c r="K26" s="97"/>
      <c r="L26" s="97"/>
      <c r="M26" s="97"/>
      <c r="N26" s="97"/>
      <c r="O26" s="97"/>
    </row>
    <row r="27" spans="1:16" ht="14.1" customHeight="1">
      <c r="B27" s="190"/>
      <c r="C27" s="188" t="str">
        <f>IF(Indice_index!$Z$1=1,"dezembro","December")</f>
        <v>dezembro</v>
      </c>
      <c r="D27" s="189">
        <v>414572</v>
      </c>
      <c r="E27" s="189">
        <v>67370</v>
      </c>
      <c r="F27" s="189">
        <v>165541</v>
      </c>
      <c r="G27" s="189">
        <v>647483</v>
      </c>
      <c r="H27" s="189">
        <v>1151.7</v>
      </c>
      <c r="I27" s="189">
        <v>402099</v>
      </c>
      <c r="K27" s="98"/>
      <c r="L27" s="98"/>
      <c r="M27" s="98"/>
      <c r="N27" s="98"/>
      <c r="O27" s="98"/>
    </row>
    <row r="28" spans="1:16" ht="14.1" customHeight="1">
      <c r="B28" s="357" t="s">
        <v>14</v>
      </c>
      <c r="C28" s="357"/>
      <c r="D28" s="189"/>
      <c r="E28" s="189"/>
      <c r="F28" s="189"/>
      <c r="G28" s="189"/>
      <c r="H28" s="189"/>
      <c r="I28" s="189"/>
      <c r="K28" s="97"/>
      <c r="L28" s="97"/>
      <c r="M28" s="97"/>
      <c r="N28" s="97"/>
      <c r="O28" s="97"/>
    </row>
    <row r="29" spans="1:16" ht="14.1" customHeight="1">
      <c r="B29" s="190"/>
      <c r="C29" s="188" t="str">
        <f>IF(Indice_index!$Z$1=1,"dezembro","December")</f>
        <v>dezembro</v>
      </c>
      <c r="D29" s="189">
        <v>417828</v>
      </c>
      <c r="E29" s="189">
        <v>65110</v>
      </c>
      <c r="F29" s="189">
        <v>165419</v>
      </c>
      <c r="G29" s="189">
        <v>648357</v>
      </c>
      <c r="H29" s="189">
        <v>1174.5</v>
      </c>
      <c r="I29" s="189">
        <v>386216</v>
      </c>
      <c r="K29" s="98"/>
      <c r="L29" s="98"/>
      <c r="M29" s="98"/>
      <c r="N29" s="98"/>
      <c r="O29" s="98"/>
    </row>
    <row r="30" spans="1:16" ht="14.1" customHeight="1">
      <c r="B30" s="357">
        <v>2023</v>
      </c>
      <c r="C30" s="357"/>
      <c r="D30" s="189"/>
      <c r="E30" s="189"/>
      <c r="F30" s="189"/>
      <c r="G30" s="189"/>
      <c r="H30" s="189"/>
      <c r="I30" s="189"/>
      <c r="K30" s="97"/>
      <c r="L30" s="97"/>
      <c r="M30" s="97"/>
      <c r="N30" s="97"/>
      <c r="O30" s="97"/>
    </row>
    <row r="31" spans="1:16" ht="14.1" customHeight="1">
      <c r="B31" s="190"/>
      <c r="C31" s="188" t="str">
        <f>IF(Indice_index!$Z$1=1,"dezembro","December")</f>
        <v>dezembro</v>
      </c>
      <c r="D31" s="189">
        <v>424533</v>
      </c>
      <c r="E31" s="189">
        <v>63043</v>
      </c>
      <c r="F31" s="189">
        <v>166756</v>
      </c>
      <c r="G31" s="189">
        <v>654332</v>
      </c>
      <c r="H31" s="189">
        <v>1276.7</v>
      </c>
      <c r="I31" s="189">
        <v>380060</v>
      </c>
      <c r="K31" s="171"/>
      <c r="L31" s="98"/>
      <c r="M31" s="98"/>
      <c r="N31" s="98"/>
      <c r="O31" s="98"/>
    </row>
    <row r="32" spans="1:16" ht="14.1" customHeight="1">
      <c r="B32" s="357">
        <v>2024</v>
      </c>
      <c r="C32" s="357"/>
      <c r="D32" s="189"/>
      <c r="E32" s="189"/>
      <c r="F32" s="189"/>
      <c r="G32" s="189"/>
      <c r="H32" s="189"/>
      <c r="I32" s="189"/>
      <c r="K32" s="97"/>
      <c r="L32" s="97"/>
      <c r="M32" s="97"/>
      <c r="N32" s="97"/>
      <c r="O32" s="97"/>
    </row>
    <row r="33" spans="2:15" ht="13.5" customHeight="1">
      <c r="B33" s="259"/>
      <c r="C33" s="188" t="str">
        <f>IF(Indice_index!$Z$1=1,"dezembro","December")</f>
        <v>dezembro</v>
      </c>
      <c r="D33" s="189">
        <v>433284</v>
      </c>
      <c r="E33" s="189">
        <v>61070</v>
      </c>
      <c r="F33" s="189">
        <v>168313</v>
      </c>
      <c r="G33" s="189">
        <v>662667</v>
      </c>
      <c r="H33" s="189">
        <v>1380</v>
      </c>
      <c r="I33" s="189">
        <v>359795</v>
      </c>
      <c r="K33" s="97"/>
      <c r="L33" s="97"/>
      <c r="M33" s="97"/>
      <c r="N33" s="97"/>
      <c r="O33" s="97"/>
    </row>
    <row r="34" spans="2:15" ht="14.1" customHeight="1">
      <c r="B34" s="357">
        <v>2025</v>
      </c>
      <c r="C34" s="357"/>
      <c r="D34" s="189"/>
      <c r="E34" s="189"/>
      <c r="F34" s="189"/>
      <c r="G34" s="189"/>
      <c r="H34" s="189"/>
      <c r="I34" s="189"/>
      <c r="K34" s="97"/>
      <c r="L34" s="97"/>
      <c r="M34" s="97"/>
      <c r="N34" s="97"/>
      <c r="O34" s="97"/>
    </row>
    <row r="35" spans="2:15" ht="14.1" customHeight="1">
      <c r="B35" s="256"/>
      <c r="C35" s="188" t="str">
        <f>IF(Indice_index!$Z$1=1,"janeiro","January")</f>
        <v>janeiro</v>
      </c>
      <c r="D35" s="189">
        <v>434207</v>
      </c>
      <c r="E35" s="189">
        <v>60914</v>
      </c>
      <c r="F35" s="189">
        <v>168511</v>
      </c>
      <c r="G35" s="189">
        <v>663632</v>
      </c>
      <c r="H35" s="189">
        <v>1412.1</v>
      </c>
      <c r="I35" s="189">
        <v>357805</v>
      </c>
      <c r="K35" s="97"/>
      <c r="L35" s="97"/>
      <c r="M35" s="97"/>
      <c r="N35" s="97"/>
      <c r="O35" s="97"/>
    </row>
    <row r="36" spans="2:15" ht="14.1" customHeight="1">
      <c r="B36" s="256"/>
      <c r="C36" s="188" t="str">
        <f>IF(Indice_index!$Z$1=1,"fevereiro","February")</f>
        <v>fevereiro</v>
      </c>
      <c r="D36" s="189">
        <v>434831</v>
      </c>
      <c r="E36" s="189">
        <v>60659</v>
      </c>
      <c r="F36" s="189">
        <v>168499</v>
      </c>
      <c r="G36" s="189">
        <v>663989</v>
      </c>
      <c r="H36" s="189">
        <v>1377.6</v>
      </c>
      <c r="I36" s="189">
        <v>357420</v>
      </c>
      <c r="K36" s="97"/>
      <c r="L36" s="97"/>
      <c r="M36" s="97"/>
      <c r="N36" s="97"/>
      <c r="O36" s="97"/>
    </row>
    <row r="37" spans="2:15" ht="14.1" customHeight="1">
      <c r="B37" s="256"/>
      <c r="C37" s="188" t="str">
        <f>IF(Indice_index!$Z$1=1,"março","March")</f>
        <v>março</v>
      </c>
      <c r="D37" s="189">
        <v>435540</v>
      </c>
      <c r="E37" s="189">
        <v>60431</v>
      </c>
      <c r="F37" s="189">
        <v>168424</v>
      </c>
      <c r="G37" s="189">
        <v>664395</v>
      </c>
      <c r="H37" s="189">
        <v>1384.5</v>
      </c>
      <c r="I37" s="189">
        <v>356945</v>
      </c>
      <c r="K37" s="97"/>
      <c r="L37" s="97"/>
      <c r="M37" s="97"/>
      <c r="N37" s="97"/>
      <c r="O37" s="97"/>
    </row>
    <row r="38" spans="2:15" ht="14.1" customHeight="1">
      <c r="B38" s="256"/>
      <c r="C38" s="188" t="str">
        <f>IF(Indice_index!$Z$1=1,"abril","April")</f>
        <v>abril</v>
      </c>
      <c r="D38" s="189">
        <v>436296</v>
      </c>
      <c r="E38" s="189">
        <v>60223</v>
      </c>
      <c r="F38" s="189">
        <v>168585</v>
      </c>
      <c r="G38" s="189">
        <v>665104</v>
      </c>
      <c r="H38" s="189">
        <v>1388.7</v>
      </c>
      <c r="I38" s="189">
        <v>359764</v>
      </c>
      <c r="K38" s="97"/>
      <c r="L38" s="97"/>
      <c r="M38" s="97"/>
      <c r="N38" s="97"/>
      <c r="O38" s="97"/>
    </row>
    <row r="39" spans="2:15" ht="14.1" customHeight="1">
      <c r="B39" s="190"/>
      <c r="C39" s="188" t="str">
        <f>IF(Indice_index!$Z$1=1,"maio","May")</f>
        <v>maio</v>
      </c>
      <c r="D39" s="189">
        <v>436771</v>
      </c>
      <c r="E39" s="189">
        <v>60017</v>
      </c>
      <c r="F39" s="189">
        <v>168294</v>
      </c>
      <c r="G39" s="189">
        <v>665082</v>
      </c>
      <c r="H39" s="189">
        <v>1385</v>
      </c>
      <c r="I39" s="189">
        <v>359533</v>
      </c>
      <c r="K39" s="171"/>
      <c r="L39" s="98"/>
      <c r="M39" s="98"/>
      <c r="N39" s="98"/>
      <c r="O39" s="98"/>
    </row>
    <row r="40" spans="2:15" ht="14.1" customHeight="1">
      <c r="B40" s="190"/>
      <c r="C40" s="188" t="str">
        <f>IF(Indice_index!$Z$1=1,"junho","June")</f>
        <v>junho</v>
      </c>
      <c r="D40" s="189">
        <v>437156</v>
      </c>
      <c r="E40" s="189">
        <v>59825</v>
      </c>
      <c r="F40" s="189">
        <v>168412</v>
      </c>
      <c r="G40" s="189">
        <v>665393</v>
      </c>
      <c r="H40" s="189">
        <v>1384.2</v>
      </c>
      <c r="I40" s="189">
        <v>358826</v>
      </c>
      <c r="K40" s="171"/>
      <c r="L40" s="98"/>
      <c r="M40" s="98"/>
      <c r="N40" s="98"/>
      <c r="O40" s="98"/>
    </row>
    <row r="41" spans="2:15" ht="14.1" customHeight="1">
      <c r="B41" s="190"/>
      <c r="C41" s="188" t="str">
        <f>IF(Indice_index!$Z$1=1,"julho","July")</f>
        <v>julho</v>
      </c>
      <c r="D41" s="189">
        <v>437537</v>
      </c>
      <c r="E41" s="189">
        <v>59682</v>
      </c>
      <c r="F41" s="189">
        <v>168561</v>
      </c>
      <c r="G41" s="189">
        <v>665780</v>
      </c>
      <c r="H41" s="189">
        <v>2701.6</v>
      </c>
      <c r="I41" s="189">
        <v>357657</v>
      </c>
      <c r="K41" s="171"/>
      <c r="L41" s="98"/>
      <c r="M41" s="98"/>
      <c r="N41" s="98"/>
      <c r="O41" s="98"/>
    </row>
    <row r="42" spans="2:15" ht="14.1" customHeight="1">
      <c r="B42" s="190"/>
      <c r="C42" s="188" t="str">
        <f>IF(Indice_index!$Z$1=1,"agosto","August")</f>
        <v>agosto</v>
      </c>
      <c r="D42" s="189">
        <v>437917</v>
      </c>
      <c r="E42" s="189">
        <v>59528</v>
      </c>
      <c r="F42" s="189">
        <v>168773</v>
      </c>
      <c r="G42" s="189">
        <v>666218</v>
      </c>
      <c r="H42" s="189">
        <v>1388.9</v>
      </c>
      <c r="I42" s="189">
        <v>356200</v>
      </c>
      <c r="K42" s="171"/>
      <c r="L42" s="98"/>
      <c r="M42" s="98"/>
      <c r="N42" s="98"/>
      <c r="O42" s="98"/>
    </row>
    <row r="43" spans="2:15" ht="14.1" customHeight="1">
      <c r="B43" s="190"/>
      <c r="C43" s="188" t="str">
        <f>IF(Indice_index!$Z$1=1,"setembro","September")</f>
        <v>setembro</v>
      </c>
      <c r="D43" s="189">
        <v>438631</v>
      </c>
      <c r="E43" s="189">
        <v>59431</v>
      </c>
      <c r="F43" s="189">
        <v>168803</v>
      </c>
      <c r="G43" s="189">
        <v>666865</v>
      </c>
      <c r="H43" s="189">
        <v>1386.7</v>
      </c>
      <c r="I43" s="189">
        <v>354655</v>
      </c>
      <c r="K43" s="171"/>
      <c r="L43" s="98"/>
      <c r="M43" s="98"/>
      <c r="N43" s="98"/>
      <c r="O43" s="98"/>
    </row>
    <row r="44" spans="2:15" ht="14.1" customHeight="1">
      <c r="B44" s="190"/>
      <c r="C44" s="188" t="str">
        <f>IF(Indice_index!$Z$1=1,"outubro","October")</f>
        <v>outubro</v>
      </c>
      <c r="D44" s="189">
        <v>439168</v>
      </c>
      <c r="E44" s="189">
        <v>59263</v>
      </c>
      <c r="F44" s="189">
        <v>168768</v>
      </c>
      <c r="G44" s="189">
        <v>667199</v>
      </c>
      <c r="H44" s="189">
        <v>1388</v>
      </c>
      <c r="I44" s="189">
        <v>353327</v>
      </c>
      <c r="K44" s="171"/>
      <c r="L44" s="98"/>
      <c r="M44" s="98"/>
      <c r="N44" s="98"/>
      <c r="O44" s="98"/>
    </row>
    <row r="45" spans="2:15" ht="14.1" customHeight="1">
      <c r="B45" s="190"/>
      <c r="C45" s="188" t="str">
        <f>IF(Indice_index!$Z$1=1,"novembro","November")</f>
        <v>novembro</v>
      </c>
      <c r="D45" s="189">
        <v>439975</v>
      </c>
      <c r="E45" s="189">
        <v>59078</v>
      </c>
      <c r="F45" s="189">
        <v>169227</v>
      </c>
      <c r="G45" s="189">
        <v>668280</v>
      </c>
      <c r="H45" s="189">
        <v>2743.3</v>
      </c>
      <c r="I45" s="189">
        <v>351796</v>
      </c>
      <c r="K45" s="171"/>
      <c r="L45" s="98"/>
      <c r="M45" s="98"/>
      <c r="N45" s="98"/>
      <c r="O45" s="98"/>
    </row>
    <row r="46" spans="2:15" ht="14.1" customHeight="1">
      <c r="B46" s="190"/>
      <c r="C46" s="188" t="str">
        <f>IF(Indice_index!$Z$1=1,"dezembro","December")</f>
        <v>dezembro</v>
      </c>
      <c r="D46" s="189">
        <v>440946</v>
      </c>
      <c r="E46" s="189">
        <v>58932</v>
      </c>
      <c r="F46" s="189">
        <v>169473</v>
      </c>
      <c r="G46" s="189">
        <v>669351</v>
      </c>
      <c r="H46" s="189">
        <v>1406.8</v>
      </c>
      <c r="I46" s="189">
        <v>350419</v>
      </c>
      <c r="K46" s="171"/>
      <c r="L46" s="98"/>
      <c r="M46" s="98"/>
      <c r="N46" s="98"/>
      <c r="O46" s="98"/>
    </row>
    <row r="47" spans="2:15" ht="14.1" customHeight="1">
      <c r="B47" s="357">
        <v>2026</v>
      </c>
      <c r="C47" s="357"/>
      <c r="D47" s="189"/>
      <c r="E47" s="189"/>
      <c r="F47" s="189"/>
      <c r="G47" s="189"/>
      <c r="H47" s="189"/>
      <c r="I47" s="189"/>
      <c r="K47" s="97"/>
      <c r="L47" s="97"/>
      <c r="M47" s="97"/>
      <c r="N47" s="97"/>
      <c r="O47" s="97"/>
    </row>
    <row r="48" spans="2:15" ht="13.5" customHeight="1">
      <c r="B48" s="259"/>
      <c r="C48" s="188" t="str">
        <f>IF(Indice_index!$Z$1=1,"janeiro","January")</f>
        <v>janeiro</v>
      </c>
      <c r="D48" s="189">
        <v>441520</v>
      </c>
      <c r="E48" s="189">
        <v>58786</v>
      </c>
      <c r="F48" s="189">
        <v>169656</v>
      </c>
      <c r="G48" s="189">
        <v>669962</v>
      </c>
      <c r="H48" s="189">
        <v>1455.1</v>
      </c>
      <c r="I48" s="189">
        <v>349032</v>
      </c>
      <c r="K48" s="97"/>
      <c r="L48" s="97"/>
      <c r="M48" s="97"/>
      <c r="N48" s="97"/>
      <c r="O48" s="97"/>
    </row>
    <row r="49" spans="2:15" ht="13.5" customHeight="1">
      <c r="B49" s="259"/>
      <c r="C49" s="188" t="str">
        <f>IF(Indice_index!$Z$1=1,"fevereiro","February")</f>
        <v>fevereiro</v>
      </c>
      <c r="D49" s="189">
        <v>441526</v>
      </c>
      <c r="E49" s="189">
        <v>58517</v>
      </c>
      <c r="F49" s="189">
        <v>171460</v>
      </c>
      <c r="G49" s="189">
        <v>671503</v>
      </c>
      <c r="H49" s="189">
        <v>1445.1</v>
      </c>
      <c r="I49" s="189">
        <v>347732</v>
      </c>
      <c r="K49" s="97"/>
      <c r="L49" s="97"/>
      <c r="M49" s="97"/>
      <c r="N49" s="97"/>
      <c r="O49" s="97"/>
    </row>
    <row r="50" spans="2:15" ht="3.75" customHeight="1">
      <c r="B50" s="268"/>
      <c r="C50" s="269"/>
      <c r="D50" s="270"/>
      <c r="E50" s="270"/>
      <c r="F50" s="270"/>
      <c r="G50" s="270"/>
      <c r="H50" s="270"/>
      <c r="I50" s="270"/>
      <c r="K50" s="97"/>
      <c r="L50" s="97"/>
      <c r="M50" s="97"/>
      <c r="N50" s="97"/>
      <c r="O50" s="97"/>
    </row>
    <row r="51" spans="2:15" ht="14.1" customHeight="1">
      <c r="B51" s="9"/>
      <c r="C51" s="9"/>
      <c r="D51" s="9"/>
      <c r="E51" s="9"/>
      <c r="F51" s="9"/>
      <c r="G51" s="9"/>
      <c r="H51" s="9"/>
      <c r="I51" s="9"/>
      <c r="K51" s="171"/>
      <c r="L51" s="98"/>
      <c r="M51" s="98"/>
      <c r="N51" s="98"/>
      <c r="O51" s="98"/>
    </row>
    <row r="52" spans="2:15" ht="16.350000000000001" customHeight="1">
      <c r="B52" s="343"/>
      <c r="C52" s="415"/>
      <c r="D52" s="354" t="str">
        <f>IF(Indice_index!$Z$1=1,"Pensionistas","Pensioners")</f>
        <v>Pensionistas</v>
      </c>
      <c r="E52" s="355"/>
      <c r="F52" s="355"/>
      <c r="G52" s="355"/>
      <c r="H52" s="356"/>
      <c r="I52" s="168" t="str">
        <f>IF(Indice_index!$Z$1=1,"Subscritores","Subscribers")</f>
        <v>Subscritores</v>
      </c>
      <c r="K52" s="170"/>
    </row>
    <row r="53" spans="2:15" ht="16.350000000000001" customHeight="1">
      <c r="B53" s="343"/>
      <c r="C53" s="415"/>
      <c r="D53" s="341" t="str">
        <f>IF(Indice_index!$Z$1=1,"VH do número de pensionistas (%)","YOY Change Rate of the number of subscribers (%)")</f>
        <v>VH do número de pensionistas (%)</v>
      </c>
      <c r="E53" s="341"/>
      <c r="F53" s="341"/>
      <c r="G53" s="341"/>
      <c r="H53" s="341" t="str">
        <f>IF(Indice_index!$Z$1=1,"VHA Valor médio pago por pensionista","YOY Change Rate of the Average Value paid per Pensioner")</f>
        <v>VHA Valor médio pago por pensionista</v>
      </c>
      <c r="I53" s="375" t="str">
        <f>IF(Indice_index!$Z$1=1,"VHA do Número de subscritores (%)","YOY Change Rate of the Number of Subscribers (%)")</f>
        <v>VHA do Número de subscritores (%)</v>
      </c>
      <c r="K53" s="170"/>
    </row>
    <row r="54" spans="2:15" ht="36" customHeight="1">
      <c r="B54" s="343"/>
      <c r="C54" s="415"/>
      <c r="D54" s="22" t="str">
        <f>IF(Indice_index!$Z$1=1,"Velhice e Outros Motivos","Old age and other Reasons")</f>
        <v>Velhice e Outros Motivos</v>
      </c>
      <c r="E54" s="22" t="str">
        <f>IF(Indice_index!$Z$1=1,"Invalidez","Disability")</f>
        <v>Invalidez</v>
      </c>
      <c r="F54" s="22" t="str">
        <f>IF(Indice_index!$Z$1=1,"Sobrevivência e Outros","Survival and Others")</f>
        <v>Sobrevivência e Outros</v>
      </c>
      <c r="G54" s="22" t="str">
        <f>IF(Indice_index!$Z$1=1,"Total de Pensionistas","Total of Pensioners")</f>
        <v>Total de Pensionistas</v>
      </c>
      <c r="H54" s="374"/>
      <c r="I54" s="394"/>
      <c r="K54" s="170"/>
    </row>
    <row r="55" spans="2:15" ht="14.1" hidden="1" customHeight="1">
      <c r="B55" s="357">
        <v>2020</v>
      </c>
      <c r="C55" s="357"/>
      <c r="D55" s="172"/>
      <c r="E55" s="186"/>
      <c r="F55" s="186"/>
      <c r="G55" s="186"/>
      <c r="I55" s="186"/>
      <c r="K55" s="170"/>
      <c r="L55" s="97"/>
      <c r="M55" s="97"/>
      <c r="N55" s="97"/>
      <c r="O55" s="97"/>
    </row>
    <row r="56" spans="2:15" ht="14.1" hidden="1" customHeight="1">
      <c r="B56" s="191"/>
      <c r="C56" s="188" t="str">
        <f>IF(Indice_index!$Z$1=1,"janeiro","January")</f>
        <v>janeiro</v>
      </c>
      <c r="D56" s="4">
        <v>0.64890282901017782</v>
      </c>
      <c r="E56" s="4">
        <v>-0.79712977440250177</v>
      </c>
      <c r="F56" s="4">
        <v>1.2976038113667399</v>
      </c>
      <c r="G56" s="4">
        <v>0.65256308473045976</v>
      </c>
      <c r="H56" s="4">
        <v>0.13975019652370591</v>
      </c>
      <c r="I56" s="4">
        <v>-2.830792038708132</v>
      </c>
      <c r="K56" s="170"/>
      <c r="L56" s="98"/>
      <c r="M56" s="98"/>
      <c r="N56" s="98"/>
      <c r="O56" s="98"/>
    </row>
    <row r="57" spans="2:15" ht="14.1" hidden="1" customHeight="1">
      <c r="B57" s="191"/>
      <c r="C57" s="188" t="str">
        <f>IF(Indice_index!$Z$1=1,"fevereiro","February")</f>
        <v>fevereiro</v>
      </c>
      <c r="D57" s="4">
        <v>0.71713812768005814</v>
      </c>
      <c r="E57" s="4">
        <v>-0.90320596171860801</v>
      </c>
      <c r="F57" s="4">
        <v>1.0851679441144626</v>
      </c>
      <c r="G57" s="4">
        <v>0.63035875012068388</v>
      </c>
      <c r="H57" s="4">
        <v>0.47317203821089027</v>
      </c>
      <c r="I57" s="4">
        <v>-2.9193642253336143</v>
      </c>
      <c r="K57" s="170"/>
      <c r="L57" s="98"/>
      <c r="M57" s="98"/>
      <c r="N57" s="98"/>
      <c r="O57" s="98"/>
    </row>
    <row r="58" spans="2:15" ht="14.1" hidden="1" customHeight="1">
      <c r="B58" s="191"/>
      <c r="C58" s="188" t="str">
        <f>IF(Indice_index!$Z$1=1,"março","March")</f>
        <v>março</v>
      </c>
      <c r="D58" s="4">
        <v>0.89035299211746077</v>
      </c>
      <c r="E58" s="4">
        <v>-0.82113980359790717</v>
      </c>
      <c r="F58" s="4">
        <v>1.0608878664774117</v>
      </c>
      <c r="G58" s="4">
        <v>0.74305973476852272</v>
      </c>
      <c r="H58" s="4">
        <v>1.1182252682838725</v>
      </c>
      <c r="I58" s="4">
        <v>-2.9439334000603719</v>
      </c>
      <c r="K58" s="171"/>
      <c r="L58" s="98"/>
      <c r="M58" s="98"/>
      <c r="N58" s="98"/>
      <c r="O58" s="98"/>
    </row>
    <row r="59" spans="2:15" ht="14.1" hidden="1" customHeight="1">
      <c r="B59" s="191"/>
      <c r="C59" s="188" t="str">
        <f>IF(Indice_index!$Z$1=1,"abril","April")</f>
        <v>abril</v>
      </c>
      <c r="D59" s="4">
        <v>0.93985054875859053</v>
      </c>
      <c r="E59" s="4">
        <v>-1.0999762393950829</v>
      </c>
      <c r="F59" s="4">
        <v>1.1725754432347415</v>
      </c>
      <c r="G59" s="4">
        <v>0.77162658884929436</v>
      </c>
      <c r="H59" s="4">
        <v>0.49291987811435745</v>
      </c>
      <c r="I59" s="4">
        <v>-2.9996565973114526</v>
      </c>
      <c r="K59" s="170"/>
      <c r="L59" s="98"/>
      <c r="M59" s="98"/>
      <c r="N59" s="98"/>
      <c r="O59" s="98"/>
    </row>
    <row r="60" spans="2:15" ht="14.1" hidden="1" customHeight="1">
      <c r="B60" s="191"/>
      <c r="C60" s="188" t="str">
        <f>IF(Indice_index!$Z$1=1,"maio","May")</f>
        <v>maio</v>
      </c>
      <c r="D60" s="4">
        <v>0.9733508339846918</v>
      </c>
      <c r="E60" s="4">
        <v>-1.362759623179493</v>
      </c>
      <c r="F60" s="4">
        <v>1.1885662498622218</v>
      </c>
      <c r="G60" s="4">
        <v>0.76765561155317019</v>
      </c>
      <c r="H60" s="4">
        <v>0.65629776139530294</v>
      </c>
      <c r="I60" s="4">
        <v>-3.0613454149327475</v>
      </c>
      <c r="K60" s="170"/>
      <c r="L60" s="98"/>
      <c r="M60" s="98"/>
      <c r="N60" s="98"/>
      <c r="O60" s="98"/>
    </row>
    <row r="61" spans="2:15" ht="14.1" hidden="1" customHeight="1">
      <c r="B61" s="191"/>
      <c r="C61" s="188" t="str">
        <f>IF(Indice_index!$Z$1=1,"junho","June")</f>
        <v>junho</v>
      </c>
      <c r="D61" s="4">
        <v>1.1000000000000001</v>
      </c>
      <c r="E61" s="4">
        <v>-1.6</v>
      </c>
      <c r="F61" s="4">
        <v>1</v>
      </c>
      <c r="G61" s="4">
        <v>0.8</v>
      </c>
      <c r="H61" s="4">
        <v>0.6</v>
      </c>
      <c r="I61" s="4">
        <v>-3.1</v>
      </c>
      <c r="K61" s="170"/>
      <c r="L61" s="98"/>
      <c r="M61" s="98"/>
      <c r="N61" s="98"/>
      <c r="O61" s="98"/>
    </row>
    <row r="62" spans="2:15" ht="14.1" hidden="1" customHeight="1">
      <c r="B62" s="191"/>
      <c r="C62" s="188" t="str">
        <f>IF(Indice_index!$Z$1=1,"julho","July")</f>
        <v>julho</v>
      </c>
      <c r="D62" s="4">
        <v>1.2</v>
      </c>
      <c r="E62" s="4">
        <v>-1.8</v>
      </c>
      <c r="F62" s="4">
        <v>1.1000000000000001</v>
      </c>
      <c r="G62" s="4">
        <v>0.8</v>
      </c>
      <c r="H62" s="4">
        <v>0.5</v>
      </c>
      <c r="I62" s="4">
        <v>-3.2</v>
      </c>
      <c r="K62" s="171"/>
      <c r="L62" s="98"/>
      <c r="M62" s="98"/>
      <c r="N62" s="98"/>
      <c r="O62" s="98"/>
    </row>
    <row r="63" spans="2:15" ht="14.1" hidden="1" customHeight="1">
      <c r="B63" s="191"/>
      <c r="C63" s="188" t="str">
        <f>IF(Indice_index!$Z$1=1,"agosto","August")</f>
        <v>agosto</v>
      </c>
      <c r="D63" s="4">
        <v>1.2534073328258146</v>
      </c>
      <c r="E63" s="4">
        <v>-1.9747522812517495</v>
      </c>
      <c r="F63" s="4">
        <v>1.1217665384357454</v>
      </c>
      <c r="G63" s="4">
        <v>0.86091406574564067</v>
      </c>
      <c r="H63" s="4">
        <v>-0.76794068320240483</v>
      </c>
      <c r="I63" s="4">
        <v>-3.2695709634565215</v>
      </c>
      <c r="K63" s="170"/>
    </row>
    <row r="64" spans="2:15" ht="14.1" hidden="1" customHeight="1">
      <c r="B64" s="191"/>
      <c r="C64" s="188" t="str">
        <f>IF(Indice_index!$Z$1=1,"setembro","September")</f>
        <v>setembro</v>
      </c>
      <c r="D64" s="4">
        <v>1.2688330907743317</v>
      </c>
      <c r="E64" s="4">
        <v>-2.3009097270818755</v>
      </c>
      <c r="F64" s="4">
        <v>0.96997521783341767</v>
      </c>
      <c r="G64" s="4">
        <v>0.79593620071461668</v>
      </c>
      <c r="H64" s="4">
        <v>1.0147270114942692</v>
      </c>
      <c r="I64" s="4">
        <v>-3.4066937656284866</v>
      </c>
      <c r="K64" s="171"/>
    </row>
    <row r="65" spans="2:15" ht="14.1" hidden="1" customHeight="1">
      <c r="B65" s="191"/>
      <c r="C65" s="188" t="str">
        <f>IF(Indice_index!$Z$1=1,"outubro","October")</f>
        <v>outubro</v>
      </c>
      <c r="D65" s="4">
        <v>1.4</v>
      </c>
      <c r="E65" s="4">
        <v>-2.4</v>
      </c>
      <c r="F65" s="4">
        <v>0.9</v>
      </c>
      <c r="G65" s="4">
        <v>0.8</v>
      </c>
      <c r="H65" s="4">
        <v>0.7</v>
      </c>
      <c r="I65" s="4">
        <v>-3.4</v>
      </c>
      <c r="K65" s="170"/>
    </row>
    <row r="66" spans="2:15" ht="14.1" hidden="1" customHeight="1">
      <c r="B66" s="190"/>
      <c r="C66" s="188" t="str">
        <f>IF(Indice_index!$Z$1=1,"novembro","November")</f>
        <v>novembro</v>
      </c>
      <c r="D66" s="4">
        <v>1.1000000000000001</v>
      </c>
      <c r="E66" s="4">
        <v>-2.5</v>
      </c>
      <c r="F66" s="4">
        <v>0.8</v>
      </c>
      <c r="G66" s="4">
        <v>0.6</v>
      </c>
      <c r="H66" s="4">
        <v>0</v>
      </c>
      <c r="I66" s="4">
        <v>-3.3</v>
      </c>
    </row>
    <row r="67" spans="2:15" ht="14.1" hidden="1" customHeight="1">
      <c r="B67" s="190"/>
      <c r="C67" s="188" t="str">
        <f>IF(Indice_index!$Z$1=1,"dezembro","December")</f>
        <v>dezembro</v>
      </c>
      <c r="D67" s="4">
        <v>0.8</v>
      </c>
      <c r="E67" s="4">
        <v>-2.7</v>
      </c>
      <c r="F67" s="4">
        <v>1</v>
      </c>
      <c r="G67" s="4">
        <v>0.5</v>
      </c>
      <c r="H67" s="4">
        <v>0.9</v>
      </c>
      <c r="I67" s="4">
        <v>-3.3</v>
      </c>
    </row>
    <row r="68" spans="2:15" ht="14.1" customHeight="1">
      <c r="B68" s="357" t="s">
        <v>13</v>
      </c>
      <c r="C68" s="357"/>
      <c r="D68" s="4"/>
      <c r="E68" s="4"/>
      <c r="F68" s="4"/>
      <c r="G68" s="4"/>
      <c r="H68" s="4"/>
      <c r="I68" s="4"/>
      <c r="K68" s="97"/>
      <c r="L68" s="97"/>
      <c r="M68" s="97"/>
      <c r="N68" s="97"/>
      <c r="O68" s="97"/>
    </row>
    <row r="69" spans="2:15" ht="14.1" customHeight="1">
      <c r="B69" s="190"/>
      <c r="C69" s="188" t="str">
        <f>IF(Indice_index!$Z$1=1,"dezembro","December")</f>
        <v>dezembro</v>
      </c>
      <c r="D69" s="4">
        <v>0.35438674632299544</v>
      </c>
      <c r="E69" s="4">
        <v>-2.8144429537946656</v>
      </c>
      <c r="F69" s="4">
        <v>-0.407296442021923</v>
      </c>
      <c r="G69" s="4">
        <v>-0.17945045610324259</v>
      </c>
      <c r="H69" s="4">
        <v>0.99973691133912934</v>
      </c>
      <c r="I69" s="4">
        <v>-3.5442363879733443</v>
      </c>
    </row>
    <row r="70" spans="2:15" ht="14.1" customHeight="1">
      <c r="B70" s="357" t="s">
        <v>14</v>
      </c>
      <c r="C70" s="357"/>
      <c r="D70" s="4"/>
      <c r="E70" s="4"/>
      <c r="F70" s="4"/>
      <c r="G70" s="4"/>
      <c r="H70" s="4"/>
      <c r="I70" s="4"/>
      <c r="K70" s="97"/>
      <c r="L70" s="97"/>
      <c r="M70" s="97"/>
      <c r="N70" s="97"/>
      <c r="O70" s="97"/>
    </row>
    <row r="71" spans="2:15" ht="14.1" customHeight="1">
      <c r="B71" s="190"/>
      <c r="C71" s="188" t="str">
        <f>IF(Indice_index!$Z$1=1,"dezembro","December")</f>
        <v>dezembro</v>
      </c>
      <c r="D71" s="4">
        <v>0.78538830408228255</v>
      </c>
      <c r="E71" s="4">
        <v>-3.3546088763544604</v>
      </c>
      <c r="F71" s="4">
        <v>-7.3697754634803464E-2</v>
      </c>
      <c r="G71" s="4">
        <v>0.13498423896843625</v>
      </c>
      <c r="H71" s="4">
        <v>1.9796822089085657</v>
      </c>
      <c r="I71" s="4">
        <v>-3.9500222582000948</v>
      </c>
    </row>
    <row r="72" spans="2:15" ht="14.1" customHeight="1">
      <c r="B72" s="357">
        <v>2023</v>
      </c>
      <c r="C72" s="357"/>
      <c r="D72" s="4"/>
      <c r="E72" s="4"/>
      <c r="F72" s="4"/>
      <c r="G72" s="4"/>
      <c r="H72" s="4"/>
      <c r="I72" s="4"/>
      <c r="K72" s="97"/>
      <c r="L72" s="97"/>
      <c r="M72" s="97"/>
      <c r="N72" s="97"/>
      <c r="O72" s="97"/>
    </row>
    <row r="73" spans="2:15" ht="14.1" customHeight="1">
      <c r="B73" s="191"/>
      <c r="C73" s="188" t="str">
        <f>IF(Indice_index!$Z$1=1,"dezembro","December")</f>
        <v>dezembro</v>
      </c>
      <c r="D73" s="4">
        <v>1.6047273040581294</v>
      </c>
      <c r="E73" s="4">
        <v>-3.1746275533712174</v>
      </c>
      <c r="F73" s="4">
        <v>0.80825056372000792</v>
      </c>
      <c r="G73" s="4">
        <v>0.92156018983368726</v>
      </c>
      <c r="H73" s="4">
        <v>8.7015751383567519</v>
      </c>
      <c r="I73" s="4">
        <v>-1.593926714584585</v>
      </c>
    </row>
    <row r="74" spans="2:15" ht="14.1" customHeight="1">
      <c r="B74" s="357">
        <v>2024</v>
      </c>
      <c r="C74" s="357"/>
      <c r="D74" s="4"/>
      <c r="E74" s="4"/>
      <c r="F74" s="4"/>
      <c r="G74" s="4"/>
      <c r="H74" s="4"/>
      <c r="I74" s="4"/>
      <c r="K74" s="97"/>
      <c r="L74" s="97"/>
      <c r="M74" s="97"/>
      <c r="N74" s="97"/>
      <c r="O74" s="97"/>
    </row>
    <row r="75" spans="2:15" ht="13.5" customHeight="1">
      <c r="B75" s="259"/>
      <c r="C75" s="188" t="str">
        <f>IF(Indice_index!$Z$1=1,"dezembro","December")</f>
        <v>dezembro</v>
      </c>
      <c r="D75" s="4">
        <v>2.1</v>
      </c>
      <c r="E75" s="4">
        <v>-3.1</v>
      </c>
      <c r="F75" s="4">
        <v>0.9</v>
      </c>
      <c r="G75" s="4">
        <v>1.3</v>
      </c>
      <c r="H75" s="4">
        <v>8.1</v>
      </c>
      <c r="I75" s="4">
        <v>-5.3</v>
      </c>
      <c r="K75" s="98"/>
      <c r="L75" s="98"/>
      <c r="M75" s="98"/>
      <c r="N75" s="98"/>
      <c r="O75" s="98"/>
    </row>
    <row r="76" spans="2:15" ht="14.1" customHeight="1">
      <c r="B76" s="357">
        <v>2025</v>
      </c>
      <c r="C76" s="357"/>
      <c r="D76" s="4"/>
      <c r="E76" s="4"/>
      <c r="F76" s="4"/>
      <c r="G76" s="4"/>
      <c r="H76" s="4"/>
      <c r="I76" s="4"/>
      <c r="K76" s="97"/>
      <c r="L76" s="97"/>
      <c r="M76" s="97"/>
      <c r="N76" s="97"/>
      <c r="O76" s="97"/>
    </row>
    <row r="77" spans="2:15" ht="14.1" customHeight="1">
      <c r="B77" s="256"/>
      <c r="C77" s="188" t="str">
        <f>IF(Indice_index!$Z$1=1,"janeiro","January")</f>
        <v>janeiro</v>
      </c>
      <c r="D77" s="4">
        <v>2.0398235599621177</v>
      </c>
      <c r="E77" s="4">
        <v>-3.1635508075798042</v>
      </c>
      <c r="F77" s="4">
        <v>0.96887844979448046</v>
      </c>
      <c r="G77" s="4">
        <v>1.2676153053828254</v>
      </c>
      <c r="H77" s="4">
        <v>3.3672498352975624</v>
      </c>
      <c r="I77" s="4">
        <v>-4.9270887582769136</v>
      </c>
      <c r="K77" s="97"/>
      <c r="L77" s="97"/>
      <c r="M77" s="97"/>
      <c r="N77" s="97"/>
      <c r="O77" s="97"/>
    </row>
    <row r="78" spans="2:15" ht="14.1" customHeight="1">
      <c r="B78" s="256"/>
      <c r="C78" s="188" t="str">
        <f>IF(Indice_index!$Z$1=1,"fevereiro","February")</f>
        <v>fevereiro</v>
      </c>
      <c r="D78" s="4">
        <v>2.1703783417999314</v>
      </c>
      <c r="E78" s="4">
        <v>-3.3553732175575557</v>
      </c>
      <c r="F78" s="4">
        <v>1.0864609330005759</v>
      </c>
      <c r="G78" s="4">
        <v>1.3650928864646354</v>
      </c>
      <c r="H78" s="4">
        <v>3.7661946369388377</v>
      </c>
      <c r="I78" s="4">
        <v>-5.1435638440450004</v>
      </c>
      <c r="K78" s="97"/>
      <c r="L78" s="97"/>
      <c r="M78" s="97"/>
      <c r="N78" s="97"/>
      <c r="O78" s="97"/>
    </row>
    <row r="79" spans="2:15" ht="14.1" customHeight="1">
      <c r="B79" s="256"/>
      <c r="C79" s="188" t="str">
        <f>IF(Indice_index!$Z$1=1,"março","March")</f>
        <v>março</v>
      </c>
      <c r="D79" s="4">
        <v>2.3232648343361113</v>
      </c>
      <c r="E79" s="4">
        <v>-3.2763532763532761</v>
      </c>
      <c r="F79" s="4">
        <v>1.136117983330531</v>
      </c>
      <c r="G79" s="4">
        <v>1.486876413899713</v>
      </c>
      <c r="H79" s="4">
        <v>4.1447269444862274</v>
      </c>
      <c r="I79" s="4">
        <v>-5.0673141878414247</v>
      </c>
      <c r="K79" s="97"/>
      <c r="L79" s="97"/>
      <c r="M79" s="97"/>
      <c r="N79" s="97"/>
      <c r="O79" s="97"/>
    </row>
    <row r="80" spans="2:15" ht="14.1" customHeight="1">
      <c r="B80" s="256"/>
      <c r="C80" s="188" t="str">
        <f>IF(Indice_index!$Z$1=1,"abril","April")</f>
        <v>abril</v>
      </c>
      <c r="D80" s="4">
        <v>2.4017574865688878</v>
      </c>
      <c r="E80" s="4">
        <v>-3.3958934873275588</v>
      </c>
      <c r="F80" s="4">
        <v>1.001114346310076</v>
      </c>
      <c r="G80" s="4">
        <v>1.4934756766572514</v>
      </c>
      <c r="H80" s="4">
        <v>3.6034019695613213</v>
      </c>
      <c r="I80" s="4">
        <v>-3.7999866301223344</v>
      </c>
      <c r="K80" s="97"/>
      <c r="L80" s="97"/>
      <c r="M80" s="97"/>
      <c r="N80" s="97"/>
      <c r="O80" s="97"/>
    </row>
    <row r="81" spans="2:15" ht="14.1" customHeight="1">
      <c r="B81" s="256"/>
      <c r="C81" s="188" t="str">
        <f>IF(Indice_index!$Z$1=1,"maio","May")</f>
        <v>maio</v>
      </c>
      <c r="D81" s="4">
        <v>2.4017236892388993</v>
      </c>
      <c r="E81" s="4">
        <v>-3.4925790734695843</v>
      </c>
      <c r="F81" s="4">
        <v>0.74709960130742425</v>
      </c>
      <c r="G81" s="4">
        <v>1.4212473427859498</v>
      </c>
      <c r="H81" s="4">
        <v>3.9243640729346407</v>
      </c>
      <c r="I81" s="4">
        <v>-2.629440854507342</v>
      </c>
      <c r="K81" s="97"/>
      <c r="L81" s="97"/>
      <c r="M81" s="97"/>
      <c r="N81" s="97"/>
      <c r="O81" s="97"/>
    </row>
    <row r="82" spans="2:15" ht="14.1" customHeight="1">
      <c r="B82" s="256"/>
      <c r="C82" s="188" t="str">
        <f>IF(Indice_index!$Z$1=1,"junho","June")</f>
        <v>junho</v>
      </c>
      <c r="D82" s="4">
        <v>2.4098728181245299</v>
      </c>
      <c r="E82" s="4">
        <v>-3.4753706900724444</v>
      </c>
      <c r="F82" s="4">
        <v>0.75199664981603898</v>
      </c>
      <c r="G82" s="4">
        <v>1.4313958930065869</v>
      </c>
      <c r="H82" s="4">
        <v>3.9657503379900825</v>
      </c>
      <c r="I82" s="4">
        <v>-3.4341890324473137</v>
      </c>
      <c r="K82" s="97"/>
      <c r="L82" s="97"/>
      <c r="M82" s="97"/>
      <c r="N82" s="97"/>
      <c r="O82" s="97"/>
    </row>
    <row r="83" spans="2:15" ht="14.1" customHeight="1">
      <c r="B83" s="256"/>
      <c r="C83" s="188" t="str">
        <f>IF(Indice_index!$Z$1=1,"julho","July")</f>
        <v>julho</v>
      </c>
      <c r="D83" s="4">
        <v>2.3143298101206624</v>
      </c>
      <c r="E83" s="4">
        <v>-3.420933393747168</v>
      </c>
      <c r="F83" s="4">
        <v>0.82243728541863559</v>
      </c>
      <c r="G83" s="4">
        <v>1.3947141582219298</v>
      </c>
      <c r="H83" s="4">
        <v>3.9916855922090848</v>
      </c>
      <c r="I83" s="4">
        <v>-3.3024938357053251</v>
      </c>
      <c r="K83" s="97"/>
      <c r="L83" s="97"/>
      <c r="M83" s="97"/>
      <c r="N83" s="97"/>
      <c r="O83" s="97"/>
    </row>
    <row r="84" spans="2:15" ht="14.1" customHeight="1">
      <c r="B84" s="256"/>
      <c r="C84" s="188" t="str">
        <f>IF(Indice_index!$Z$1=1,"agosto","August")</f>
        <v>agosto</v>
      </c>
      <c r="D84" s="4">
        <v>2.2026750435843998</v>
      </c>
      <c r="E84" s="4">
        <v>-3.4514078110808359</v>
      </c>
      <c r="F84" s="4">
        <v>0.71610581656949501</v>
      </c>
      <c r="G84" s="4">
        <v>1.2938872569590152</v>
      </c>
      <c r="H84" s="4">
        <v>3.9440203562341001</v>
      </c>
      <c r="I84" s="4">
        <v>-3.1225437267631455</v>
      </c>
      <c r="K84" s="97"/>
      <c r="L84" s="97"/>
      <c r="M84" s="97"/>
      <c r="N84" s="97"/>
      <c r="O84" s="97"/>
    </row>
    <row r="85" spans="2:15" ht="14.1" customHeight="1">
      <c r="B85" s="191"/>
      <c r="C85" s="188" t="str">
        <f>IF(Indice_index!$Z$1=1,"setembro","September")</f>
        <v>setembro</v>
      </c>
      <c r="D85" s="4">
        <v>2.086979593356669</v>
      </c>
      <c r="E85" s="4">
        <v>-3.383079724281441</v>
      </c>
      <c r="F85" s="4">
        <v>0.7117713740230297</v>
      </c>
      <c r="G85" s="4">
        <v>1.2263466436748809</v>
      </c>
      <c r="H85" s="4">
        <v>3.9817036592681569</v>
      </c>
      <c r="I85" s="4">
        <v>-3.0138866859552498</v>
      </c>
    </row>
    <row r="86" spans="2:15" ht="14.1" customHeight="1">
      <c r="B86" s="191"/>
      <c r="C86" s="188" t="str">
        <f>IF(Indice_index!$Z$1=1,"outubro","October")</f>
        <v>outubro</v>
      </c>
      <c r="D86" s="4">
        <v>1.9696529946480608</v>
      </c>
      <c r="E86" s="4">
        <v>-3.3986438025689507</v>
      </c>
      <c r="F86" s="4">
        <v>0.63445117588131461</v>
      </c>
      <c r="G86" s="4">
        <v>1.131056769591519</v>
      </c>
      <c r="H86" s="4">
        <v>3.6130188115855546</v>
      </c>
      <c r="I86" s="4">
        <v>-2.705478697625237</v>
      </c>
    </row>
    <row r="87" spans="2:15" ht="14.1" customHeight="1">
      <c r="B87" s="191"/>
      <c r="C87" s="188" t="str">
        <f>IF(Indice_index!$Z$1=1,"novembro","November")</f>
        <v>novembro</v>
      </c>
      <c r="D87" s="4">
        <v>1.8953614132763303</v>
      </c>
      <c r="E87" s="4">
        <v>-3.4625880353612102</v>
      </c>
      <c r="F87" s="4">
        <v>0.73395478409943216</v>
      </c>
      <c r="G87" s="4">
        <v>1.1041147867869321</v>
      </c>
      <c r="H87" s="4">
        <v>3.7321334039174272</v>
      </c>
      <c r="I87" s="4">
        <v>-2.7432896806637195</v>
      </c>
    </row>
    <row r="88" spans="2:15" ht="14.1" customHeight="1">
      <c r="B88" s="191"/>
      <c r="C88" s="188" t="str">
        <f>IF(Indice_index!$Z$1=1,"dezembro","December")</f>
        <v>dezembro</v>
      </c>
      <c r="D88" s="4">
        <v>1.7683551665881962</v>
      </c>
      <c r="E88" s="4">
        <v>-3.5009006058621255</v>
      </c>
      <c r="F88" s="4">
        <v>0.68919215984505056</v>
      </c>
      <c r="G88" s="4">
        <v>1.0086514040988914</v>
      </c>
      <c r="H88" s="4">
        <v>1.942028985507243</v>
      </c>
      <c r="I88" s="4">
        <v>-2.6059283758807101</v>
      </c>
    </row>
    <row r="89" spans="2:15" ht="14.1" customHeight="1">
      <c r="B89" s="357">
        <v>2026</v>
      </c>
      <c r="C89" s="357"/>
      <c r="D89" s="4"/>
      <c r="E89" s="4"/>
      <c r="F89" s="4"/>
      <c r="G89" s="4"/>
      <c r="H89" s="4"/>
      <c r="I89" s="4"/>
      <c r="K89" s="97"/>
      <c r="L89" s="97"/>
      <c r="M89" s="97"/>
      <c r="N89" s="97"/>
      <c r="O89" s="97"/>
    </row>
    <row r="90" spans="2:15" ht="14.1" customHeight="1">
      <c r="B90" s="256"/>
      <c r="C90" s="188" t="str">
        <f>IF(Indice_index!$Z$1=1,"janeiro","January")</f>
        <v>janeiro</v>
      </c>
      <c r="D90" s="4">
        <v>1.6842197385118158</v>
      </c>
      <c r="E90" s="4">
        <v>-3.4934497816593884</v>
      </c>
      <c r="F90" s="4">
        <v>0.67948086475066904</v>
      </c>
      <c r="G90" s="4">
        <v>0.95384188827542982</v>
      </c>
      <c r="H90" s="4">
        <v>3.0451101196799097</v>
      </c>
      <c r="I90" s="4">
        <v>-2.4518941881751233</v>
      </c>
      <c r="K90" s="97"/>
      <c r="L90" s="97"/>
      <c r="M90" s="97"/>
      <c r="N90" s="97"/>
      <c r="O90" s="97"/>
    </row>
    <row r="91" spans="2:15" ht="13.5" customHeight="1">
      <c r="B91" s="259"/>
      <c r="C91" s="188" t="str">
        <f>IF(Indice_index!$Z$1=1,"fevereiro","February")</f>
        <v>fevereiro</v>
      </c>
      <c r="D91" s="4">
        <v>1.5396786337680617</v>
      </c>
      <c r="E91" s="4">
        <v>-3.5312154832753588</v>
      </c>
      <c r="F91" s="4">
        <v>1.7572804586377369</v>
      </c>
      <c r="G91" s="4">
        <v>1.1316452531593144</v>
      </c>
      <c r="H91" s="4">
        <v>4.8998257839721253</v>
      </c>
      <c r="I91" s="4">
        <v>-2.7105366235801021</v>
      </c>
      <c r="K91" s="98"/>
      <c r="L91" s="98"/>
      <c r="M91" s="98"/>
      <c r="N91" s="98"/>
      <c r="O91" s="98"/>
    </row>
    <row r="92" spans="2:15" ht="4.3499999999999996" customHeight="1">
      <c r="B92" s="268"/>
      <c r="C92" s="269"/>
      <c r="D92" s="270"/>
      <c r="E92" s="270"/>
      <c r="F92" s="270"/>
      <c r="G92" s="270"/>
      <c r="H92" s="270"/>
      <c r="I92" s="270"/>
      <c r="K92" s="98"/>
      <c r="L92" s="98"/>
      <c r="M92" s="98"/>
      <c r="N92" s="98"/>
      <c r="O92" s="98"/>
    </row>
    <row r="93" spans="2:15" ht="14.1" customHeight="1">
      <c r="B93" s="257"/>
      <c r="C93" s="257"/>
      <c r="D93" s="257"/>
      <c r="E93" s="257"/>
      <c r="F93" s="257"/>
      <c r="G93" s="257"/>
      <c r="H93" s="257"/>
      <c r="I93" s="257"/>
    </row>
    <row r="94" spans="2:15" ht="16.350000000000001" customHeight="1">
      <c r="B94" s="343" t="str">
        <f>IF(Indice_index!$Z$1=1,"Fluxos de Pensionistas de Aposentação/Reforma","Retirement Pensioners - New and extinct")</f>
        <v>Fluxos de Pensionistas de Aposentação/Reforma</v>
      </c>
      <c r="C94" s="344"/>
      <c r="D94" s="344"/>
      <c r="E94" s="344"/>
      <c r="F94" s="344"/>
      <c r="G94" s="344"/>
      <c r="H94" s="344"/>
      <c r="I94" s="344"/>
      <c r="J94" s="344"/>
      <c r="K94" s="344"/>
      <c r="L94" s="344"/>
      <c r="M94" s="344"/>
      <c r="N94" s="344"/>
      <c r="O94" s="344"/>
    </row>
    <row r="95" spans="2:15" ht="16.350000000000001" customHeight="1">
      <c r="B95" s="433"/>
      <c r="C95" s="433"/>
      <c r="D95" s="433" t="str">
        <f>IF(Indice_index!$Z$1=1,"Número","Number")</f>
        <v>Número</v>
      </c>
      <c r="E95" s="433"/>
      <c r="F95" s="433"/>
      <c r="G95" s="433"/>
      <c r="H95" s="433"/>
      <c r="I95" s="395" t="str">
        <f>IF(Indice_index!$Z$1=1,"Despesa com pensões (€)","Expense with Pensions")</f>
        <v>Despesa com pensões (€)</v>
      </c>
      <c r="J95" s="396"/>
      <c r="K95" s="396"/>
      <c r="L95" s="396"/>
      <c r="M95" s="397"/>
      <c r="N95" s="433" t="str">
        <f>IF(Indice_index!$Z$1=1,"Pensão média nova Aposentação/Reforma (€)"," Average Value paid per new Retirment Pensioner")</f>
        <v>Pensão média nova Aposentação/Reforma (€)</v>
      </c>
      <c r="O95" s="433" t="str">
        <f>IF(Indice_index!$Z$1=1,"Pensão média nova Sobrevivência e Outras (€)"," Average Value paid per new Survival and Others Pensioner")</f>
        <v>Pensão média nova Sobrevivência e Outras (€)</v>
      </c>
    </row>
    <row r="96" spans="2:15" ht="16.350000000000001" customHeight="1">
      <c r="B96" s="433"/>
      <c r="C96" s="433"/>
      <c r="D96" s="433" t="str">
        <f>IF(Indice_index!$Z$1=1,"Novos","New")</f>
        <v>Novos</v>
      </c>
      <c r="E96" s="433"/>
      <c r="F96" s="433"/>
      <c r="G96" s="433"/>
      <c r="H96" s="433" t="str">
        <f>IF(Indice_index!$Z$1=1,"Abonos abatidos de Aposentação/Reforma","Allowances deducted from Retirement/Pension")</f>
        <v>Abonos abatidos de Aposentação/Reforma</v>
      </c>
      <c r="I96" s="395" t="str">
        <f>IF(Indice_index!$Z$1=1,"Novos","New")</f>
        <v>Novos</v>
      </c>
      <c r="J96" s="396"/>
      <c r="K96" s="396"/>
      <c r="L96" s="397"/>
      <c r="M96" s="433" t="str">
        <f>IF(Indice_index!$Z$1=1,"Abonos abatidos de Aposentação /Reforma","Allowances deducted from Retirement / Pension")</f>
        <v>Abonos abatidos de Aposentação /Reforma</v>
      </c>
      <c r="N96" s="433"/>
      <c r="O96" s="433"/>
    </row>
    <row r="97" spans="2:15" ht="36" customHeight="1">
      <c r="B97" s="433"/>
      <c r="C97" s="433"/>
      <c r="D97" s="169" t="str">
        <f>IF(Indice_index!$Z$1=1,"Velhice e Outros Motivos","Old age and other Reasons")</f>
        <v>Velhice e Outros Motivos</v>
      </c>
      <c r="E97" s="169" t="str">
        <f>IF(Indice_index!$Z$1=1,"Invalidez","Disability")</f>
        <v>Invalidez</v>
      </c>
      <c r="F97" s="169" t="str">
        <f>IF(Indice_index!$Z$1=1,"Sobrevivência e Outros","Survival and Others")</f>
        <v>Sobrevivência e Outros</v>
      </c>
      <c r="G97" s="169" t="str">
        <f>IF(Indice_index!$Z$1=1,"Total de Pensionistas","Total of Pensioners")</f>
        <v>Total de Pensionistas</v>
      </c>
      <c r="H97" s="433"/>
      <c r="I97" s="169" t="str">
        <f>IF(Indice_index!$Z$1=1,"Velhice e Outros Motivos","Old age and other Reasons")</f>
        <v>Velhice e Outros Motivos</v>
      </c>
      <c r="J97" s="169" t="str">
        <f>IF(Indice_index!$Z$1=1,"Invalidez","Disability")</f>
        <v>Invalidez</v>
      </c>
      <c r="K97" s="169" t="str">
        <f>IF(Indice_index!$Z$1=1,"Sobrevivência e Outros","Survival and Others")</f>
        <v>Sobrevivência e Outros</v>
      </c>
      <c r="L97" s="169" t="str">
        <f>IF(Indice_index!$Z$1=1,"Total","Total")</f>
        <v>Total</v>
      </c>
      <c r="M97" s="433"/>
      <c r="N97" s="433"/>
      <c r="O97" s="433"/>
    </row>
    <row r="98" spans="2:15" ht="14.1" hidden="1" customHeight="1">
      <c r="B98" s="357">
        <v>2020</v>
      </c>
      <c r="C98" s="357"/>
      <c r="D98" s="172"/>
      <c r="E98" s="186"/>
      <c r="F98" s="186"/>
      <c r="G98" s="186"/>
      <c r="I98" s="4"/>
      <c r="J98" s="186"/>
      <c r="L98" s="97"/>
      <c r="M98" s="97"/>
      <c r="N98" s="97"/>
      <c r="O98" s="97"/>
    </row>
    <row r="99" spans="2:15" ht="14.1" hidden="1" customHeight="1">
      <c r="B99" s="192"/>
      <c r="C99" s="188" t="str">
        <f>IF(Indice_index!$Z$1=1,"janeiro","January")</f>
        <v>janeiro</v>
      </c>
      <c r="D99" s="189">
        <v>1301</v>
      </c>
      <c r="E99" s="189">
        <v>101</v>
      </c>
      <c r="F99" s="189">
        <v>1606</v>
      </c>
      <c r="G99" s="189">
        <v>3008</v>
      </c>
      <c r="H99" s="189">
        <v>1254</v>
      </c>
      <c r="I99" s="4">
        <v>1406215.8599999999</v>
      </c>
      <c r="J99" s="4">
        <v>120721.40999999999</v>
      </c>
      <c r="K99" s="4">
        <v>1121634.8500000001</v>
      </c>
      <c r="L99" s="4">
        <v>2648572.12</v>
      </c>
      <c r="M99" s="4">
        <v>1181130.18</v>
      </c>
      <c r="N99" s="4">
        <v>1089.0999999999999</v>
      </c>
      <c r="O99" s="4">
        <v>698.4</v>
      </c>
    </row>
    <row r="100" spans="2:15" ht="14.1" hidden="1" customHeight="1">
      <c r="B100" s="192"/>
      <c r="C100" s="188" t="str">
        <f>IF(Indice_index!$Z$1=1,"fevereiro","February")</f>
        <v>fevereiro</v>
      </c>
      <c r="D100" s="189">
        <v>1156</v>
      </c>
      <c r="E100" s="189">
        <v>86</v>
      </c>
      <c r="F100" s="189">
        <v>784</v>
      </c>
      <c r="G100" s="189">
        <v>2026</v>
      </c>
      <c r="H100" s="189">
        <v>1433</v>
      </c>
      <c r="I100" s="4">
        <v>1256302.7600000002</v>
      </c>
      <c r="J100" s="4">
        <v>93955.06</v>
      </c>
      <c r="K100" s="4">
        <v>340075.64</v>
      </c>
      <c r="L100" s="4">
        <v>1690333.4600000004</v>
      </c>
      <c r="M100" s="4">
        <v>1470168.61</v>
      </c>
      <c r="N100" s="4">
        <v>1087.2</v>
      </c>
      <c r="O100" s="4">
        <v>433.8</v>
      </c>
    </row>
    <row r="101" spans="2:15" ht="14.1" hidden="1" customHeight="1">
      <c r="B101" s="192"/>
      <c r="C101" s="188" t="str">
        <f>IF(Indice_index!$Z$1=1,"março","March")</f>
        <v>março</v>
      </c>
      <c r="D101" s="189">
        <v>1124</v>
      </c>
      <c r="E101" s="189">
        <v>296</v>
      </c>
      <c r="F101" s="189">
        <v>885</v>
      </c>
      <c r="G101" s="189">
        <v>2305</v>
      </c>
      <c r="H101" s="189">
        <v>1405</v>
      </c>
      <c r="I101" s="4">
        <v>1455949.83</v>
      </c>
      <c r="J101" s="4">
        <v>284777.40000000002</v>
      </c>
      <c r="K101" s="4">
        <v>458761.12</v>
      </c>
      <c r="L101" s="4">
        <v>2199488.35</v>
      </c>
      <c r="M101" s="4">
        <v>1464110.3</v>
      </c>
      <c r="N101" s="4">
        <v>1225.9000000000001</v>
      </c>
      <c r="O101" s="4">
        <v>518.4</v>
      </c>
    </row>
    <row r="102" spans="2:15" ht="14.1" hidden="1" customHeight="1">
      <c r="B102" s="192"/>
      <c r="C102" s="188" t="str">
        <f>IF(Indice_index!$Z$1=1,"abril","April")</f>
        <v>abril</v>
      </c>
      <c r="D102" s="189">
        <v>1369</v>
      </c>
      <c r="E102" s="189">
        <v>110</v>
      </c>
      <c r="F102" s="189">
        <v>958</v>
      </c>
      <c r="G102" s="189">
        <v>2437</v>
      </c>
      <c r="H102" s="189">
        <v>1330</v>
      </c>
      <c r="I102" s="4">
        <v>1733658.78</v>
      </c>
      <c r="J102" s="4">
        <v>136607.13</v>
      </c>
      <c r="K102" s="4">
        <v>469100.58</v>
      </c>
      <c r="L102" s="4">
        <v>2339366.4900000002</v>
      </c>
      <c r="M102" s="4">
        <v>1389223.38</v>
      </c>
      <c r="N102" s="4">
        <v>1264.5</v>
      </c>
      <c r="O102" s="4">
        <v>489.7</v>
      </c>
    </row>
    <row r="103" spans="2:15" ht="14.1" hidden="1" customHeight="1">
      <c r="B103" s="192"/>
      <c r="C103" s="188" t="str">
        <f>IF(Indice_index!$Z$1=1,"maio","May")</f>
        <v>maio</v>
      </c>
      <c r="D103" s="189">
        <v>1531</v>
      </c>
      <c r="E103" s="189">
        <v>78</v>
      </c>
      <c r="F103" s="189">
        <v>981</v>
      </c>
      <c r="G103" s="189">
        <v>2590</v>
      </c>
      <c r="H103" s="189">
        <v>1371</v>
      </c>
      <c r="I103" s="4">
        <v>1984223.61</v>
      </c>
      <c r="J103" s="4">
        <v>92547.049999999988</v>
      </c>
      <c r="K103" s="4">
        <v>505983.3</v>
      </c>
      <c r="L103" s="4">
        <v>2582753.96</v>
      </c>
      <c r="M103" s="4">
        <v>1531210.28</v>
      </c>
      <c r="N103" s="4">
        <v>1290.7</v>
      </c>
      <c r="O103" s="4">
        <v>515.79999999999995</v>
      </c>
    </row>
    <row r="104" spans="2:15" ht="14.1" hidden="1" customHeight="1">
      <c r="B104" s="192"/>
      <c r="C104" s="188" t="str">
        <f>IF(Indice_index!$Z$1=1,"junho","June")</f>
        <v>junho</v>
      </c>
      <c r="D104" s="189">
        <v>1499</v>
      </c>
      <c r="E104" s="189">
        <v>89</v>
      </c>
      <c r="F104" s="189">
        <v>865</v>
      </c>
      <c r="G104" s="189">
        <v>2453</v>
      </c>
      <c r="H104" s="189">
        <v>1349</v>
      </c>
      <c r="I104" s="4">
        <v>1855493.75</v>
      </c>
      <c r="J104" s="4">
        <v>106652.79</v>
      </c>
      <c r="K104" s="4">
        <v>464286.68</v>
      </c>
      <c r="L104" s="4">
        <v>2426433.2200000002</v>
      </c>
      <c r="M104" s="4">
        <v>1540020.1</v>
      </c>
      <c r="N104" s="4">
        <v>1235.5999999999999</v>
      </c>
      <c r="O104" s="4">
        <v>536.70000000000005</v>
      </c>
    </row>
    <row r="105" spans="2:15" ht="14.1" hidden="1" customHeight="1">
      <c r="B105" s="192"/>
      <c r="C105" s="188" t="str">
        <f>IF(Indice_index!$Z$1=1,"julho","July")</f>
        <v>julho</v>
      </c>
      <c r="D105" s="189">
        <v>1452</v>
      </c>
      <c r="E105" s="189">
        <v>58</v>
      </c>
      <c r="F105" s="189">
        <v>929</v>
      </c>
      <c r="G105" s="189">
        <v>2439</v>
      </c>
      <c r="H105" s="189">
        <v>1105</v>
      </c>
      <c r="I105" s="4">
        <v>1944599.44</v>
      </c>
      <c r="J105" s="4">
        <v>67974.77</v>
      </c>
      <c r="K105" s="4">
        <v>541800.02</v>
      </c>
      <c r="L105" s="4">
        <v>2554374.23</v>
      </c>
      <c r="M105" s="4">
        <v>1241641.8799999999</v>
      </c>
      <c r="N105" s="4">
        <v>1332.8</v>
      </c>
      <c r="O105" s="4">
        <v>583.20000000000005</v>
      </c>
    </row>
    <row r="106" spans="2:15" ht="14.1" hidden="1" customHeight="1">
      <c r="B106" s="192"/>
      <c r="C106" s="188" t="str">
        <f>IF(Indice_index!$Z$1=1,"agosto","August")</f>
        <v>agosto</v>
      </c>
      <c r="D106" s="189">
        <v>1470</v>
      </c>
      <c r="E106" s="189">
        <v>36</v>
      </c>
      <c r="F106" s="189">
        <v>1000</v>
      </c>
      <c r="G106" s="189">
        <v>2506</v>
      </c>
      <c r="H106" s="189">
        <v>1168</v>
      </c>
      <c r="I106" s="4">
        <v>1875739.22</v>
      </c>
      <c r="J106" s="4">
        <v>36978.129999999997</v>
      </c>
      <c r="K106" s="4">
        <v>554835.69000000006</v>
      </c>
      <c r="L106" s="4">
        <v>2467553.04</v>
      </c>
      <c r="M106" s="4">
        <v>1282507.42</v>
      </c>
      <c r="N106" s="4">
        <v>1270.0999999999999</v>
      </c>
      <c r="O106" s="4">
        <v>554.79999999999995</v>
      </c>
    </row>
    <row r="107" spans="2:15" ht="14.1" hidden="1" customHeight="1">
      <c r="B107" s="192"/>
      <c r="C107" s="188" t="str">
        <f>IF(Indice_index!$Z$1=1,"setembro","September")</f>
        <v>setembro</v>
      </c>
      <c r="D107" s="189">
        <v>1318</v>
      </c>
      <c r="E107" s="189">
        <v>29</v>
      </c>
      <c r="F107" s="189">
        <v>773</v>
      </c>
      <c r="G107" s="189">
        <v>2120</v>
      </c>
      <c r="H107" s="189">
        <v>1265</v>
      </c>
      <c r="I107" s="4">
        <v>2047092.5899999999</v>
      </c>
      <c r="J107" s="4">
        <v>39101.64</v>
      </c>
      <c r="K107" s="4">
        <v>431175.01</v>
      </c>
      <c r="L107" s="4">
        <v>2517369.2399999998</v>
      </c>
      <c r="M107" s="4">
        <v>1390071.15</v>
      </c>
      <c r="N107" s="4">
        <v>1548.8</v>
      </c>
      <c r="O107" s="4">
        <v>557.79999999999995</v>
      </c>
    </row>
    <row r="108" spans="2:15" ht="14.1" hidden="1" customHeight="1">
      <c r="B108" s="192"/>
      <c r="C108" s="188" t="str">
        <f>IF(Indice_index!$Z$1=1,"outubro","October")</f>
        <v>outubro</v>
      </c>
      <c r="D108" s="189">
        <v>1206</v>
      </c>
      <c r="E108" s="189">
        <v>27</v>
      </c>
      <c r="F108" s="189">
        <v>773</v>
      </c>
      <c r="G108" s="189">
        <v>2006</v>
      </c>
      <c r="H108" s="189">
        <v>1151</v>
      </c>
      <c r="I108" s="4">
        <v>1774555.76</v>
      </c>
      <c r="J108" s="4">
        <v>41696.28</v>
      </c>
      <c r="K108" s="4">
        <v>424627.48</v>
      </c>
      <c r="L108" s="4">
        <v>2240879.52</v>
      </c>
      <c r="M108" s="4">
        <v>1317894.17</v>
      </c>
      <c r="N108" s="4">
        <v>1473</v>
      </c>
      <c r="O108" s="4">
        <v>549.29999999999995</v>
      </c>
    </row>
    <row r="109" spans="2:15" ht="14.1" hidden="1" customHeight="1">
      <c r="B109" s="192"/>
      <c r="C109" s="188" t="str">
        <f>IF(Indice_index!$Z$1=1,"novembro","November")</f>
        <v>novembro</v>
      </c>
      <c r="D109" s="189">
        <v>1111</v>
      </c>
      <c r="E109" s="189">
        <v>86</v>
      </c>
      <c r="F109" s="189">
        <v>871</v>
      </c>
      <c r="G109" s="189">
        <v>2068</v>
      </c>
      <c r="H109" s="189">
        <v>1162</v>
      </c>
      <c r="I109" s="4">
        <v>1770166.95</v>
      </c>
      <c r="J109" s="4">
        <v>101722.77</v>
      </c>
      <c r="K109" s="4">
        <v>447410.54</v>
      </c>
      <c r="L109" s="4">
        <v>2319300.2599999998</v>
      </c>
      <c r="M109" s="4">
        <v>1306216.53</v>
      </c>
      <c r="N109" s="4">
        <v>1563.8</v>
      </c>
      <c r="O109" s="4">
        <v>513.70000000000005</v>
      </c>
    </row>
    <row r="110" spans="2:15" ht="14.1" hidden="1" customHeight="1">
      <c r="B110" s="190"/>
      <c r="C110" s="188" t="str">
        <f>IF(Indice_index!$Z$1=1,"dezembro","December")</f>
        <v>dezembro</v>
      </c>
      <c r="D110" s="189">
        <v>1057</v>
      </c>
      <c r="E110" s="189">
        <v>106</v>
      </c>
      <c r="F110" s="189">
        <v>889</v>
      </c>
      <c r="G110" s="189">
        <v>2052</v>
      </c>
      <c r="H110" s="189">
        <v>1288</v>
      </c>
      <c r="I110" s="4">
        <v>1823991.91</v>
      </c>
      <c r="J110" s="4">
        <v>121644.84</v>
      </c>
      <c r="K110" s="4">
        <v>467474.39</v>
      </c>
      <c r="L110" s="4">
        <v>2413111.14</v>
      </c>
      <c r="M110" s="4">
        <v>1486433.23</v>
      </c>
      <c r="N110" s="4">
        <v>1672.9</v>
      </c>
      <c r="O110" s="4">
        <v>525.79999999999995</v>
      </c>
    </row>
    <row r="111" spans="2:15" ht="14.1" customHeight="1">
      <c r="B111" s="357" t="s">
        <v>13</v>
      </c>
      <c r="C111" s="357"/>
      <c r="D111" s="189"/>
      <c r="E111" s="189"/>
      <c r="F111" s="189"/>
      <c r="G111" s="189"/>
      <c r="H111" s="189"/>
      <c r="I111" s="4"/>
      <c r="J111" s="4"/>
      <c r="K111" s="4"/>
      <c r="L111" s="4"/>
      <c r="M111" s="4"/>
      <c r="N111" s="4"/>
      <c r="O111" s="4"/>
    </row>
    <row r="112" spans="2:15" ht="14.1" customHeight="1">
      <c r="B112" s="190"/>
      <c r="C112" s="188" t="str">
        <f>IF(Indice_index!$Z$1=1,"dezembro","December")</f>
        <v>dezembro</v>
      </c>
      <c r="D112" s="189">
        <v>1258</v>
      </c>
      <c r="E112" s="189">
        <v>86</v>
      </c>
      <c r="F112" s="189">
        <v>799</v>
      </c>
      <c r="G112" s="189">
        <v>2143</v>
      </c>
      <c r="H112" s="189">
        <v>1157</v>
      </c>
      <c r="I112" s="4">
        <v>1695800.9499999997</v>
      </c>
      <c r="J112" s="4">
        <v>99472.79</v>
      </c>
      <c r="K112" s="4">
        <v>423524.91</v>
      </c>
      <c r="L112" s="4">
        <v>2218798.65</v>
      </c>
      <c r="M112" s="4">
        <v>1390334.04</v>
      </c>
      <c r="N112" s="4">
        <v>1335.8</v>
      </c>
      <c r="O112" s="4">
        <v>530.1</v>
      </c>
    </row>
    <row r="113" spans="1:15" ht="14.1" customHeight="1">
      <c r="B113" s="357" t="s">
        <v>14</v>
      </c>
      <c r="C113" s="357"/>
      <c r="D113" s="189"/>
      <c r="E113" s="189"/>
      <c r="F113" s="189"/>
      <c r="G113" s="189"/>
      <c r="H113" s="189"/>
      <c r="I113" s="4"/>
      <c r="J113" s="4"/>
      <c r="K113" s="4"/>
      <c r="L113" s="4"/>
      <c r="M113" s="4"/>
      <c r="N113" s="4"/>
      <c r="O113" s="4"/>
    </row>
    <row r="114" spans="1:15" ht="14.1" customHeight="1">
      <c r="B114" s="190"/>
      <c r="C114" s="188" t="str">
        <f>IF(Indice_index!$Z$1=1,"dezembro","December")</f>
        <v>dezembro</v>
      </c>
      <c r="D114" s="189">
        <v>1573</v>
      </c>
      <c r="E114" s="189">
        <v>87</v>
      </c>
      <c r="F114" s="189">
        <v>902</v>
      </c>
      <c r="G114" s="189">
        <v>2562</v>
      </c>
      <c r="H114" s="189">
        <v>1251</v>
      </c>
      <c r="I114" s="4">
        <v>2484452.7599999998</v>
      </c>
      <c r="J114" s="4">
        <v>95869.8</v>
      </c>
      <c r="K114" s="4">
        <v>515297.80999999988</v>
      </c>
      <c r="L114" s="4">
        <v>3095620.3699999996</v>
      </c>
      <c r="M114" s="4">
        <v>1481113.01</v>
      </c>
      <c r="N114" s="4">
        <v>1554.4</v>
      </c>
      <c r="O114" s="4">
        <v>571.29999999999995</v>
      </c>
    </row>
    <row r="115" spans="1:15" ht="14.1" customHeight="1">
      <c r="B115" s="357">
        <v>2023</v>
      </c>
      <c r="C115" s="357"/>
      <c r="D115" s="189"/>
      <c r="E115" s="189"/>
      <c r="F115" s="189"/>
      <c r="G115" s="189"/>
      <c r="H115" s="189"/>
      <c r="I115" s="4"/>
      <c r="J115" s="4"/>
      <c r="K115" s="4"/>
      <c r="L115" s="4"/>
      <c r="M115" s="4"/>
      <c r="N115" s="4"/>
      <c r="O115" s="4"/>
    </row>
    <row r="116" spans="1:15" ht="14.1" customHeight="1">
      <c r="B116" s="192"/>
      <c r="C116" s="188" t="str">
        <f>IF(Indice_index!$Z$1=1,"dezembro","December")</f>
        <v>dezembro</v>
      </c>
      <c r="D116" s="189">
        <v>2694</v>
      </c>
      <c r="E116" s="189">
        <v>101</v>
      </c>
      <c r="F116" s="189">
        <v>1138</v>
      </c>
      <c r="G116" s="189">
        <v>3933</v>
      </c>
      <c r="H116" s="189">
        <v>1213</v>
      </c>
      <c r="I116" s="4">
        <v>4250855.01</v>
      </c>
      <c r="J116" s="4">
        <v>122365.64</v>
      </c>
      <c r="K116" s="4">
        <v>611297.77</v>
      </c>
      <c r="L116" s="4">
        <v>4984518.42</v>
      </c>
      <c r="M116" s="4">
        <v>1536841.26</v>
      </c>
      <c r="N116" s="4">
        <v>1564.7</v>
      </c>
      <c r="O116" s="4">
        <v>537.20000000000005</v>
      </c>
    </row>
    <row r="117" spans="1:15" ht="14.1" customHeight="1">
      <c r="B117" s="357">
        <v>2024</v>
      </c>
      <c r="C117" s="357"/>
      <c r="D117" s="189"/>
      <c r="E117" s="189"/>
      <c r="F117" s="189"/>
      <c r="G117" s="189"/>
      <c r="H117" s="189"/>
      <c r="I117" s="4"/>
      <c r="J117" s="4"/>
      <c r="K117" s="4"/>
      <c r="L117" s="4"/>
      <c r="M117" s="4"/>
      <c r="N117" s="4"/>
      <c r="O117" s="4"/>
    </row>
    <row r="118" spans="1:15" ht="13.5" customHeight="1">
      <c r="B118" s="192"/>
      <c r="C118" s="188" t="str">
        <f>IF(Indice_index!$Z$1=1,"dezembro","December")</f>
        <v>dezembro</v>
      </c>
      <c r="D118" s="189">
        <v>2553</v>
      </c>
      <c r="E118" s="189">
        <v>102</v>
      </c>
      <c r="F118" s="189">
        <v>997</v>
      </c>
      <c r="G118" s="189">
        <v>3652</v>
      </c>
      <c r="H118" s="189">
        <v>1289</v>
      </c>
      <c r="I118" s="4">
        <v>4499801.22</v>
      </c>
      <c r="J118" s="4">
        <v>120189.46</v>
      </c>
      <c r="K118" s="4">
        <v>487858.32</v>
      </c>
      <c r="L118" s="4">
        <v>5107849</v>
      </c>
      <c r="M118" s="4">
        <v>1730121.86</v>
      </c>
      <c r="N118" s="4">
        <v>1740.1</v>
      </c>
      <c r="O118" s="4">
        <v>489.3</v>
      </c>
    </row>
    <row r="119" spans="1:15" ht="14.1" customHeight="1">
      <c r="B119" s="357">
        <v>2025</v>
      </c>
      <c r="C119" s="357"/>
      <c r="D119" s="189"/>
      <c r="E119" s="189"/>
      <c r="F119" s="189"/>
      <c r="G119" s="189"/>
      <c r="H119" s="189"/>
      <c r="I119" s="4"/>
      <c r="J119" s="4"/>
      <c r="K119" s="4"/>
      <c r="L119" s="4"/>
      <c r="M119" s="4"/>
      <c r="N119" s="4"/>
      <c r="O119" s="4"/>
    </row>
    <row r="120" spans="1:15" ht="14.1" customHeight="1">
      <c r="B120" s="256"/>
      <c r="C120" s="188" t="str">
        <f>IF(Indice_index!$Z$1=1,"janeiro","January")</f>
        <v>janeiro</v>
      </c>
      <c r="D120" s="189">
        <v>1943</v>
      </c>
      <c r="E120" s="189">
        <v>76</v>
      </c>
      <c r="F120" s="189">
        <v>936</v>
      </c>
      <c r="G120" s="189">
        <v>2955</v>
      </c>
      <c r="H120" s="189">
        <v>1252</v>
      </c>
      <c r="I120" s="4">
        <v>3393823.9000000004</v>
      </c>
      <c r="J120" s="4">
        <v>84652.290000000008</v>
      </c>
      <c r="K120" s="4">
        <v>501955.26000000007</v>
      </c>
      <c r="L120" s="4">
        <v>3980431.4500000007</v>
      </c>
      <c r="M120" s="4">
        <v>1698994.53</v>
      </c>
      <c r="N120" s="4">
        <v>1722.9</v>
      </c>
      <c r="O120" s="4">
        <v>536.29999999999995</v>
      </c>
    </row>
    <row r="121" spans="1:15" ht="14.1" customHeight="1">
      <c r="B121" s="256"/>
      <c r="C121" s="188" t="str">
        <f>IF(Indice_index!$Z$1=1,"fevereiro","February")</f>
        <v>fevereiro</v>
      </c>
      <c r="D121" s="189">
        <v>1902</v>
      </c>
      <c r="E121" s="189">
        <v>75</v>
      </c>
      <c r="F121" s="189">
        <v>930</v>
      </c>
      <c r="G121" s="189">
        <v>2907</v>
      </c>
      <c r="H121" s="189">
        <v>1608</v>
      </c>
      <c r="I121" s="4">
        <v>3636123.71</v>
      </c>
      <c r="J121" s="4">
        <v>99462.41</v>
      </c>
      <c r="K121" s="4">
        <v>555255.77</v>
      </c>
      <c r="L121" s="4">
        <v>4290841.8900000006</v>
      </c>
      <c r="M121" s="4">
        <v>2217687.66</v>
      </c>
      <c r="N121" s="4">
        <v>1889.5</v>
      </c>
      <c r="O121" s="4">
        <v>597</v>
      </c>
    </row>
    <row r="122" spans="1:15" ht="14.1" customHeight="1">
      <c r="B122" s="256"/>
      <c r="C122" s="188" t="str">
        <f>IF(Indice_index!$Z$1=1,"março","March")</f>
        <v>março</v>
      </c>
      <c r="D122" s="189">
        <v>2059</v>
      </c>
      <c r="E122" s="189">
        <v>84</v>
      </c>
      <c r="F122" s="189">
        <v>990</v>
      </c>
      <c r="G122" s="189">
        <v>3133</v>
      </c>
      <c r="H122" s="189">
        <v>1662</v>
      </c>
      <c r="I122" s="4">
        <v>3748987.3</v>
      </c>
      <c r="J122" s="4">
        <v>109514.23000000001</v>
      </c>
      <c r="K122" s="4">
        <v>602802.45000000007</v>
      </c>
      <c r="L122" s="4">
        <v>4461303.9799999995</v>
      </c>
      <c r="M122" s="4">
        <v>2251904.17</v>
      </c>
      <c r="N122" s="4">
        <v>1800.5</v>
      </c>
      <c r="O122" s="4">
        <v>608.9</v>
      </c>
    </row>
    <row r="123" spans="1:15" ht="14.1" customHeight="1">
      <c r="B123" s="256"/>
      <c r="C123" s="188" t="str">
        <f>IF(Indice_index!$Z$1=1,"abril","April")</f>
        <v>abril</v>
      </c>
      <c r="D123" s="189">
        <v>1814</v>
      </c>
      <c r="E123" s="189">
        <v>68</v>
      </c>
      <c r="F123" s="189">
        <v>946</v>
      </c>
      <c r="G123" s="189">
        <v>2828</v>
      </c>
      <c r="H123" s="189">
        <v>1334</v>
      </c>
      <c r="I123" s="4">
        <v>3216077.3999999994</v>
      </c>
      <c r="J123" s="4">
        <v>84057.78</v>
      </c>
      <c r="K123" s="4">
        <v>581082.86</v>
      </c>
      <c r="L123" s="4">
        <v>3881218.0399999991</v>
      </c>
      <c r="M123" s="4">
        <v>1779102.7999999996</v>
      </c>
      <c r="N123" s="4">
        <v>1753.5</v>
      </c>
      <c r="O123" s="4">
        <v>614.29999999999995</v>
      </c>
    </row>
    <row r="124" spans="1:15" ht="14.1" customHeight="1">
      <c r="B124" s="256"/>
      <c r="C124" s="188" t="str">
        <f>IF(Indice_index!$Z$1=1,"maio","May")</f>
        <v>maio</v>
      </c>
      <c r="D124" s="189">
        <v>1547</v>
      </c>
      <c r="E124" s="189">
        <v>81</v>
      </c>
      <c r="F124" s="189">
        <v>878</v>
      </c>
      <c r="G124" s="189">
        <v>2506</v>
      </c>
      <c r="H124" s="189">
        <v>1359</v>
      </c>
      <c r="I124" s="4">
        <v>2645362.9499999997</v>
      </c>
      <c r="J124" s="4">
        <v>102088.96000000001</v>
      </c>
      <c r="K124" s="4">
        <v>527554.03</v>
      </c>
      <c r="L124" s="4">
        <v>3275005.9399999995</v>
      </c>
      <c r="M124" s="4">
        <v>1780045.73</v>
      </c>
      <c r="N124" s="4">
        <v>1687.6</v>
      </c>
      <c r="O124" s="4">
        <v>600.9</v>
      </c>
    </row>
    <row r="125" spans="1:15" ht="14.1" customHeight="1">
      <c r="B125" s="256"/>
      <c r="C125" s="188" t="str">
        <f>IF(Indice_index!$Z$1=1,"junho","June")</f>
        <v>junho</v>
      </c>
      <c r="D125" s="189">
        <v>1544</v>
      </c>
      <c r="E125" s="189">
        <v>89</v>
      </c>
      <c r="F125" s="189">
        <v>921</v>
      </c>
      <c r="G125" s="189">
        <v>2554</v>
      </c>
      <c r="H125" s="189">
        <v>1440</v>
      </c>
      <c r="I125" s="4">
        <v>2431508.25</v>
      </c>
      <c r="J125" s="4">
        <v>102718.83</v>
      </c>
      <c r="K125" s="4">
        <v>563952.35999999987</v>
      </c>
      <c r="L125" s="4">
        <v>3098179.44</v>
      </c>
      <c r="M125" s="4">
        <v>2016109.28</v>
      </c>
      <c r="N125" s="4">
        <v>1551.9</v>
      </c>
      <c r="O125" s="4">
        <v>612.29999999999995</v>
      </c>
    </row>
    <row r="126" spans="1:15" ht="14.1" customHeight="1">
      <c r="B126" s="256"/>
      <c r="C126" s="188" t="str">
        <f>IF(Indice_index!$Z$1=1,"julho","July")</f>
        <v>julho</v>
      </c>
      <c r="D126" s="189">
        <v>1384</v>
      </c>
      <c r="E126" s="189">
        <v>65</v>
      </c>
      <c r="F126" s="189">
        <v>835</v>
      </c>
      <c r="G126" s="189">
        <v>2284</v>
      </c>
      <c r="H126" s="189">
        <v>1211</v>
      </c>
      <c r="I126" s="4">
        <v>2364002.5999999996</v>
      </c>
      <c r="J126" s="4">
        <v>97555.64</v>
      </c>
      <c r="K126" s="4">
        <v>548343.25999999989</v>
      </c>
      <c r="L126" s="4">
        <v>3009901.4999999995</v>
      </c>
      <c r="M126" s="4">
        <v>1649987.62</v>
      </c>
      <c r="N126" s="4">
        <v>1698.8</v>
      </c>
      <c r="O126" s="4">
        <v>656.7</v>
      </c>
    </row>
    <row r="127" spans="1:15" ht="14.1" customHeight="1">
      <c r="A127" s="112"/>
      <c r="B127" s="256"/>
      <c r="C127" s="188" t="str">
        <f>IF(Indice_index!$Z$1=1,"agosto","August")</f>
        <v>agosto</v>
      </c>
      <c r="D127" s="189">
        <v>1431</v>
      </c>
      <c r="E127" s="189">
        <v>75</v>
      </c>
      <c r="F127" s="189">
        <v>952</v>
      </c>
      <c r="G127" s="189">
        <v>2458</v>
      </c>
      <c r="H127" s="189">
        <v>1280</v>
      </c>
      <c r="I127" s="4">
        <v>2549947.62</v>
      </c>
      <c r="J127" s="4">
        <v>110925.34</v>
      </c>
      <c r="K127" s="4">
        <v>533143.66</v>
      </c>
      <c r="L127" s="4">
        <v>3194016.62</v>
      </c>
      <c r="M127" s="4">
        <v>1840204.97</v>
      </c>
      <c r="N127" s="4">
        <v>1766.8</v>
      </c>
      <c r="O127" s="4">
        <v>560</v>
      </c>
    </row>
    <row r="128" spans="1:15" ht="14.1" customHeight="1">
      <c r="A128" s="112"/>
      <c r="B128" s="256"/>
      <c r="C128" s="188" t="str">
        <f>IF(Indice_index!$Z$1=1,"setembro","September")</f>
        <v>setembro</v>
      </c>
      <c r="D128" s="189">
        <v>1723</v>
      </c>
      <c r="E128" s="189">
        <v>107</v>
      </c>
      <c r="F128" s="189">
        <v>894</v>
      </c>
      <c r="G128" s="189">
        <v>2724</v>
      </c>
      <c r="H128" s="189">
        <v>1213</v>
      </c>
      <c r="I128" s="4">
        <v>3224868.5900000003</v>
      </c>
      <c r="J128" s="4">
        <v>169294.86000000002</v>
      </c>
      <c r="K128" s="4">
        <v>541493.51</v>
      </c>
      <c r="L128" s="4">
        <v>3935656.96</v>
      </c>
      <c r="M128" s="4">
        <v>1726820.99</v>
      </c>
      <c r="N128" s="4">
        <v>1854.7</v>
      </c>
      <c r="O128" s="4">
        <v>605.70000000000005</v>
      </c>
    </row>
    <row r="129" spans="1:15" ht="14.1" customHeight="1">
      <c r="A129" s="112"/>
      <c r="B129" s="192"/>
      <c r="C129" s="188" t="str">
        <f>IF(Indice_index!$Z$1=1,"outubro","October")</f>
        <v>outubro</v>
      </c>
      <c r="D129" s="189">
        <v>1632</v>
      </c>
      <c r="E129" s="189">
        <v>86</v>
      </c>
      <c r="F129" s="189">
        <v>790</v>
      </c>
      <c r="G129" s="189">
        <v>2508</v>
      </c>
      <c r="H129" s="189">
        <v>1349</v>
      </c>
      <c r="I129" s="4">
        <v>3003802.05</v>
      </c>
      <c r="J129" s="4">
        <v>128582.06999999999</v>
      </c>
      <c r="K129" s="4">
        <v>494819.46999999991</v>
      </c>
      <c r="L129" s="4">
        <v>3627203.5899999994</v>
      </c>
      <c r="M129" s="4">
        <v>1808969.79</v>
      </c>
      <c r="N129" s="4">
        <v>1823.3</v>
      </c>
      <c r="O129" s="4">
        <v>626.4</v>
      </c>
    </row>
    <row r="130" spans="1:15" ht="14.1" customHeight="1">
      <c r="A130" s="112"/>
      <c r="B130" s="192"/>
      <c r="C130" s="188" t="str">
        <f>IF(Indice_index!$Z$1=1,"novembro","November")</f>
        <v>novembro</v>
      </c>
      <c r="D130" s="189">
        <v>1885</v>
      </c>
      <c r="E130" s="189">
        <v>68</v>
      </c>
      <c r="F130" s="189">
        <v>1203</v>
      </c>
      <c r="G130" s="189">
        <v>3156</v>
      </c>
      <c r="H130" s="189">
        <v>1331</v>
      </c>
      <c r="I130" s="4">
        <v>3342551.4800000004</v>
      </c>
      <c r="J130" s="4">
        <v>88228.96</v>
      </c>
      <c r="K130" s="4">
        <v>695334.47</v>
      </c>
      <c r="L130" s="4">
        <v>4126114.91</v>
      </c>
      <c r="M130" s="4">
        <v>1929526.26</v>
      </c>
      <c r="N130" s="4">
        <v>1756.7</v>
      </c>
      <c r="O130" s="4">
        <v>578</v>
      </c>
    </row>
    <row r="131" spans="1:15" ht="14.1" customHeight="1">
      <c r="A131" s="112"/>
      <c r="B131" s="192"/>
      <c r="C131" s="188" t="str">
        <f>IF(Indice_index!$Z$1=1,"dezembro","December")</f>
        <v>dezembro</v>
      </c>
      <c r="D131" s="189">
        <v>1936</v>
      </c>
      <c r="E131" s="189">
        <v>95</v>
      </c>
      <c r="F131" s="189">
        <v>932</v>
      </c>
      <c r="G131" s="189">
        <v>2963</v>
      </c>
      <c r="H131" s="189">
        <v>1206</v>
      </c>
      <c r="I131" s="4">
        <v>3429137.5300000003</v>
      </c>
      <c r="J131" s="4">
        <v>149403.31999999998</v>
      </c>
      <c r="K131" s="4">
        <v>465762.97000000009</v>
      </c>
      <c r="L131" s="4">
        <v>4044303.8200000003</v>
      </c>
      <c r="M131" s="4">
        <v>1730001.05</v>
      </c>
      <c r="N131" s="4">
        <v>1762</v>
      </c>
      <c r="O131" s="4">
        <v>499.7</v>
      </c>
    </row>
    <row r="132" spans="1:15" ht="14.1" customHeight="1">
      <c r="B132" s="357">
        <v>2026</v>
      </c>
      <c r="C132" s="357"/>
      <c r="D132" s="189"/>
      <c r="E132" s="189"/>
      <c r="F132" s="189"/>
      <c r="G132" s="189"/>
      <c r="H132" s="189"/>
      <c r="I132" s="4"/>
      <c r="J132" s="4"/>
      <c r="K132" s="4"/>
      <c r="L132" s="4"/>
      <c r="M132" s="4"/>
      <c r="N132" s="4"/>
      <c r="O132" s="4"/>
    </row>
    <row r="133" spans="1:15" ht="13.5" customHeight="1">
      <c r="B133" s="192"/>
      <c r="C133" s="188" t="str">
        <f>IF(Indice_index!$Z$1=1,"janeiro","January")</f>
        <v>janeiro</v>
      </c>
      <c r="D133" s="189">
        <v>1613</v>
      </c>
      <c r="E133" s="189">
        <v>79</v>
      </c>
      <c r="F133" s="189">
        <v>870</v>
      </c>
      <c r="G133" s="189">
        <v>2562</v>
      </c>
      <c r="H133" s="189">
        <v>1264</v>
      </c>
      <c r="I133" s="4">
        <v>2863464.54</v>
      </c>
      <c r="J133" s="4">
        <v>103185.45999999999</v>
      </c>
      <c r="K133" s="4">
        <v>530828.40999999992</v>
      </c>
      <c r="L133" s="4">
        <v>3497478.41</v>
      </c>
      <c r="M133" s="4">
        <v>1873571.25</v>
      </c>
      <c r="N133" s="4">
        <v>1753.3</v>
      </c>
      <c r="O133" s="4">
        <v>610.1</v>
      </c>
    </row>
    <row r="134" spans="1:15" ht="13.5" customHeight="1">
      <c r="B134" s="192"/>
      <c r="C134" s="188" t="str">
        <f>IF(Indice_index!$Z$1=1,"fevereiro","February")</f>
        <v>fevereiro</v>
      </c>
      <c r="D134" s="189">
        <v>1497</v>
      </c>
      <c r="E134" s="189">
        <v>90</v>
      </c>
      <c r="F134" s="189">
        <v>2854</v>
      </c>
      <c r="G134" s="189">
        <v>4441</v>
      </c>
      <c r="H134" s="189">
        <v>1850</v>
      </c>
      <c r="I134" s="4">
        <v>2667689.5</v>
      </c>
      <c r="J134" s="4">
        <v>120889.62</v>
      </c>
      <c r="K134" s="4">
        <v>873836.09</v>
      </c>
      <c r="L134" s="4">
        <v>3662415.21</v>
      </c>
      <c r="M134" s="4">
        <v>2719782.3</v>
      </c>
      <c r="N134" s="4">
        <v>1757.1</v>
      </c>
      <c r="O134" s="4">
        <v>306.2</v>
      </c>
    </row>
    <row r="135" spans="1:15" ht="4.3499999999999996" customHeight="1">
      <c r="A135" s="112"/>
      <c r="B135" s="268"/>
      <c r="C135" s="269"/>
      <c r="D135" s="270"/>
      <c r="E135" s="270"/>
      <c r="F135" s="270"/>
      <c r="G135" s="270"/>
      <c r="H135" s="270"/>
      <c r="I135" s="270"/>
      <c r="J135" s="270"/>
      <c r="K135" s="270"/>
      <c r="L135" s="270"/>
      <c r="M135" s="270"/>
      <c r="N135" s="270"/>
      <c r="O135" s="270"/>
    </row>
    <row r="136" spans="1:15" ht="14.1" customHeight="1">
      <c r="B136" s="257"/>
      <c r="C136" s="257"/>
      <c r="D136" s="257"/>
      <c r="E136" s="257"/>
      <c r="F136" s="257"/>
      <c r="G136" s="257"/>
      <c r="H136" s="257"/>
      <c r="I136" s="257"/>
      <c r="J136" s="257"/>
      <c r="K136" s="257"/>
      <c r="L136" s="257"/>
      <c r="M136" s="257"/>
      <c r="N136" s="257"/>
      <c r="O136" s="257"/>
    </row>
    <row r="137" spans="1:15" ht="16.350000000000001" customHeight="1">
      <c r="B137" s="433"/>
      <c r="C137" s="433"/>
      <c r="D137" s="433" t="str">
        <f>IF(Indice_index!$Z$1=1,"VH do número de pensionistas (%)","YOY Change Rate of the number of subscribers (%)")</f>
        <v>VH do número de pensionistas (%)</v>
      </c>
      <c r="E137" s="433"/>
      <c r="F137" s="433"/>
      <c r="G137" s="433"/>
      <c r="H137" s="433"/>
      <c r="I137" s="395" t="str">
        <f>IF(Indice_index!$Z$1=1,"VHA da Despesa com pensões (€)","YOY Change Rate of the Expense with Pensions")</f>
        <v>VHA da Despesa com pensões (€)</v>
      </c>
      <c r="J137" s="396"/>
      <c r="K137" s="396"/>
      <c r="L137" s="396"/>
      <c r="M137" s="397"/>
      <c r="N137" s="433" t="str">
        <f>IF(Indice_index!$Z$1=1,"VHA Pensão média nova Aposentação/Reforma (€)","YOY Change Rate of the Average Value paid per new Retirment Pensioner")</f>
        <v>VHA Pensão média nova Aposentação/Reforma (€)</v>
      </c>
      <c r="O137" s="433" t="str">
        <f>IF(Indice_index!$Z$1=1,"VHA Pensão média nova Sobrevivência e Outras (€)","YOY Change Rate of the Average Value paid per new Survival and Others Pensioner")</f>
        <v>VHA Pensão média nova Sobrevivência e Outras (€)</v>
      </c>
    </row>
    <row r="138" spans="1:15" ht="16.350000000000001" customHeight="1">
      <c r="B138" s="433"/>
      <c r="C138" s="433"/>
      <c r="D138" s="433" t="str">
        <f>IF(Indice_index!$Z$1=1,"Novos","New")</f>
        <v>Novos</v>
      </c>
      <c r="E138" s="433"/>
      <c r="F138" s="433"/>
      <c r="G138" s="433"/>
      <c r="H138" s="433" t="str">
        <f>IF(Indice_index!$Z$1=1,"Abonos abatidos de Aposentação/Reforma","Allowances deducted from Retirement/Pension")</f>
        <v>Abonos abatidos de Aposentação/Reforma</v>
      </c>
      <c r="I138" s="395" t="str">
        <f>IF(Indice_index!$Z$1=1,"Novos","New")</f>
        <v>Novos</v>
      </c>
      <c r="J138" s="396"/>
      <c r="K138" s="396"/>
      <c r="L138" s="397"/>
      <c r="M138" s="433" t="str">
        <f>IF(Indice_index!$Z$1=1,"Abonos abatidos de Aposentação /Reforma","Allowances deducted from Retirement / Pension")</f>
        <v>Abonos abatidos de Aposentação /Reforma</v>
      </c>
      <c r="N138" s="433"/>
      <c r="O138" s="433"/>
    </row>
    <row r="139" spans="1:15" ht="36" customHeight="1">
      <c r="B139" s="433"/>
      <c r="C139" s="433"/>
      <c r="D139" s="169" t="str">
        <f>IF(Indice_index!$Z$1=1,"Velhice e Outros Motivos","Old age and other Reasons")</f>
        <v>Velhice e Outros Motivos</v>
      </c>
      <c r="E139" s="169" t="str">
        <f>IF(Indice_index!$Z$1=1,"Invalidez","Disability")</f>
        <v>Invalidez</v>
      </c>
      <c r="F139" s="169" t="str">
        <f>IF(Indice_index!$Z$1=1,"Sobrevivência e Outros","Survival and Others")</f>
        <v>Sobrevivência e Outros</v>
      </c>
      <c r="G139" s="169" t="str">
        <f>IF(Indice_index!$Z$1=1,"Total de Pensionistas","Total of Pensioners")</f>
        <v>Total de Pensionistas</v>
      </c>
      <c r="H139" s="433"/>
      <c r="I139" s="169" t="str">
        <f>IF(Indice_index!$Z$1=1,"Velhice e Outros Motivos","Old age and other Reasons")</f>
        <v>Velhice e Outros Motivos</v>
      </c>
      <c r="J139" s="169" t="str">
        <f>IF(Indice_index!$Z$1=1,"Invalidez","Disability")</f>
        <v>Invalidez</v>
      </c>
      <c r="K139" s="169" t="str">
        <f>IF(Indice_index!$Z$1=1,"Sobrevivência e Outros","Survival and Others")</f>
        <v>Sobrevivência e Outros</v>
      </c>
      <c r="L139" s="169" t="str">
        <f>IF(Indice_index!$Z$1=1,"Total","Total")</f>
        <v>Total</v>
      </c>
      <c r="M139" s="433"/>
      <c r="N139" s="433"/>
      <c r="O139" s="433"/>
    </row>
    <row r="140" spans="1:15" ht="14.1" customHeight="1">
      <c r="B140" s="357" t="s">
        <v>13</v>
      </c>
      <c r="C140" s="357"/>
      <c r="D140" s="189"/>
      <c r="E140" s="189"/>
      <c r="F140" s="189"/>
      <c r="G140" s="189"/>
      <c r="H140" s="4"/>
      <c r="I140" s="4"/>
      <c r="J140" s="4"/>
      <c r="K140" s="4"/>
      <c r="L140" s="4"/>
      <c r="M140" s="4"/>
      <c r="N140" s="4"/>
      <c r="O140" s="4"/>
    </row>
    <row r="141" spans="1:15" ht="14.1" customHeight="1">
      <c r="B141" s="187"/>
      <c r="C141" s="188" t="str">
        <f>IF(Indice_index!$Z$1=1,"dezembro","December")</f>
        <v>dezembro</v>
      </c>
      <c r="D141" s="189">
        <v>19.01608325449385</v>
      </c>
      <c r="E141" s="189">
        <v>-18.867924528301888</v>
      </c>
      <c r="F141" s="189">
        <v>-10.123734533183352</v>
      </c>
      <c r="G141" s="189">
        <v>4.4346978557504872</v>
      </c>
      <c r="H141" s="4">
        <v>-10.170807453416149</v>
      </c>
      <c r="I141" s="4">
        <v>-7.0280443294290809</v>
      </c>
      <c r="J141" s="4">
        <v>-18.226872590732171</v>
      </c>
      <c r="K141" s="4">
        <v>-9.4014733085164384</v>
      </c>
      <c r="L141" s="4">
        <v>-8.052363887392282</v>
      </c>
      <c r="M141" s="4">
        <v>-6.4650862252319223</v>
      </c>
      <c r="N141" s="4">
        <v>-20.150636619044779</v>
      </c>
      <c r="O141" s="4">
        <v>0.81780144541652111</v>
      </c>
    </row>
    <row r="142" spans="1:15" ht="14.1" customHeight="1">
      <c r="B142" s="357" t="s">
        <v>14</v>
      </c>
      <c r="C142" s="357"/>
      <c r="D142" s="189"/>
      <c r="E142" s="189"/>
      <c r="F142" s="189"/>
      <c r="G142" s="189"/>
      <c r="H142" s="4"/>
      <c r="I142" s="4"/>
      <c r="J142" s="4"/>
      <c r="K142" s="4"/>
      <c r="L142" s="4"/>
      <c r="M142" s="4"/>
      <c r="N142" s="4"/>
      <c r="O142" s="4"/>
    </row>
    <row r="143" spans="1:15" ht="14.1" customHeight="1">
      <c r="B143" s="187"/>
      <c r="C143" s="188" t="str">
        <f>IF(Indice_index!$Z$1=1,"dezembro","December")</f>
        <v>dezembro</v>
      </c>
      <c r="D143" s="189">
        <v>25.039745627980921</v>
      </c>
      <c r="E143" s="189">
        <v>1.1627906976744187</v>
      </c>
      <c r="F143" s="189">
        <v>12.891113892365457</v>
      </c>
      <c r="G143" s="189">
        <v>19.552029864675688</v>
      </c>
      <c r="H143" s="4">
        <v>8.124459809853068</v>
      </c>
      <c r="I143" s="4">
        <v>46.50615451064585</v>
      </c>
      <c r="J143" s="4">
        <v>-3.622085999598474</v>
      </c>
      <c r="K143" s="4">
        <v>21.668831710512588</v>
      </c>
      <c r="L143" s="4">
        <v>39.517858909820404</v>
      </c>
      <c r="M143" s="4">
        <v>6.5292920541598747</v>
      </c>
      <c r="N143" s="4">
        <v>16.364725258272209</v>
      </c>
      <c r="O143" s="4">
        <v>7.7721184682135318</v>
      </c>
    </row>
    <row r="144" spans="1:15" ht="14.1" customHeight="1">
      <c r="B144" s="357">
        <v>2023</v>
      </c>
      <c r="C144" s="357"/>
      <c r="D144" s="189"/>
      <c r="E144" s="189"/>
      <c r="F144" s="189"/>
      <c r="G144" s="189"/>
      <c r="H144" s="4"/>
      <c r="I144" s="4"/>
      <c r="J144" s="4"/>
      <c r="K144" s="4"/>
      <c r="L144" s="4"/>
      <c r="M144" s="4"/>
      <c r="N144" s="4"/>
      <c r="O144" s="4"/>
    </row>
    <row r="145" spans="1:15" ht="14.1" customHeight="1">
      <c r="B145" s="187"/>
      <c r="C145" s="188" t="str">
        <f>IF(Indice_index!$Z$1=1,"dezembro","December")</f>
        <v>dezembro</v>
      </c>
      <c r="D145" s="189">
        <v>71.265098537825807</v>
      </c>
      <c r="E145" s="189">
        <v>16.091954022988507</v>
      </c>
      <c r="F145" s="189">
        <v>26.164079822616408</v>
      </c>
      <c r="G145" s="189">
        <v>53.512880562060893</v>
      </c>
      <c r="H145" s="4">
        <v>-3.0375699440447641</v>
      </c>
      <c r="I145" s="4">
        <v>71.098242576365195</v>
      </c>
      <c r="J145" s="4">
        <v>27.637316443760181</v>
      </c>
      <c r="K145" s="4">
        <v>18.629995730042044</v>
      </c>
      <c r="L145" s="4">
        <v>61.018400974018675</v>
      </c>
      <c r="M145" s="4">
        <v>3.7625927004719242</v>
      </c>
      <c r="N145" s="4">
        <v>0.66263510036026463</v>
      </c>
      <c r="O145" s="4">
        <v>-5.9688429896726607</v>
      </c>
    </row>
    <row r="146" spans="1:15" ht="14.1" customHeight="1">
      <c r="B146" s="357">
        <v>2024</v>
      </c>
      <c r="C146" s="357"/>
      <c r="D146" s="189"/>
      <c r="E146" s="189"/>
      <c r="F146" s="189"/>
      <c r="G146" s="189"/>
      <c r="H146" s="4"/>
      <c r="I146" s="4"/>
      <c r="J146" s="4"/>
      <c r="K146" s="4"/>
      <c r="L146" s="4"/>
      <c r="M146" s="4"/>
      <c r="N146" s="4"/>
      <c r="O146" s="4"/>
    </row>
    <row r="147" spans="1:15" ht="14.1" customHeight="1">
      <c r="B147" s="187"/>
      <c r="C147" s="188" t="str">
        <f>IF(Indice_index!$Z$1=1,"dezembro","December")</f>
        <v>dezembro</v>
      </c>
      <c r="D147" s="189">
        <v>-5.2</v>
      </c>
      <c r="E147" s="189">
        <v>1</v>
      </c>
      <c r="F147" s="189">
        <v>-12.4</v>
      </c>
      <c r="G147" s="189">
        <v>-7.1</v>
      </c>
      <c r="H147" s="4">
        <v>6.3</v>
      </c>
      <c r="I147" s="4">
        <v>5.9</v>
      </c>
      <c r="J147" s="4">
        <v>-1.8</v>
      </c>
      <c r="K147" s="4">
        <v>-20.2</v>
      </c>
      <c r="L147" s="4">
        <v>2.5</v>
      </c>
      <c r="M147" s="4">
        <v>12.6</v>
      </c>
      <c r="N147" s="4">
        <v>11.2</v>
      </c>
      <c r="O147" s="4">
        <v>-8.9</v>
      </c>
    </row>
    <row r="148" spans="1:15" ht="14.1" customHeight="1">
      <c r="B148" s="357">
        <v>2025</v>
      </c>
      <c r="C148" s="357"/>
      <c r="D148" s="189"/>
      <c r="E148" s="189"/>
      <c r="F148" s="189"/>
      <c r="G148" s="189"/>
      <c r="H148" s="4"/>
      <c r="I148" s="4"/>
      <c r="J148" s="4"/>
      <c r="K148" s="4"/>
      <c r="L148" s="4"/>
      <c r="M148" s="4"/>
      <c r="N148" s="4"/>
      <c r="O148" s="4"/>
    </row>
    <row r="149" spans="1:15" ht="14.1" customHeight="1">
      <c r="B149" s="256"/>
      <c r="C149" s="188" t="str">
        <f>IF(Indice_index!$Z$1=1,"janeiro","January")</f>
        <v>janeiro</v>
      </c>
      <c r="D149" s="189">
        <v>-2.6065162907268169</v>
      </c>
      <c r="E149" s="189">
        <v>-25.490196078431371</v>
      </c>
      <c r="F149" s="189">
        <v>7.4626865671641784</v>
      </c>
      <c r="G149" s="189">
        <v>-0.43800539083557954</v>
      </c>
      <c r="H149" s="4">
        <v>0.80515297906602246</v>
      </c>
      <c r="I149" s="4">
        <v>-7.0273154469937298</v>
      </c>
      <c r="J149" s="4">
        <v>-24.208169144525431</v>
      </c>
      <c r="K149" s="4">
        <v>1.6609147519125043</v>
      </c>
      <c r="L149" s="4">
        <v>-6.4702124137414208</v>
      </c>
      <c r="M149" s="4">
        <v>8.3485581403837958</v>
      </c>
      <c r="N149" s="4">
        <v>-3.963210702341132</v>
      </c>
      <c r="O149" s="4">
        <v>-5.3977773857823292</v>
      </c>
    </row>
    <row r="150" spans="1:15" ht="14.1" customHeight="1">
      <c r="B150" s="256"/>
      <c r="C150" s="188" t="str">
        <f>IF(Indice_index!$Z$1=1,"fevereiro","February")</f>
        <v>fevereiro</v>
      </c>
      <c r="D150" s="189">
        <v>27.394507702612191</v>
      </c>
      <c r="E150" s="189">
        <v>19.047619047619047</v>
      </c>
      <c r="F150" s="189">
        <v>28.9875173370319</v>
      </c>
      <c r="G150" s="189">
        <v>27.66798418972332</v>
      </c>
      <c r="H150" s="4">
        <v>-1.2285012285012284</v>
      </c>
      <c r="I150" s="4">
        <v>37.122070387741665</v>
      </c>
      <c r="J150" s="4">
        <v>27.349082957735639</v>
      </c>
      <c r="K150" s="4">
        <v>17.25153475437692</v>
      </c>
      <c r="L150" s="4">
        <v>33.946332023455824</v>
      </c>
      <c r="M150" s="4">
        <v>6.5688778884407686</v>
      </c>
      <c r="N150" s="4">
        <v>7.7006383948928354</v>
      </c>
      <c r="O150" s="4">
        <v>-9.1047503045066929</v>
      </c>
    </row>
    <row r="151" spans="1:15" ht="14.1" customHeight="1">
      <c r="B151" s="256"/>
      <c r="C151" s="188" t="str">
        <f>IF(Indice_index!$Z$1=1,"março","March")</f>
        <v>março</v>
      </c>
      <c r="D151" s="189">
        <v>46.966452533904352</v>
      </c>
      <c r="E151" s="189">
        <v>33.333333333333329</v>
      </c>
      <c r="F151" s="189">
        <v>17.298578199052134</v>
      </c>
      <c r="G151" s="189">
        <v>35.745233968804158</v>
      </c>
      <c r="H151" s="4">
        <v>-1.8890200708382525</v>
      </c>
      <c r="I151" s="4">
        <v>56.581890045627439</v>
      </c>
      <c r="J151" s="4">
        <v>33.75778915745132</v>
      </c>
      <c r="K151" s="4">
        <v>18.172775973086512</v>
      </c>
      <c r="L151" s="4">
        <v>49.395164773363504</v>
      </c>
      <c r="M151" s="4">
        <v>0.74781007352754469</v>
      </c>
      <c r="N151" s="4">
        <v>6.4502778763154733</v>
      </c>
      <c r="O151" s="4">
        <v>0.74454003970880223</v>
      </c>
    </row>
    <row r="152" spans="1:15" ht="14.1" customHeight="1">
      <c r="B152" s="256"/>
      <c r="C152" s="188" t="str">
        <f>IF(Indice_index!$Z$1=1,"abril","April")</f>
        <v>abril</v>
      </c>
      <c r="D152" s="189">
        <v>28.83522727272727</v>
      </c>
      <c r="E152" s="189">
        <v>-32.673267326732677</v>
      </c>
      <c r="F152" s="189">
        <v>-16.431095406360424</v>
      </c>
      <c r="G152" s="189">
        <v>7.0806512684589169</v>
      </c>
      <c r="H152" s="4">
        <v>8.0161943319838063</v>
      </c>
      <c r="I152" s="4">
        <v>42.662591683516638</v>
      </c>
      <c r="J152" s="4">
        <v>-30.367249973015149</v>
      </c>
      <c r="K152" s="4">
        <v>-9.4575592110649325</v>
      </c>
      <c r="L152" s="4">
        <v>28.652636796990322</v>
      </c>
      <c r="M152" s="4">
        <v>9.5292683741430189</v>
      </c>
      <c r="N152" s="4">
        <v>11.411144291251025</v>
      </c>
      <c r="O152" s="4">
        <v>8.3612630093490878</v>
      </c>
    </row>
    <row r="153" spans="1:15" ht="14.1" customHeight="1">
      <c r="B153" s="256"/>
      <c r="C153" s="188" t="str">
        <f>IF(Indice_index!$Z$1=1,"maio","May")</f>
        <v>maio</v>
      </c>
      <c r="D153" s="189">
        <v>3.2710280373831773</v>
      </c>
      <c r="E153" s="189">
        <v>-10</v>
      </c>
      <c r="F153" s="189">
        <v>-31.513260530421217</v>
      </c>
      <c r="G153" s="189">
        <v>-12.682926829268293</v>
      </c>
      <c r="H153" s="4">
        <v>6.5882352941176476</v>
      </c>
      <c r="I153" s="4">
        <v>5.7293597673863905</v>
      </c>
      <c r="J153" s="4">
        <v>-7.0920798854260516</v>
      </c>
      <c r="K153" s="4">
        <v>-21.698220016955393</v>
      </c>
      <c r="L153" s="4">
        <v>-0.32365504866864769</v>
      </c>
      <c r="M153" s="4">
        <v>7.6085890122785758</v>
      </c>
      <c r="N153" s="4">
        <v>2.6021400778210091</v>
      </c>
      <c r="O153" s="4">
        <v>14.348239771646046</v>
      </c>
    </row>
    <row r="154" spans="1:15" ht="13.5" customHeight="1">
      <c r="B154" s="187"/>
      <c r="C154" s="188" t="str">
        <f>IF(Indice_index!$Z$1=1,"junho","June")</f>
        <v>junho</v>
      </c>
      <c r="D154" s="189">
        <v>9.425939050318922</v>
      </c>
      <c r="E154" s="189">
        <v>3.4883720930232558</v>
      </c>
      <c r="F154" s="189">
        <v>-6.4974619289340101</v>
      </c>
      <c r="G154" s="189">
        <v>2.9008863819500403</v>
      </c>
      <c r="H154" s="4">
        <v>5.4945054945054945</v>
      </c>
      <c r="I154" s="4">
        <v>6.4207213287125837</v>
      </c>
      <c r="J154" s="4">
        <v>3.2123086903101075</v>
      </c>
      <c r="K154" s="4">
        <v>-3.1899877082097778</v>
      </c>
      <c r="L154" s="4">
        <v>4.4260620503832362</v>
      </c>
      <c r="M154" s="4">
        <v>13.049919426299175</v>
      </c>
      <c r="N154" s="4">
        <v>-2.5616877001318485</v>
      </c>
      <c r="O154" s="4">
        <v>3.5339871491376358</v>
      </c>
    </row>
    <row r="155" spans="1:15" ht="13.5" customHeight="1">
      <c r="B155" s="187"/>
      <c r="C155" s="188" t="str">
        <f>IF(Indice_index!$Z$1=1,"julho","July")</f>
        <v>julho</v>
      </c>
      <c r="D155" s="189">
        <v>-22.638345444382338</v>
      </c>
      <c r="E155" s="189">
        <v>-18.75</v>
      </c>
      <c r="F155" s="189">
        <v>3.7267080745341614</v>
      </c>
      <c r="G155" s="189">
        <v>-14.584891548242334</v>
      </c>
      <c r="H155" s="4">
        <v>-5.4644808743169397</v>
      </c>
      <c r="I155" s="4">
        <v>-21.82837670453798</v>
      </c>
      <c r="J155" s="4">
        <v>7.1280685667850978</v>
      </c>
      <c r="K155" s="4">
        <v>17.274155399159088</v>
      </c>
      <c r="L155" s="4">
        <v>-15.989235139097206</v>
      </c>
      <c r="M155" s="4">
        <v>-3.6998626936503758</v>
      </c>
      <c r="N155" s="4">
        <v>1.9198464122870171</v>
      </c>
      <c r="O155" s="4">
        <v>13.068181818181834</v>
      </c>
    </row>
    <row r="156" spans="1:15" ht="13.5" customHeight="1">
      <c r="B156" s="187"/>
      <c r="C156" s="188" t="str">
        <f>IF(Indice_index!$Z$1=1,"agosto","August")</f>
        <v>agosto</v>
      </c>
      <c r="D156" s="189">
        <v>-21.717724288840262</v>
      </c>
      <c r="E156" s="189">
        <v>7.1428571428571423</v>
      </c>
      <c r="F156" s="189">
        <v>-15</v>
      </c>
      <c r="G156" s="189">
        <v>-18.555334658714383</v>
      </c>
      <c r="H156" s="4">
        <v>6.7556296914095082</v>
      </c>
      <c r="I156" s="4">
        <v>-20.43090328116774</v>
      </c>
      <c r="J156" s="4">
        <v>26.128618845542071</v>
      </c>
      <c r="K156" s="4">
        <v>-16.166472612110827</v>
      </c>
      <c r="L156" s="4">
        <v>-18.698295000118282</v>
      </c>
      <c r="M156" s="4">
        <v>9.8833441752427937</v>
      </c>
      <c r="N156" s="4">
        <v>1.8445930366612868</v>
      </c>
      <c r="O156" s="4">
        <v>-1.3737231419513833</v>
      </c>
    </row>
    <row r="157" spans="1:15" ht="13.5" customHeight="1">
      <c r="A157" s="112"/>
      <c r="B157" s="187"/>
      <c r="C157" s="188" t="str">
        <f>IF(Indice_index!$Z$1=1,"setembro","September")</f>
        <v>setembro</v>
      </c>
      <c r="D157" s="189">
        <v>-22.106690777576855</v>
      </c>
      <c r="E157" s="189">
        <v>32.098765432098766</v>
      </c>
      <c r="F157" s="189">
        <v>13.307984790874524</v>
      </c>
      <c r="G157" s="189">
        <v>-11.615833874107723</v>
      </c>
      <c r="H157" s="4">
        <v>-3.1150159744408943</v>
      </c>
      <c r="I157" s="4">
        <v>-24.549233195131595</v>
      </c>
      <c r="J157" s="4">
        <v>76.296327614133219</v>
      </c>
      <c r="K157" s="4">
        <v>16.714976972063816</v>
      </c>
      <c r="L157" s="4">
        <v>-18.585697562204629</v>
      </c>
      <c r="M157" s="4">
        <v>4.8601722570330628</v>
      </c>
      <c r="N157" s="4">
        <v>-2.686394879059764</v>
      </c>
      <c r="O157" s="4">
        <v>3.0102040816326605</v>
      </c>
    </row>
    <row r="158" spans="1:15" ht="13.5" customHeight="1">
      <c r="A158" s="112"/>
      <c r="B158" s="187"/>
      <c r="C158" s="188" t="str">
        <f>IF(Indice_index!$Z$1=1,"outubro","October")</f>
        <v>outubro</v>
      </c>
      <c r="D158" s="189">
        <v>-19.921491658488712</v>
      </c>
      <c r="E158" s="189">
        <v>40.983606557377051</v>
      </c>
      <c r="F158" s="189">
        <v>-12.222222222222221</v>
      </c>
      <c r="G158" s="189">
        <v>-16.372124041347117</v>
      </c>
      <c r="H158" s="4">
        <v>8.6151368760064404</v>
      </c>
      <c r="I158" s="4">
        <v>-17.035073353230473</v>
      </c>
      <c r="J158" s="4">
        <v>76.042925962121132</v>
      </c>
      <c r="K158" s="4">
        <v>-3.6988576249667169</v>
      </c>
      <c r="L158" s="4">
        <v>-13.790597735526635</v>
      </c>
      <c r="M158" s="4">
        <v>10.901363709836533</v>
      </c>
      <c r="N158" s="4">
        <v>3.6142524293913683</v>
      </c>
      <c r="O158" s="4">
        <v>9.7214923804519184</v>
      </c>
    </row>
    <row r="159" spans="1:15" ht="13.5" customHeight="1">
      <c r="A159" s="112"/>
      <c r="B159" s="187"/>
      <c r="C159" s="188" t="str">
        <f>IF(Indice_index!$Z$1=1,"novembro","November")</f>
        <v>novembro</v>
      </c>
      <c r="D159" s="189">
        <v>-9.1566265060240966</v>
      </c>
      <c r="E159" s="189">
        <v>-16.049382716049383</v>
      </c>
      <c r="F159" s="189">
        <v>15.340364333652925</v>
      </c>
      <c r="G159" s="189">
        <v>-1.3441700531416068</v>
      </c>
      <c r="H159" s="4">
        <v>10.824313072439635</v>
      </c>
      <c r="I159" s="4">
        <v>-1.5857818038313609</v>
      </c>
      <c r="J159" s="4">
        <v>-14.445723350881378</v>
      </c>
      <c r="K159" s="4">
        <v>22.322736437002042</v>
      </c>
      <c r="L159" s="4">
        <v>1.4290856922332205</v>
      </c>
      <c r="M159" s="4">
        <v>19.502096445147458</v>
      </c>
      <c r="N159" s="4">
        <v>8.2244948250369632</v>
      </c>
      <c r="O159" s="4">
        <v>6.0550458715596331</v>
      </c>
    </row>
    <row r="160" spans="1:15" ht="13.5" customHeight="1">
      <c r="A160" s="112"/>
      <c r="B160" s="187"/>
      <c r="C160" s="188" t="str">
        <f>IF(Indice_index!$Z$1=1,"dezembro","December")</f>
        <v>dezembro</v>
      </c>
      <c r="D160" s="189">
        <v>-24.167645906776343</v>
      </c>
      <c r="E160" s="189">
        <v>-6.8627450980392162</v>
      </c>
      <c r="F160" s="189">
        <v>-6.5195586760280841</v>
      </c>
      <c r="G160" s="189">
        <v>-18.866374589266155</v>
      </c>
      <c r="H160" s="4">
        <v>-6.4391000775795195</v>
      </c>
      <c r="I160" s="4">
        <v>-23.793577486073918</v>
      </c>
      <c r="J160" s="4">
        <v>24.306507409218721</v>
      </c>
      <c r="K160" s="4">
        <v>-4.5290505653362469</v>
      </c>
      <c r="L160" s="4">
        <v>-20.821781928165841</v>
      </c>
      <c r="M160" s="4">
        <v>-6.9827451344991309E-3</v>
      </c>
      <c r="N160" s="4">
        <v>1.2585483592897013</v>
      </c>
      <c r="O160" s="4">
        <v>2.125485387287958</v>
      </c>
    </row>
    <row r="161" spans="1:15" ht="14.1" customHeight="1">
      <c r="B161" s="357">
        <v>2026</v>
      </c>
      <c r="C161" s="358"/>
      <c r="D161" s="189"/>
      <c r="E161" s="189"/>
      <c r="F161" s="189"/>
      <c r="G161" s="189"/>
      <c r="H161" s="4"/>
      <c r="I161" s="4"/>
      <c r="J161" s="4"/>
      <c r="K161" s="4"/>
      <c r="L161" s="4"/>
      <c r="M161" s="4"/>
      <c r="N161" s="4"/>
      <c r="O161" s="4"/>
    </row>
    <row r="162" spans="1:15" ht="14.1" customHeight="1">
      <c r="B162" s="187"/>
      <c r="C162" s="188" t="str">
        <f>IF(Indice_index!$Z$1=1,"janeiro","January")</f>
        <v>janeiro</v>
      </c>
      <c r="D162" s="189">
        <v>-16.984045290787442</v>
      </c>
      <c r="E162" s="189">
        <v>3.9473684210526314</v>
      </c>
      <c r="F162" s="189">
        <v>-7.0512820512820511</v>
      </c>
      <c r="G162" s="189">
        <v>-13.299492385786801</v>
      </c>
      <c r="H162" s="4">
        <v>0.95846645367412142</v>
      </c>
      <c r="I162" s="4">
        <v>-15.62719149924073</v>
      </c>
      <c r="J162" s="4">
        <v>21.893288415469897</v>
      </c>
      <c r="K162" s="4">
        <v>5.7521361565171851</v>
      </c>
      <c r="L162" s="4">
        <v>-12.133183200529691</v>
      </c>
      <c r="M162" s="4">
        <v>10.275296177675155</v>
      </c>
      <c r="N162" s="4">
        <v>1.7644668872250195</v>
      </c>
      <c r="O162" s="4">
        <v>13.760954689539451</v>
      </c>
    </row>
    <row r="163" spans="1:15" ht="14.1" customHeight="1">
      <c r="B163" s="187"/>
      <c r="C163" s="188" t="str">
        <f>IF(Indice_index!$Z$1=1,"fevereiro","February")</f>
        <v>fevereiro</v>
      </c>
      <c r="D163" s="189">
        <v>-21.293375394321767</v>
      </c>
      <c r="E163" s="189">
        <v>20</v>
      </c>
      <c r="F163" s="189">
        <v>206.88172043010752</v>
      </c>
      <c r="G163" s="189">
        <v>52.769177846577229</v>
      </c>
      <c r="H163" s="4">
        <v>15.049751243781095</v>
      </c>
      <c r="I163" s="4">
        <v>-26.633698059739558</v>
      </c>
      <c r="J163" s="4">
        <v>21.543023138088039</v>
      </c>
      <c r="K163" s="4">
        <v>57.375418178905178</v>
      </c>
      <c r="L163" s="4">
        <v>-14.645766404597129</v>
      </c>
      <c r="M163" s="4">
        <v>22.640457854195738</v>
      </c>
      <c r="N163" s="4">
        <v>-7.0071447472876471</v>
      </c>
      <c r="O163" s="4">
        <v>-48.710217755443885</v>
      </c>
    </row>
    <row r="164" spans="1:15" ht="3.75" customHeight="1">
      <c r="A164" s="112"/>
      <c r="B164" s="268"/>
      <c r="C164" s="269"/>
      <c r="D164" s="270"/>
      <c r="E164" s="270"/>
      <c r="F164" s="270"/>
      <c r="G164" s="270"/>
      <c r="H164" s="270"/>
      <c r="I164" s="270"/>
      <c r="J164" s="270"/>
      <c r="K164" s="270"/>
      <c r="L164" s="270"/>
      <c r="M164" s="270"/>
      <c r="N164" s="270"/>
      <c r="O164" s="270"/>
    </row>
    <row r="165" spans="1:15" ht="21" customHeight="1">
      <c r="A165" s="112"/>
      <c r="B165" s="257" t="str">
        <f>IF(Indice_index!$Z$1=1,"Notas:","Notes:")</f>
        <v>Notas:</v>
      </c>
      <c r="C165" s="257"/>
      <c r="D165" s="257"/>
      <c r="E165" s="257"/>
      <c r="F165" s="257"/>
      <c r="G165" s="257"/>
      <c r="H165" s="257"/>
      <c r="I165" s="257"/>
      <c r="J165" s="257"/>
      <c r="K165" s="257"/>
      <c r="L165" s="257"/>
      <c r="M165" s="257"/>
      <c r="N165" s="257"/>
      <c r="O165" s="257"/>
    </row>
    <row r="166" spans="1:15" ht="25.5" customHeight="1">
      <c r="B166" s="437" t="str">
        <f>IF(Indice_index!$Z$1=1,B171,B172)</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166" s="437"/>
      <c r="D166" s="437"/>
      <c r="E166" s="437"/>
      <c r="F166" s="437"/>
      <c r="G166" s="437"/>
      <c r="H166" s="437"/>
      <c r="I166" s="437"/>
      <c r="J166" s="437"/>
      <c r="K166" s="437"/>
      <c r="L166" s="437"/>
      <c r="M166" s="437"/>
      <c r="N166" s="437"/>
      <c r="O166" s="437"/>
    </row>
    <row r="167" spans="1:15" ht="36" customHeight="1">
      <c r="B167" s="437" t="str">
        <f>IF(Indice_index!$Z$1=1,B173,B174)</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167" s="437"/>
      <c r="D167" s="437"/>
      <c r="E167" s="437"/>
      <c r="F167" s="437"/>
      <c r="G167" s="437"/>
      <c r="H167" s="437"/>
      <c r="I167" s="437"/>
      <c r="J167" s="437"/>
      <c r="K167" s="437"/>
      <c r="L167" s="437"/>
      <c r="M167" s="437"/>
      <c r="N167" s="437"/>
      <c r="O167" s="437"/>
    </row>
    <row r="168" spans="1:15" ht="15">
      <c r="B168" s="438" t="str">
        <f>IF(Indice_index!$Z$1=1,"Fonte: Caixa Geral de Aposentações, I.P.","Source: CGA - Public Servants Social Scheme")</f>
        <v>Fonte: Caixa Geral de Aposentações, I.P.</v>
      </c>
      <c r="C168" s="438"/>
      <c r="D168" s="438"/>
      <c r="E168" s="438"/>
      <c r="F168" s="438"/>
      <c r="G168" s="438"/>
      <c r="H168" s="438"/>
      <c r="I168" s="438"/>
      <c r="J168" s="438"/>
      <c r="K168" s="438"/>
      <c r="L168" s="438"/>
      <c r="M168" s="438"/>
      <c r="N168" s="438"/>
      <c r="O168" s="438"/>
    </row>
    <row r="169" spans="1:15" ht="15"/>
    <row r="170" spans="1:15" ht="15" hidden="1"/>
    <row r="171" spans="1:15" ht="15" hidden="1">
      <c r="B171" s="436" t="s">
        <v>315</v>
      </c>
      <c r="C171" s="436"/>
      <c r="D171" s="436"/>
      <c r="E171" s="436"/>
      <c r="F171" s="436"/>
      <c r="G171" s="436"/>
      <c r="H171" s="436"/>
      <c r="I171" s="436"/>
      <c r="J171" s="436"/>
      <c r="K171" s="436"/>
      <c r="L171" s="436"/>
      <c r="M171" s="436"/>
      <c r="N171" s="436"/>
      <c r="O171" s="99"/>
    </row>
    <row r="172" spans="1:15" ht="15" hidden="1">
      <c r="B172" s="100" t="s">
        <v>15</v>
      </c>
      <c r="C172" s="99"/>
      <c r="D172" s="99"/>
      <c r="E172" s="99"/>
      <c r="F172" s="99"/>
      <c r="G172" s="99"/>
      <c r="H172" s="99"/>
      <c r="I172" s="99"/>
      <c r="J172" s="99"/>
      <c r="K172" s="99"/>
      <c r="L172" s="99"/>
      <c r="M172" s="99"/>
      <c r="N172" s="99"/>
      <c r="O172" s="99"/>
    </row>
    <row r="173" spans="1:15" ht="15.6" hidden="1" customHeight="1">
      <c r="B173" s="100" t="s">
        <v>318</v>
      </c>
      <c r="C173" s="100"/>
      <c r="D173" s="100"/>
      <c r="E173" s="100"/>
      <c r="F173" s="100"/>
      <c r="G173" s="100"/>
      <c r="H173" s="100"/>
      <c r="I173" s="100"/>
      <c r="J173" s="100"/>
      <c r="K173" s="100"/>
      <c r="L173" s="100"/>
      <c r="M173" s="100"/>
      <c r="N173" s="100"/>
      <c r="O173" s="99"/>
    </row>
    <row r="174" spans="1:15" ht="15" hidden="1">
      <c r="B174" s="100" t="s">
        <v>319</v>
      </c>
    </row>
    <row r="175" spans="1:15" ht="14.85" customHeight="1"/>
    <row r="176" spans="1:15"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60">
    <mergeCell ref="B70:C70"/>
    <mergeCell ref="B72:C72"/>
    <mergeCell ref="B94:O94"/>
    <mergeCell ref="B55:C55"/>
    <mergeCell ref="B68:C68"/>
    <mergeCell ref="B74:C74"/>
    <mergeCell ref="B76:C76"/>
    <mergeCell ref="B89:C89"/>
    <mergeCell ref="I53:I54"/>
    <mergeCell ref="B13:C13"/>
    <mergeCell ref="B26:C26"/>
    <mergeCell ref="B28:C28"/>
    <mergeCell ref="B30:C30"/>
    <mergeCell ref="B52:C54"/>
    <mergeCell ref="D52:H52"/>
    <mergeCell ref="D53:G53"/>
    <mergeCell ref="H53:H54"/>
    <mergeCell ref="B32:C32"/>
    <mergeCell ref="B34:C34"/>
    <mergeCell ref="B47:C47"/>
    <mergeCell ref="N95:N97"/>
    <mergeCell ref="O95:O97"/>
    <mergeCell ref="D96:G96"/>
    <mergeCell ref="H96:H97"/>
    <mergeCell ref="I96:L96"/>
    <mergeCell ref="M96:M97"/>
    <mergeCell ref="D95:H95"/>
    <mergeCell ref="I95:M95"/>
    <mergeCell ref="O137:O139"/>
    <mergeCell ref="D138:G138"/>
    <mergeCell ref="H138:H139"/>
    <mergeCell ref="I138:L138"/>
    <mergeCell ref="M138:M139"/>
    <mergeCell ref="N137:N139"/>
    <mergeCell ref="D137:H137"/>
    <mergeCell ref="I137:M137"/>
    <mergeCell ref="B171:N171"/>
    <mergeCell ref="B140:C140"/>
    <mergeCell ref="B142:C142"/>
    <mergeCell ref="B144:C144"/>
    <mergeCell ref="B166:O166"/>
    <mergeCell ref="B167:O167"/>
    <mergeCell ref="B146:C146"/>
    <mergeCell ref="B168:O168"/>
    <mergeCell ref="B148:C148"/>
    <mergeCell ref="B161:C161"/>
    <mergeCell ref="I11:I12"/>
    <mergeCell ref="D10:H10"/>
    <mergeCell ref="B10:C12"/>
    <mergeCell ref="H11:H12"/>
    <mergeCell ref="D11:G11"/>
    <mergeCell ref="B98:C98"/>
    <mergeCell ref="B113:C113"/>
    <mergeCell ref="B115:C115"/>
    <mergeCell ref="B137:C139"/>
    <mergeCell ref="B95:C97"/>
    <mergeCell ref="B117:C117"/>
    <mergeCell ref="B111:C111"/>
    <mergeCell ref="B119:C119"/>
    <mergeCell ref="B132:C132"/>
  </mergeCells>
  <conditionalFormatting sqref="D13:D25 D26:I50 D55:D88 E56:I88 D89:I92 D98:D131 I98:I131 E99:H131 J99:O131 D140:O164">
    <cfRule type="cellIs" dxfId="14" priority="22" operator="equal">
      <formula>0</formula>
    </cfRule>
  </conditionalFormatting>
  <conditionalFormatting sqref="D132:O135">
    <cfRule type="cellIs" dxfId="13" priority="10" operator="equal">
      <formula>0</formula>
    </cfRule>
  </conditionalFormatting>
  <conditionalFormatting sqref="E14:I25">
    <cfRule type="cellIs" dxfId="12" priority="122"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51" min="1" max="14" man="1"/>
    <brk id="93" min="1" max="14" man="1"/>
    <brk id="136" min="1" max="14" man="1"/>
  </rowBreaks>
  <ignoredErrors>
    <ignoredError sqref="B26 B28 B68 B70 B142 B140 B111:C111 B112:C1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60"/>
  <sheetViews>
    <sheetView showGridLines="0" zoomScaleNormal="100" workbookViewId="0"/>
  </sheetViews>
  <sheetFormatPr defaultColWidth="9.42578125" defaultRowHeight="14.85" customHeight="1" zeroHeight="1"/>
  <cols>
    <col min="1" max="1" width="8.5703125" style="49" customWidth="1"/>
    <col min="2" max="2" width="77.42578125" style="101" customWidth="1"/>
    <col min="3" max="3" width="6.5703125" style="101" bestFit="1" customWidth="1"/>
    <col min="4" max="4" width="18.42578125" style="102" customWidth="1"/>
    <col min="5" max="6" width="8.42578125" style="101" customWidth="1"/>
    <col min="7" max="16" width="8.42578125" style="101" hidden="1" customWidth="1"/>
    <col min="17" max="18" width="8.5703125" style="101" customWidth="1"/>
    <col min="19" max="20" width="8.42578125" style="101" customWidth="1"/>
    <col min="21" max="30" width="8.42578125" style="101" hidden="1" customWidth="1"/>
    <col min="31" max="31" width="8.5703125" style="101" customWidth="1"/>
    <col min="32" max="32" width="10" style="101" customWidth="1"/>
    <col min="33" max="33" width="18.5703125" style="127" customWidth="1"/>
  </cols>
  <sheetData>
    <row r="1" spans="1:33" ht="14.85" customHeight="1"/>
    <row r="2" spans="1:33" ht="15">
      <c r="E2" s="103"/>
      <c r="S2" s="103"/>
    </row>
    <row r="3" spans="1:33" ht="15">
      <c r="E3" s="103"/>
      <c r="S3" s="103"/>
    </row>
    <row r="4" spans="1:33" ht="15">
      <c r="E4" s="103"/>
      <c r="S4" s="103"/>
    </row>
    <row r="5" spans="1:33" ht="18" customHeight="1">
      <c r="A5"/>
      <c r="B5" s="254"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row>
    <row r="6" spans="1:33" ht="18" customHeight="1">
      <c r="A6"/>
      <c r="B6" s="255" t="str">
        <f>IF(Indice_index!$Z$1=1,"Fevereiro de 2026","February 2026")</f>
        <v>Fevereiro de 2026</v>
      </c>
      <c r="C6"/>
      <c r="D6"/>
      <c r="E6"/>
      <c r="F6"/>
      <c r="G6"/>
      <c r="H6"/>
      <c r="I6"/>
      <c r="J6"/>
      <c r="K6"/>
      <c r="L6"/>
      <c r="M6"/>
      <c r="N6"/>
      <c r="O6"/>
      <c r="P6"/>
      <c r="Q6"/>
      <c r="R6"/>
      <c r="S6"/>
      <c r="T6"/>
      <c r="U6"/>
      <c r="V6"/>
      <c r="W6"/>
      <c r="X6"/>
      <c r="Y6"/>
      <c r="Z6"/>
      <c r="AA6"/>
      <c r="AB6"/>
      <c r="AC6"/>
      <c r="AD6"/>
      <c r="AE6"/>
      <c r="AF6"/>
      <c r="AG6"/>
    </row>
    <row r="7" spans="1:33" ht="50.1" customHeight="1">
      <c r="B7" s="12"/>
      <c r="C7" s="13"/>
      <c r="D7" s="11"/>
      <c r="E7" s="11"/>
      <c r="F7" s="11"/>
      <c r="G7" s="11"/>
      <c r="H7" s="11"/>
      <c r="I7" s="11"/>
      <c r="J7" s="11"/>
      <c r="K7" s="11"/>
      <c r="L7" s="10"/>
      <c r="M7" s="10"/>
      <c r="N7" s="10"/>
      <c r="O7" s="10"/>
      <c r="P7"/>
      <c r="Q7"/>
      <c r="R7"/>
      <c r="S7"/>
      <c r="T7"/>
      <c r="U7"/>
      <c r="V7"/>
      <c r="W7"/>
      <c r="X7"/>
      <c r="Y7"/>
      <c r="Z7"/>
      <c r="AA7"/>
      <c r="AB7"/>
      <c r="AC7"/>
      <c r="AD7"/>
      <c r="AE7"/>
    </row>
    <row r="8" spans="1:33" ht="15.7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5">
      <c r="B9" s="104"/>
      <c r="E9" s="105"/>
      <c r="F9" s="105"/>
      <c r="G9" s="105"/>
      <c r="H9" s="105"/>
      <c r="I9" s="105"/>
      <c r="R9" s="105"/>
      <c r="S9" s="3" t="str">
        <f>IF(Indice_index!$Z$1=1,"€ Milhões","€ Millions")</f>
        <v>€ Milhões</v>
      </c>
      <c r="T9" s="105"/>
      <c r="U9" s="105"/>
      <c r="V9" s="105"/>
      <c r="W9" s="105"/>
      <c r="AE9" s="3" t="str">
        <f>IF(Indice_index!$Z$1=1,"€ Milhões","€ Millions")</f>
        <v>€ Milhões</v>
      </c>
    </row>
    <row r="10" spans="1:33" ht="16.350000000000001" customHeight="1">
      <c r="B10" s="343"/>
      <c r="C10" s="344"/>
      <c r="D10" s="374" t="str">
        <f>IF(Indice_index!$Z$1=1,"Classificação económica","Economic classification")</f>
        <v>Classificação económica</v>
      </c>
      <c r="E10" s="343">
        <v>2025</v>
      </c>
      <c r="F10" s="344"/>
      <c r="G10" s="344"/>
      <c r="H10" s="344"/>
      <c r="I10" s="344"/>
      <c r="J10" s="344"/>
      <c r="K10" s="344"/>
      <c r="L10" s="344"/>
      <c r="M10" s="344"/>
      <c r="N10" s="344"/>
      <c r="O10" s="344"/>
      <c r="P10" s="344"/>
      <c r="Q10" s="344"/>
      <c r="R10" s="344"/>
      <c r="S10" s="343">
        <v>2026</v>
      </c>
      <c r="T10" s="344"/>
      <c r="U10" s="344"/>
      <c r="V10" s="344"/>
      <c r="W10" s="344"/>
      <c r="X10" s="344"/>
      <c r="Y10" s="344"/>
      <c r="Z10" s="344"/>
      <c r="AA10" s="344"/>
      <c r="AB10" s="344"/>
      <c r="AC10" s="344"/>
      <c r="AD10" s="344"/>
      <c r="AE10" s="344"/>
    </row>
    <row r="11" spans="1:33" ht="26.85" customHeight="1">
      <c r="B11" s="343"/>
      <c r="C11" s="344"/>
      <c r="D11" s="373"/>
      <c r="E11" s="22" t="str">
        <f>IF(Indice_index!$Z$1=1,"jan","Jan")</f>
        <v>jan</v>
      </c>
      <c r="F11" s="22" t="str">
        <f>IF(Indice_index!$Z$1=1,"fev","Feb")</f>
        <v>fev</v>
      </c>
      <c r="G11" s="22" t="str">
        <f>IF(Indice_index!$Z$1=1,"mar","Mar")</f>
        <v>mar</v>
      </c>
      <c r="H11" s="22" t="str">
        <f>IF(Indice_index!$Z$1=1,"abr","Apr")</f>
        <v>abr</v>
      </c>
      <c r="I11" s="22" t="str">
        <f>IF(Indice_index!$Z$1=1,"mai","May")</f>
        <v>mai</v>
      </c>
      <c r="J11" s="22" t="str">
        <f>IF(Indice_index!$Z$1=1,"jun","Jun")</f>
        <v>jun</v>
      </c>
      <c r="K11" s="22" t="str">
        <f>IF(Indice_index!$Z$1=1,"jul","Jul")</f>
        <v>jul</v>
      </c>
      <c r="L11" s="22" t="str">
        <f>IF(Indice_index!$Z$1=1,"ago","Aug")</f>
        <v>ago</v>
      </c>
      <c r="M11" s="22" t="str">
        <f>IF(Indice_index!$Z$1=1,"set","Sep")</f>
        <v>set</v>
      </c>
      <c r="N11" s="22" t="str">
        <f>IF(Indice_index!$Z$1=1,"out","Oct")</f>
        <v>out</v>
      </c>
      <c r="O11" s="22" t="str">
        <f>IF(Indice_index!$Z$1=1,"nov","Nov")</f>
        <v>nov</v>
      </c>
      <c r="P11" s="22" t="str">
        <f>IF(Indice_index!$Z$1=1,"dez","Dec")</f>
        <v>dez</v>
      </c>
      <c r="Q11" s="22" t="str">
        <f>IF(Indice_index!$Z$1=1,"Ano até 
à data","Year to date")</f>
        <v>Ano até 
à data</v>
      </c>
      <c r="R11" s="22" t="str">
        <f>IF(Indice_index!$Z$1=1,"Acumulado","Cumulative")</f>
        <v>Acumulado</v>
      </c>
      <c r="S11" s="22" t="str">
        <f>IF(Indice_index!$Z$1=1,"jan","Jan")</f>
        <v>jan</v>
      </c>
      <c r="T11" s="22" t="str">
        <f>IF(Indice_index!$Z$1=1,"fev","Feb")</f>
        <v>fev</v>
      </c>
      <c r="U11" s="22" t="str">
        <f>IF(Indice_index!$Z$1=1,"mar","Mar")</f>
        <v>mar</v>
      </c>
      <c r="V11" s="22" t="str">
        <f>IF(Indice_index!$Z$1=1,"abr","Apr")</f>
        <v>abr</v>
      </c>
      <c r="W11" s="22" t="str">
        <f>IF(Indice_index!$Z$1=1,"mai","May")</f>
        <v>mai</v>
      </c>
      <c r="X11" s="22" t="str">
        <f>IF(Indice_index!$Z$1=1,"jun","Jun")</f>
        <v>jun</v>
      </c>
      <c r="Y11" s="22" t="str">
        <f>IF(Indice_index!$Z$1=1,"jul","Jul")</f>
        <v>jul</v>
      </c>
      <c r="Z11" s="22" t="str">
        <f>IF(Indice_index!$Z$1=1,"ago","Aug")</f>
        <v>ago</v>
      </c>
      <c r="AA11" s="22" t="str">
        <f>IF(Indice_index!$Z$1=1,"set","Sep")</f>
        <v>set</v>
      </c>
      <c r="AB11" s="22" t="str">
        <f>IF(Indice_index!$Z$1=1,"out","Oct")</f>
        <v>out</v>
      </c>
      <c r="AC11" s="22" t="str">
        <f>IF(Indice_index!$Z$1=1,"nov","Nov")</f>
        <v>nov</v>
      </c>
      <c r="AD11" s="22" t="str">
        <f>IF(Indice_index!$Z$1=1,"dez","Dec")</f>
        <v>dez</v>
      </c>
      <c r="AE11" s="22" t="str">
        <f>IF(Indice_index!$Z$1=1,"Acumulado","Cumulative")</f>
        <v>Acumulado</v>
      </c>
    </row>
    <row r="12" spans="1:33" ht="14.1" customHeight="1">
      <c r="B12" s="357" t="str">
        <f>IF(Indice_index!$Z$1=1,"Receita corrente","Current revenue")</f>
        <v>Receita corrente</v>
      </c>
      <c r="C12" s="357"/>
      <c r="D12" s="300"/>
      <c r="E12" s="260">
        <f t="shared" ref="E12:O12" si="0">+E13+E14+E16+E19+E15</f>
        <v>146.22740932000002</v>
      </c>
      <c r="F12" s="260">
        <f t="shared" si="0"/>
        <v>116.73249326999999</v>
      </c>
      <c r="G12" s="260">
        <f t="shared" si="0"/>
        <v>187.99059886999999</v>
      </c>
      <c r="H12" s="260">
        <f t="shared" si="0"/>
        <v>154.8813141</v>
      </c>
      <c r="I12" s="260">
        <f t="shared" si="0"/>
        <v>673.30172317999995</v>
      </c>
      <c r="J12" s="260">
        <f t="shared" si="0"/>
        <v>217.80389824000002</v>
      </c>
      <c r="K12" s="260">
        <f t="shared" si="0"/>
        <v>-5.2884401799999985</v>
      </c>
      <c r="L12" s="260">
        <f t="shared" si="0"/>
        <v>-1.6090640199999999</v>
      </c>
      <c r="M12" s="260">
        <f t="shared" si="0"/>
        <v>1.1482578799999998</v>
      </c>
      <c r="N12" s="260">
        <f t="shared" si="0"/>
        <v>423.36464900999994</v>
      </c>
      <c r="O12" s="260">
        <f t="shared" si="0"/>
        <v>-71.924708449999997</v>
      </c>
      <c r="P12" s="260">
        <f>+P13+P14+P16+P19+P15</f>
        <v>141.19758092999996</v>
      </c>
      <c r="Q12" s="260">
        <f>+Q13+Q14+Q16+Q19+Q15</f>
        <v>262.95990259000001</v>
      </c>
      <c r="R12" s="260">
        <f>+R13+R14+R16+R19+R15</f>
        <v>1983.8257121500001</v>
      </c>
      <c r="S12" s="260">
        <f>+S13+S14+S16+S19+S15</f>
        <v>7.9320125500000005</v>
      </c>
      <c r="T12" s="260">
        <f t="shared" ref="T12:AD12" si="1">+T13+T14+T16+T19+T15</f>
        <v>0.8695593199999998</v>
      </c>
      <c r="U12" s="260">
        <f>+U13+U14+U16+U19+U15</f>
        <v>0</v>
      </c>
      <c r="V12" s="260">
        <f>+V13+V14+V16+V19+V15</f>
        <v>0</v>
      </c>
      <c r="W12" s="260">
        <f t="shared" si="1"/>
        <v>0</v>
      </c>
      <c r="X12" s="260">
        <f t="shared" si="1"/>
        <v>0</v>
      </c>
      <c r="Y12" s="260">
        <f t="shared" si="1"/>
        <v>0</v>
      </c>
      <c r="Z12" s="260">
        <f t="shared" si="1"/>
        <v>0</v>
      </c>
      <c r="AA12" s="260">
        <f t="shared" si="1"/>
        <v>0</v>
      </c>
      <c r="AB12" s="260">
        <f t="shared" si="1"/>
        <v>0</v>
      </c>
      <c r="AC12" s="260">
        <f t="shared" si="1"/>
        <v>0</v>
      </c>
      <c r="AD12" s="260">
        <f t="shared" si="1"/>
        <v>0</v>
      </c>
      <c r="AE12" s="260">
        <f>+AE13+AE14+AE16+AE19+AE15</f>
        <v>8.8015718699999983</v>
      </c>
    </row>
    <row r="13" spans="1:33" ht="14.1" customHeight="1">
      <c r="B13" s="352" t="str">
        <f>IF(Indice_index!$Z$1=1,"Impostos diretos ","Direct taxes")</f>
        <v xml:space="preserve">Impostos diretos </v>
      </c>
      <c r="C13" s="352"/>
      <c r="D13" s="261" t="s">
        <v>16</v>
      </c>
      <c r="E13" s="262">
        <f t="shared" ref="E13:N15" si="2">+SUMIF($D$54:$D$77,$D13,E$54:E$77)</f>
        <v>-0.86642496999999996</v>
      </c>
      <c r="F13" s="262">
        <f t="shared" si="2"/>
        <v>2.5368550700000001</v>
      </c>
      <c r="G13" s="262">
        <f t="shared" si="2"/>
        <v>-0.31989685000000001</v>
      </c>
      <c r="H13" s="262">
        <f t="shared" si="2"/>
        <v>0.49802367999999997</v>
      </c>
      <c r="I13" s="262">
        <f t="shared" si="2"/>
        <v>1.60903079</v>
      </c>
      <c r="J13" s="262">
        <f t="shared" si="2"/>
        <v>207.55793037000001</v>
      </c>
      <c r="K13" s="262">
        <f t="shared" si="2"/>
        <v>-17.420756409999999</v>
      </c>
      <c r="L13" s="262">
        <f t="shared" si="2"/>
        <v>-2.30679407</v>
      </c>
      <c r="M13" s="262">
        <f t="shared" si="2"/>
        <v>-0.56175754</v>
      </c>
      <c r="N13" s="262">
        <f t="shared" si="2"/>
        <v>411.08907762999996</v>
      </c>
      <c r="O13" s="262">
        <f t="shared" ref="O13:X15" si="3">+SUMIF($D$54:$D$77,$D13,O$54:O$77)</f>
        <v>-91.539129000000003</v>
      </c>
      <c r="P13" s="262">
        <f t="shared" si="3"/>
        <v>-47.992351120000002</v>
      </c>
      <c r="Q13" s="262">
        <f t="shared" si="3"/>
        <v>1.6704301000000001</v>
      </c>
      <c r="R13" s="262">
        <f t="shared" si="3"/>
        <v>462.28380757999992</v>
      </c>
      <c r="S13" s="262">
        <f t="shared" si="3"/>
        <v>-9.288336880000001</v>
      </c>
      <c r="T13" s="262">
        <f t="shared" si="3"/>
        <v>-0.64454186000000013</v>
      </c>
      <c r="U13" s="262">
        <f t="shared" si="3"/>
        <v>0</v>
      </c>
      <c r="V13" s="262">
        <f t="shared" si="3"/>
        <v>0</v>
      </c>
      <c r="W13" s="262">
        <f t="shared" si="3"/>
        <v>0</v>
      </c>
      <c r="X13" s="262">
        <f t="shared" si="3"/>
        <v>0</v>
      </c>
      <c r="Y13" s="262">
        <f t="shared" ref="Y13:AE15" si="4">+SUMIF($D$54:$D$77,$D13,Y$54:Y$77)</f>
        <v>0</v>
      </c>
      <c r="Z13" s="262">
        <f t="shared" si="4"/>
        <v>0</v>
      </c>
      <c r="AA13" s="262">
        <f t="shared" si="4"/>
        <v>0</v>
      </c>
      <c r="AB13" s="262">
        <f t="shared" si="4"/>
        <v>0</v>
      </c>
      <c r="AC13" s="262">
        <f t="shared" si="4"/>
        <v>0</v>
      </c>
      <c r="AD13" s="262">
        <f t="shared" si="4"/>
        <v>0</v>
      </c>
      <c r="AE13" s="262">
        <f t="shared" si="4"/>
        <v>-9.9328787399999996</v>
      </c>
    </row>
    <row r="14" spans="1:33" ht="14.1" customHeight="1">
      <c r="B14" s="352" t="str">
        <f>IF(Indice_index!$Z$1=1,"Impostos indiretos","Indirect taxes")</f>
        <v>Impostos indiretos</v>
      </c>
      <c r="C14" s="352"/>
      <c r="D14" s="261" t="s">
        <v>17</v>
      </c>
      <c r="E14" s="262">
        <f t="shared" si="2"/>
        <v>146.23768859</v>
      </c>
      <c r="F14" s="262">
        <f t="shared" si="2"/>
        <v>114.19563819999999</v>
      </c>
      <c r="G14" s="262">
        <f t="shared" si="2"/>
        <v>91.627915599999994</v>
      </c>
      <c r="H14" s="262">
        <f t="shared" si="2"/>
        <v>109.73049982999999</v>
      </c>
      <c r="I14" s="262">
        <f t="shared" si="2"/>
        <v>0.19269238999999999</v>
      </c>
      <c r="J14" s="262">
        <f t="shared" si="2"/>
        <v>9.8636110000000027E-2</v>
      </c>
      <c r="K14" s="262">
        <f t="shared" si="2"/>
        <v>12.132316230000001</v>
      </c>
      <c r="L14" s="262">
        <f t="shared" si="2"/>
        <v>0.69773004999999999</v>
      </c>
      <c r="M14" s="262">
        <f t="shared" si="2"/>
        <v>1.3500919199999999</v>
      </c>
      <c r="N14" s="262">
        <f t="shared" si="2"/>
        <v>11.685571379999999</v>
      </c>
      <c r="O14" s="262">
        <f t="shared" si="3"/>
        <v>0.80870765</v>
      </c>
      <c r="P14" s="262">
        <f t="shared" si="3"/>
        <v>7.3577830000000011E-2</v>
      </c>
      <c r="Q14" s="262">
        <f t="shared" si="3"/>
        <v>260.43332679000002</v>
      </c>
      <c r="R14" s="262">
        <f t="shared" si="3"/>
        <v>488.83106578000002</v>
      </c>
      <c r="S14" s="262">
        <f t="shared" si="3"/>
        <v>16.476199430000001</v>
      </c>
      <c r="T14" s="262">
        <f t="shared" si="3"/>
        <v>2.968281E-2</v>
      </c>
      <c r="U14" s="262">
        <f t="shared" si="3"/>
        <v>0</v>
      </c>
      <c r="V14" s="262">
        <f t="shared" si="3"/>
        <v>0</v>
      </c>
      <c r="W14" s="262">
        <f t="shared" si="3"/>
        <v>0</v>
      </c>
      <c r="X14" s="262">
        <f t="shared" si="3"/>
        <v>0</v>
      </c>
      <c r="Y14" s="262">
        <f t="shared" si="4"/>
        <v>0</v>
      </c>
      <c r="Z14" s="262">
        <f t="shared" si="4"/>
        <v>0</v>
      </c>
      <c r="AA14" s="262">
        <f t="shared" si="4"/>
        <v>0</v>
      </c>
      <c r="AB14" s="262">
        <f t="shared" si="4"/>
        <v>0</v>
      </c>
      <c r="AC14" s="262">
        <f t="shared" si="4"/>
        <v>0</v>
      </c>
      <c r="AD14" s="262">
        <f t="shared" si="4"/>
        <v>0</v>
      </c>
      <c r="AE14" s="262">
        <f t="shared" si="4"/>
        <v>16.505882239999998</v>
      </c>
    </row>
    <row r="15" spans="1:33" ht="14.1" customHeight="1">
      <c r="B15" s="352" t="str">
        <f>IF(Indice_index!$Z$1=1,"Contribuições para Segurança Social, CGA e ADSE","Social security, CGA and ADSE contributions")</f>
        <v>Contribuições para Segurança Social, CGA e ADSE</v>
      </c>
      <c r="C15" s="352"/>
      <c r="D15" s="261" t="s">
        <v>18</v>
      </c>
      <c r="E15" s="262">
        <f t="shared" si="2"/>
        <v>0</v>
      </c>
      <c r="F15" s="262">
        <f t="shared" si="2"/>
        <v>0</v>
      </c>
      <c r="G15" s="262">
        <f t="shared" si="2"/>
        <v>0</v>
      </c>
      <c r="H15" s="262">
        <f t="shared" si="2"/>
        <v>0</v>
      </c>
      <c r="I15" s="262">
        <f t="shared" si="2"/>
        <v>0</v>
      </c>
      <c r="J15" s="262">
        <f t="shared" si="2"/>
        <v>0</v>
      </c>
      <c r="K15" s="262">
        <f t="shared" si="2"/>
        <v>0</v>
      </c>
      <c r="L15" s="262">
        <f t="shared" si="2"/>
        <v>0</v>
      </c>
      <c r="M15" s="262">
        <f t="shared" si="2"/>
        <v>0</v>
      </c>
      <c r="N15" s="262">
        <f t="shared" si="2"/>
        <v>0</v>
      </c>
      <c r="O15" s="262">
        <f t="shared" si="3"/>
        <v>0</v>
      </c>
      <c r="P15" s="262">
        <f t="shared" si="3"/>
        <v>0</v>
      </c>
      <c r="Q15" s="262">
        <f t="shared" si="3"/>
        <v>0</v>
      </c>
      <c r="R15" s="262">
        <f t="shared" si="3"/>
        <v>0</v>
      </c>
      <c r="S15" s="262">
        <f t="shared" si="3"/>
        <v>0</v>
      </c>
      <c r="T15" s="262">
        <f t="shared" si="3"/>
        <v>0</v>
      </c>
      <c r="U15" s="262">
        <f t="shared" si="3"/>
        <v>0</v>
      </c>
      <c r="V15" s="262">
        <f t="shared" si="3"/>
        <v>0</v>
      </c>
      <c r="W15" s="262">
        <f t="shared" si="3"/>
        <v>0</v>
      </c>
      <c r="X15" s="262">
        <f t="shared" si="3"/>
        <v>0</v>
      </c>
      <c r="Y15" s="262">
        <f t="shared" si="4"/>
        <v>0</v>
      </c>
      <c r="Z15" s="262">
        <f t="shared" si="4"/>
        <v>0</v>
      </c>
      <c r="AA15" s="262">
        <f t="shared" si="4"/>
        <v>0</v>
      </c>
      <c r="AB15" s="262">
        <f t="shared" si="4"/>
        <v>0</v>
      </c>
      <c r="AC15" s="262">
        <f t="shared" si="4"/>
        <v>0</v>
      </c>
      <c r="AD15" s="262">
        <f t="shared" si="4"/>
        <v>0</v>
      </c>
      <c r="AE15" s="262">
        <f t="shared" si="4"/>
        <v>0</v>
      </c>
    </row>
    <row r="16" spans="1:33" ht="14.1" customHeight="1">
      <c r="B16" s="352" t="str">
        <f>IF(Indice_index!$Z$1=1,"Transferências correntes","Current transfers")</f>
        <v>Transferências correntes</v>
      </c>
      <c r="C16" s="352"/>
      <c r="D16" s="261" t="s">
        <v>19</v>
      </c>
      <c r="E16" s="262">
        <f t="shared" ref="E16:AE16" si="5">+E17+E18</f>
        <v>0</v>
      </c>
      <c r="F16" s="262">
        <f t="shared" si="5"/>
        <v>0</v>
      </c>
      <c r="G16" s="262">
        <f t="shared" si="5"/>
        <v>0</v>
      </c>
      <c r="H16" s="262">
        <f t="shared" si="5"/>
        <v>0</v>
      </c>
      <c r="I16" s="262">
        <f t="shared" si="5"/>
        <v>0</v>
      </c>
      <c r="J16" s="262">
        <f t="shared" si="5"/>
        <v>0</v>
      </c>
      <c r="K16" s="262">
        <f t="shared" si="5"/>
        <v>0</v>
      </c>
      <c r="L16" s="262">
        <f t="shared" si="5"/>
        <v>0</v>
      </c>
      <c r="M16" s="262">
        <f t="shared" si="5"/>
        <v>0</v>
      </c>
      <c r="N16" s="262">
        <f t="shared" si="5"/>
        <v>0</v>
      </c>
      <c r="O16" s="262">
        <f t="shared" si="5"/>
        <v>0</v>
      </c>
      <c r="P16" s="262">
        <f t="shared" si="5"/>
        <v>0</v>
      </c>
      <c r="Q16" s="262">
        <f t="shared" si="5"/>
        <v>0</v>
      </c>
      <c r="R16" s="262">
        <f t="shared" si="5"/>
        <v>0</v>
      </c>
      <c r="S16" s="262">
        <f t="shared" si="5"/>
        <v>0</v>
      </c>
      <c r="T16" s="262">
        <f t="shared" si="5"/>
        <v>0</v>
      </c>
      <c r="U16" s="262">
        <f t="shared" si="5"/>
        <v>0</v>
      </c>
      <c r="V16" s="262">
        <f t="shared" si="5"/>
        <v>0</v>
      </c>
      <c r="W16" s="262">
        <f t="shared" si="5"/>
        <v>0</v>
      </c>
      <c r="X16" s="262">
        <f t="shared" si="5"/>
        <v>0</v>
      </c>
      <c r="Y16" s="262">
        <f t="shared" si="5"/>
        <v>0</v>
      </c>
      <c r="Z16" s="262">
        <f t="shared" si="5"/>
        <v>0</v>
      </c>
      <c r="AA16" s="262">
        <f t="shared" si="5"/>
        <v>0</v>
      </c>
      <c r="AB16" s="262">
        <f t="shared" si="5"/>
        <v>0</v>
      </c>
      <c r="AC16" s="262">
        <f t="shared" si="5"/>
        <v>0</v>
      </c>
      <c r="AD16" s="262">
        <f t="shared" si="5"/>
        <v>0</v>
      </c>
      <c r="AE16" s="262">
        <f t="shared" si="5"/>
        <v>0</v>
      </c>
    </row>
    <row r="17" spans="2:31" ht="14.1" customHeight="1">
      <c r="B17" s="359" t="str">
        <f>IF(Indice_index!$Z$1=1,"Administrações Públicas","General Government subsectors")</f>
        <v>Administrações Públicas</v>
      </c>
      <c r="C17" s="359"/>
      <c r="D17" s="261" t="s">
        <v>20</v>
      </c>
      <c r="E17" s="262">
        <f t="shared" ref="E17:N19" si="6">+SUMIF($D$54:$D$77,$D17,E$54:E$77)</f>
        <v>0</v>
      </c>
      <c r="F17" s="262">
        <f t="shared" si="6"/>
        <v>0</v>
      </c>
      <c r="G17" s="262">
        <f t="shared" si="6"/>
        <v>0</v>
      </c>
      <c r="H17" s="262">
        <f t="shared" si="6"/>
        <v>0</v>
      </c>
      <c r="I17" s="262">
        <f t="shared" si="6"/>
        <v>0</v>
      </c>
      <c r="J17" s="262">
        <f t="shared" si="6"/>
        <v>0</v>
      </c>
      <c r="K17" s="262">
        <f t="shared" si="6"/>
        <v>0</v>
      </c>
      <c r="L17" s="262">
        <f t="shared" si="6"/>
        <v>0</v>
      </c>
      <c r="M17" s="262">
        <f t="shared" si="6"/>
        <v>0</v>
      </c>
      <c r="N17" s="262">
        <f t="shared" si="6"/>
        <v>0</v>
      </c>
      <c r="O17" s="262">
        <f t="shared" ref="O17:X19" si="7">+SUMIF($D$54:$D$77,$D17,O$54:O$77)</f>
        <v>0</v>
      </c>
      <c r="P17" s="262">
        <f t="shared" si="7"/>
        <v>0</v>
      </c>
      <c r="Q17" s="262">
        <f t="shared" si="7"/>
        <v>0</v>
      </c>
      <c r="R17" s="262">
        <f t="shared" si="7"/>
        <v>0</v>
      </c>
      <c r="S17" s="262">
        <f t="shared" si="7"/>
        <v>0</v>
      </c>
      <c r="T17" s="262">
        <f t="shared" si="7"/>
        <v>0</v>
      </c>
      <c r="U17" s="262">
        <f t="shared" si="7"/>
        <v>0</v>
      </c>
      <c r="V17" s="262">
        <f t="shared" si="7"/>
        <v>0</v>
      </c>
      <c r="W17" s="262">
        <f t="shared" si="7"/>
        <v>0</v>
      </c>
      <c r="X17" s="262">
        <f t="shared" si="7"/>
        <v>0</v>
      </c>
      <c r="Y17" s="262">
        <f t="shared" ref="Y17:AE19" si="8">+SUMIF($D$54:$D$77,$D17,Y$54:Y$77)</f>
        <v>0</v>
      </c>
      <c r="Z17" s="262">
        <f t="shared" si="8"/>
        <v>0</v>
      </c>
      <c r="AA17" s="262">
        <f t="shared" si="8"/>
        <v>0</v>
      </c>
      <c r="AB17" s="262">
        <f t="shared" si="8"/>
        <v>0</v>
      </c>
      <c r="AC17" s="262">
        <f t="shared" si="8"/>
        <v>0</v>
      </c>
      <c r="AD17" s="262">
        <f t="shared" si="8"/>
        <v>0</v>
      </c>
      <c r="AE17" s="262">
        <f t="shared" si="8"/>
        <v>0</v>
      </c>
    </row>
    <row r="18" spans="2:31" ht="14.1" customHeight="1">
      <c r="B18" s="359" t="str">
        <f>IF(Indice_index!$Z$1=1,"Outras","Others")</f>
        <v>Outras</v>
      </c>
      <c r="C18" s="359"/>
      <c r="D18" s="261" t="s">
        <v>21</v>
      </c>
      <c r="E18" s="262">
        <f t="shared" si="6"/>
        <v>0</v>
      </c>
      <c r="F18" s="262">
        <f t="shared" si="6"/>
        <v>0</v>
      </c>
      <c r="G18" s="262">
        <f t="shared" si="6"/>
        <v>0</v>
      </c>
      <c r="H18" s="262">
        <f t="shared" si="6"/>
        <v>0</v>
      </c>
      <c r="I18" s="262">
        <f t="shared" si="6"/>
        <v>0</v>
      </c>
      <c r="J18" s="262">
        <f t="shared" si="6"/>
        <v>0</v>
      </c>
      <c r="K18" s="262">
        <f t="shared" si="6"/>
        <v>0</v>
      </c>
      <c r="L18" s="262">
        <f t="shared" si="6"/>
        <v>0</v>
      </c>
      <c r="M18" s="262">
        <f t="shared" si="6"/>
        <v>0</v>
      </c>
      <c r="N18" s="262">
        <f t="shared" si="6"/>
        <v>0</v>
      </c>
      <c r="O18" s="262">
        <f t="shared" si="7"/>
        <v>0</v>
      </c>
      <c r="P18" s="262">
        <f t="shared" si="7"/>
        <v>0</v>
      </c>
      <c r="Q18" s="262">
        <f t="shared" si="7"/>
        <v>0</v>
      </c>
      <c r="R18" s="262">
        <f t="shared" si="7"/>
        <v>0</v>
      </c>
      <c r="S18" s="262">
        <f t="shared" si="7"/>
        <v>0</v>
      </c>
      <c r="T18" s="262">
        <f t="shared" si="7"/>
        <v>0</v>
      </c>
      <c r="U18" s="262">
        <f t="shared" si="7"/>
        <v>0</v>
      </c>
      <c r="V18" s="262">
        <f t="shared" si="7"/>
        <v>0</v>
      </c>
      <c r="W18" s="262">
        <f t="shared" si="7"/>
        <v>0</v>
      </c>
      <c r="X18" s="262">
        <f t="shared" si="7"/>
        <v>0</v>
      </c>
      <c r="Y18" s="262">
        <f t="shared" si="8"/>
        <v>0</v>
      </c>
      <c r="Z18" s="262">
        <f t="shared" si="8"/>
        <v>0</v>
      </c>
      <c r="AA18" s="262">
        <f t="shared" si="8"/>
        <v>0</v>
      </c>
      <c r="AB18" s="262">
        <f t="shared" si="8"/>
        <v>0</v>
      </c>
      <c r="AC18" s="262">
        <f t="shared" si="8"/>
        <v>0</v>
      </c>
      <c r="AD18" s="262">
        <f t="shared" si="8"/>
        <v>0</v>
      </c>
      <c r="AE18" s="262">
        <f t="shared" si="8"/>
        <v>0</v>
      </c>
    </row>
    <row r="19" spans="2:31" ht="14.1" customHeight="1">
      <c r="B19" s="352" t="str">
        <f>IF(Indice_index!$Z$1=1,"Outras receitas correntes","Other current revenue")</f>
        <v>Outras receitas correntes</v>
      </c>
      <c r="C19" s="352"/>
      <c r="D19" s="261" t="s">
        <v>22</v>
      </c>
      <c r="E19" s="262">
        <f t="shared" si="6"/>
        <v>0.85614570000000001</v>
      </c>
      <c r="F19" s="262">
        <f t="shared" si="6"/>
        <v>0</v>
      </c>
      <c r="G19" s="262">
        <f t="shared" si="6"/>
        <v>96.682580119999997</v>
      </c>
      <c r="H19" s="262">
        <f t="shared" si="6"/>
        <v>44.652790590000002</v>
      </c>
      <c r="I19" s="262">
        <f t="shared" si="6"/>
        <v>671.5</v>
      </c>
      <c r="J19" s="262">
        <f t="shared" si="6"/>
        <v>10.14733176</v>
      </c>
      <c r="K19" s="262">
        <f t="shared" si="6"/>
        <v>0</v>
      </c>
      <c r="L19" s="262">
        <f t="shared" si="6"/>
        <v>0</v>
      </c>
      <c r="M19" s="262">
        <f t="shared" si="6"/>
        <v>0.35992350000000001</v>
      </c>
      <c r="N19" s="262">
        <f t="shared" si="6"/>
        <v>0.59</v>
      </c>
      <c r="O19" s="262">
        <f t="shared" si="7"/>
        <v>18.8057129</v>
      </c>
      <c r="P19" s="262">
        <f t="shared" si="7"/>
        <v>189.11635421999998</v>
      </c>
      <c r="Q19" s="262">
        <f t="shared" si="7"/>
        <v>0.85614570000000001</v>
      </c>
      <c r="R19" s="262">
        <f t="shared" si="7"/>
        <v>1032.71083879</v>
      </c>
      <c r="S19" s="262">
        <f t="shared" si="7"/>
        <v>0.74414999999999998</v>
      </c>
      <c r="T19" s="262">
        <f t="shared" si="7"/>
        <v>1.48441837</v>
      </c>
      <c r="U19" s="262">
        <f t="shared" si="7"/>
        <v>0</v>
      </c>
      <c r="V19" s="262">
        <f t="shared" si="7"/>
        <v>0</v>
      </c>
      <c r="W19" s="262">
        <f t="shared" si="7"/>
        <v>0</v>
      </c>
      <c r="X19" s="262">
        <f t="shared" si="7"/>
        <v>0</v>
      </c>
      <c r="Y19" s="262">
        <f t="shared" si="8"/>
        <v>0</v>
      </c>
      <c r="Z19" s="262">
        <f t="shared" si="8"/>
        <v>0</v>
      </c>
      <c r="AA19" s="262">
        <f t="shared" si="8"/>
        <v>0</v>
      </c>
      <c r="AB19" s="262">
        <f t="shared" si="8"/>
        <v>0</v>
      </c>
      <c r="AC19" s="262">
        <f t="shared" si="8"/>
        <v>0</v>
      </c>
      <c r="AD19" s="262">
        <f t="shared" si="8"/>
        <v>0</v>
      </c>
      <c r="AE19" s="262">
        <f t="shared" si="8"/>
        <v>2.2285683700000001</v>
      </c>
    </row>
    <row r="20" spans="2:31" ht="14.1" customHeight="1">
      <c r="B20" s="357" t="str">
        <f>IF(Indice_index!$Z$1=1,"Receita de capital","Capital revenue")</f>
        <v>Receita de capital</v>
      </c>
      <c r="C20" s="357"/>
      <c r="D20" s="263"/>
      <c r="E20" s="260">
        <f t="shared" ref="E20:AE20" si="9">+E21+E22+E25</f>
        <v>0</v>
      </c>
      <c r="F20" s="260">
        <f t="shared" si="9"/>
        <v>0</v>
      </c>
      <c r="G20" s="260">
        <f t="shared" si="9"/>
        <v>0</v>
      </c>
      <c r="H20" s="260">
        <f t="shared" si="9"/>
        <v>0</v>
      </c>
      <c r="I20" s="260">
        <f t="shared" si="9"/>
        <v>0</v>
      </c>
      <c r="J20" s="260">
        <f t="shared" si="9"/>
        <v>0</v>
      </c>
      <c r="K20" s="260">
        <f t="shared" si="9"/>
        <v>0</v>
      </c>
      <c r="L20" s="260">
        <f t="shared" si="9"/>
        <v>0</v>
      </c>
      <c r="M20" s="260">
        <f t="shared" si="9"/>
        <v>0</v>
      </c>
      <c r="N20" s="260">
        <f t="shared" si="9"/>
        <v>0</v>
      </c>
      <c r="O20" s="260">
        <f t="shared" si="9"/>
        <v>4.8098674900000002</v>
      </c>
      <c r="P20" s="260">
        <f t="shared" si="9"/>
        <v>0</v>
      </c>
      <c r="Q20" s="260">
        <f t="shared" si="9"/>
        <v>0</v>
      </c>
      <c r="R20" s="260">
        <f t="shared" si="9"/>
        <v>4.8098674900000002</v>
      </c>
      <c r="S20" s="260">
        <f t="shared" si="9"/>
        <v>0</v>
      </c>
      <c r="T20" s="260">
        <f t="shared" si="9"/>
        <v>0</v>
      </c>
      <c r="U20" s="260">
        <f t="shared" si="9"/>
        <v>0</v>
      </c>
      <c r="V20" s="260">
        <f t="shared" si="9"/>
        <v>0</v>
      </c>
      <c r="W20" s="260">
        <f t="shared" si="9"/>
        <v>0</v>
      </c>
      <c r="X20" s="260">
        <f t="shared" si="9"/>
        <v>0</v>
      </c>
      <c r="Y20" s="260">
        <f t="shared" si="9"/>
        <v>0</v>
      </c>
      <c r="Z20" s="260">
        <f t="shared" si="9"/>
        <v>0</v>
      </c>
      <c r="AA20" s="260">
        <f t="shared" si="9"/>
        <v>0</v>
      </c>
      <c r="AB20" s="260">
        <f t="shared" si="9"/>
        <v>0</v>
      </c>
      <c r="AC20" s="260">
        <f t="shared" si="9"/>
        <v>0</v>
      </c>
      <c r="AD20" s="260">
        <f t="shared" si="9"/>
        <v>0</v>
      </c>
      <c r="AE20" s="260">
        <f t="shared" si="9"/>
        <v>0</v>
      </c>
    </row>
    <row r="21" spans="2:31" ht="14.1" customHeight="1">
      <c r="B21" s="352" t="str">
        <f>IF(Indice_index!$Z$1=1,"Venda de bens de investimento","Sale of investment good")</f>
        <v>Venda de bens de investimento</v>
      </c>
      <c r="C21" s="352"/>
      <c r="D21" s="261" t="s">
        <v>23</v>
      </c>
      <c r="E21" s="262">
        <f t="shared" ref="E21:AE21" si="10">+SUMIF($D$54:$D$77,$D21,E$54:E$77)</f>
        <v>0</v>
      </c>
      <c r="F21" s="262">
        <f t="shared" si="10"/>
        <v>0</v>
      </c>
      <c r="G21" s="262">
        <f t="shared" si="10"/>
        <v>0</v>
      </c>
      <c r="H21" s="262">
        <f t="shared" si="10"/>
        <v>0</v>
      </c>
      <c r="I21" s="262">
        <f t="shared" si="10"/>
        <v>0</v>
      </c>
      <c r="J21" s="262">
        <f t="shared" si="10"/>
        <v>0</v>
      </c>
      <c r="K21" s="262">
        <f t="shared" si="10"/>
        <v>0</v>
      </c>
      <c r="L21" s="262">
        <f t="shared" si="10"/>
        <v>0</v>
      </c>
      <c r="M21" s="262">
        <f t="shared" si="10"/>
        <v>0</v>
      </c>
      <c r="N21" s="262">
        <f t="shared" si="10"/>
        <v>0</v>
      </c>
      <c r="O21" s="262">
        <f t="shared" si="10"/>
        <v>0</v>
      </c>
      <c r="P21" s="262">
        <f t="shared" si="10"/>
        <v>0</v>
      </c>
      <c r="Q21" s="262">
        <f t="shared" si="10"/>
        <v>0</v>
      </c>
      <c r="R21" s="262">
        <f t="shared" si="10"/>
        <v>0</v>
      </c>
      <c r="S21" s="262">
        <f t="shared" si="10"/>
        <v>0</v>
      </c>
      <c r="T21" s="262">
        <f t="shared" si="10"/>
        <v>0</v>
      </c>
      <c r="U21" s="262">
        <f t="shared" si="10"/>
        <v>0</v>
      </c>
      <c r="V21" s="262">
        <f t="shared" si="10"/>
        <v>0</v>
      </c>
      <c r="W21" s="262">
        <f t="shared" si="10"/>
        <v>0</v>
      </c>
      <c r="X21" s="262">
        <f t="shared" si="10"/>
        <v>0</v>
      </c>
      <c r="Y21" s="262">
        <f t="shared" si="10"/>
        <v>0</v>
      </c>
      <c r="Z21" s="262">
        <f t="shared" si="10"/>
        <v>0</v>
      </c>
      <c r="AA21" s="262">
        <f t="shared" si="10"/>
        <v>0</v>
      </c>
      <c r="AB21" s="262">
        <f t="shared" si="10"/>
        <v>0</v>
      </c>
      <c r="AC21" s="262">
        <f t="shared" si="10"/>
        <v>0</v>
      </c>
      <c r="AD21" s="262">
        <f t="shared" si="10"/>
        <v>0</v>
      </c>
      <c r="AE21" s="262">
        <f t="shared" si="10"/>
        <v>0</v>
      </c>
    </row>
    <row r="22" spans="2:31" ht="14.1" customHeight="1">
      <c r="B22" s="352" t="str">
        <f>IF(Indice_index!$Z$1=1,"Transferências de capital","Capital transfers")</f>
        <v>Transferências de capital</v>
      </c>
      <c r="C22" s="352"/>
      <c r="D22" s="261" t="s">
        <v>24</v>
      </c>
      <c r="E22" s="262">
        <f t="shared" ref="E22:AE22" si="11">+E23+E24</f>
        <v>0</v>
      </c>
      <c r="F22" s="262">
        <f t="shared" si="11"/>
        <v>0</v>
      </c>
      <c r="G22" s="262">
        <f t="shared" si="11"/>
        <v>0</v>
      </c>
      <c r="H22" s="262">
        <f t="shared" si="11"/>
        <v>0</v>
      </c>
      <c r="I22" s="262">
        <f t="shared" si="11"/>
        <v>0</v>
      </c>
      <c r="J22" s="262">
        <f t="shared" si="11"/>
        <v>0</v>
      </c>
      <c r="K22" s="262">
        <f t="shared" si="11"/>
        <v>0</v>
      </c>
      <c r="L22" s="262">
        <f t="shared" si="11"/>
        <v>0</v>
      </c>
      <c r="M22" s="262">
        <f t="shared" si="11"/>
        <v>0</v>
      </c>
      <c r="N22" s="262">
        <f t="shared" si="11"/>
        <v>0</v>
      </c>
      <c r="O22" s="262">
        <f t="shared" si="11"/>
        <v>0</v>
      </c>
      <c r="P22" s="262">
        <f t="shared" si="11"/>
        <v>0</v>
      </c>
      <c r="Q22" s="262">
        <f t="shared" si="11"/>
        <v>0</v>
      </c>
      <c r="R22" s="262">
        <f t="shared" si="11"/>
        <v>0</v>
      </c>
      <c r="S22" s="262">
        <f t="shared" si="11"/>
        <v>0</v>
      </c>
      <c r="T22" s="262">
        <f t="shared" si="11"/>
        <v>0</v>
      </c>
      <c r="U22" s="262">
        <f t="shared" si="11"/>
        <v>0</v>
      </c>
      <c r="V22" s="262">
        <f t="shared" si="11"/>
        <v>0</v>
      </c>
      <c r="W22" s="262">
        <f t="shared" si="11"/>
        <v>0</v>
      </c>
      <c r="X22" s="262">
        <f t="shared" si="11"/>
        <v>0</v>
      </c>
      <c r="Y22" s="262">
        <f t="shared" si="11"/>
        <v>0</v>
      </c>
      <c r="Z22" s="262">
        <f t="shared" si="11"/>
        <v>0</v>
      </c>
      <c r="AA22" s="262">
        <f t="shared" si="11"/>
        <v>0</v>
      </c>
      <c r="AB22" s="262">
        <f t="shared" si="11"/>
        <v>0</v>
      </c>
      <c r="AC22" s="262">
        <f t="shared" si="11"/>
        <v>0</v>
      </c>
      <c r="AD22" s="262">
        <f t="shared" si="11"/>
        <v>0</v>
      </c>
      <c r="AE22" s="262">
        <f t="shared" si="11"/>
        <v>0</v>
      </c>
    </row>
    <row r="23" spans="2:31" ht="14.1" customHeight="1">
      <c r="B23" s="359" t="str">
        <f>IF(Indice_index!$Z$1=1,"Administrações Públicas","General Government subsectors")</f>
        <v>Administrações Públicas</v>
      </c>
      <c r="C23" s="359"/>
      <c r="D23" s="261" t="s">
        <v>25</v>
      </c>
      <c r="E23" s="262">
        <f t="shared" ref="E23:N25" si="12">+SUMIF($D$54:$D$77,$D23,E$54:E$77)</f>
        <v>0</v>
      </c>
      <c r="F23" s="262">
        <f t="shared" si="12"/>
        <v>0</v>
      </c>
      <c r="G23" s="262">
        <f t="shared" si="12"/>
        <v>0</v>
      </c>
      <c r="H23" s="262">
        <f t="shared" si="12"/>
        <v>0</v>
      </c>
      <c r="I23" s="262">
        <f t="shared" si="12"/>
        <v>0</v>
      </c>
      <c r="J23" s="262">
        <f t="shared" si="12"/>
        <v>0</v>
      </c>
      <c r="K23" s="262">
        <f t="shared" si="12"/>
        <v>0</v>
      </c>
      <c r="L23" s="262">
        <f t="shared" si="12"/>
        <v>0</v>
      </c>
      <c r="M23" s="262">
        <f t="shared" si="12"/>
        <v>0</v>
      </c>
      <c r="N23" s="262">
        <f t="shared" si="12"/>
        <v>0</v>
      </c>
      <c r="O23" s="262">
        <f t="shared" ref="O23:X25" si="13">+SUMIF($D$54:$D$77,$D23,O$54:O$77)</f>
        <v>0</v>
      </c>
      <c r="P23" s="262">
        <f t="shared" si="13"/>
        <v>0</v>
      </c>
      <c r="Q23" s="262">
        <f t="shared" si="13"/>
        <v>0</v>
      </c>
      <c r="R23" s="262">
        <f t="shared" si="13"/>
        <v>0</v>
      </c>
      <c r="S23" s="262">
        <f t="shared" si="13"/>
        <v>0</v>
      </c>
      <c r="T23" s="262">
        <f t="shared" si="13"/>
        <v>0</v>
      </c>
      <c r="U23" s="262">
        <f t="shared" si="13"/>
        <v>0</v>
      </c>
      <c r="V23" s="262">
        <f t="shared" si="13"/>
        <v>0</v>
      </c>
      <c r="W23" s="262">
        <f t="shared" si="13"/>
        <v>0</v>
      </c>
      <c r="X23" s="262">
        <f t="shared" si="13"/>
        <v>0</v>
      </c>
      <c r="Y23" s="262">
        <f t="shared" ref="Y23:AE25" si="14">+SUMIF($D$54:$D$77,$D23,Y$54:Y$77)</f>
        <v>0</v>
      </c>
      <c r="Z23" s="262">
        <f t="shared" si="14"/>
        <v>0</v>
      </c>
      <c r="AA23" s="262">
        <f t="shared" si="14"/>
        <v>0</v>
      </c>
      <c r="AB23" s="262">
        <f t="shared" si="14"/>
        <v>0</v>
      </c>
      <c r="AC23" s="262">
        <f t="shared" si="14"/>
        <v>0</v>
      </c>
      <c r="AD23" s="262">
        <f t="shared" si="14"/>
        <v>0</v>
      </c>
      <c r="AE23" s="262">
        <f t="shared" si="14"/>
        <v>0</v>
      </c>
    </row>
    <row r="24" spans="2:31" ht="14.1" customHeight="1">
      <c r="B24" s="359" t="str">
        <f>IF(Indice_index!$Z$1=1,"Outras","Others")</f>
        <v>Outras</v>
      </c>
      <c r="C24" s="359"/>
      <c r="D24" s="261" t="s">
        <v>26</v>
      </c>
      <c r="E24" s="262">
        <f t="shared" si="12"/>
        <v>0</v>
      </c>
      <c r="F24" s="262">
        <f t="shared" si="12"/>
        <v>0</v>
      </c>
      <c r="G24" s="262">
        <f t="shared" si="12"/>
        <v>0</v>
      </c>
      <c r="H24" s="262">
        <f t="shared" si="12"/>
        <v>0</v>
      </c>
      <c r="I24" s="262">
        <f t="shared" si="12"/>
        <v>0</v>
      </c>
      <c r="J24" s="262">
        <f t="shared" si="12"/>
        <v>0</v>
      </c>
      <c r="K24" s="262">
        <f t="shared" si="12"/>
        <v>0</v>
      </c>
      <c r="L24" s="262">
        <f t="shared" si="12"/>
        <v>0</v>
      </c>
      <c r="M24" s="262">
        <f t="shared" si="12"/>
        <v>0</v>
      </c>
      <c r="N24" s="262">
        <f t="shared" si="12"/>
        <v>0</v>
      </c>
      <c r="O24" s="262">
        <f t="shared" si="13"/>
        <v>0</v>
      </c>
      <c r="P24" s="262">
        <f t="shared" si="13"/>
        <v>0</v>
      </c>
      <c r="Q24" s="262">
        <f t="shared" si="13"/>
        <v>0</v>
      </c>
      <c r="R24" s="262">
        <f t="shared" si="13"/>
        <v>0</v>
      </c>
      <c r="S24" s="262">
        <f t="shared" si="13"/>
        <v>0</v>
      </c>
      <c r="T24" s="262">
        <f t="shared" si="13"/>
        <v>0</v>
      </c>
      <c r="U24" s="262">
        <f t="shared" si="13"/>
        <v>0</v>
      </c>
      <c r="V24" s="262">
        <f t="shared" si="13"/>
        <v>0</v>
      </c>
      <c r="W24" s="262">
        <f t="shared" si="13"/>
        <v>0</v>
      </c>
      <c r="X24" s="262">
        <f t="shared" si="13"/>
        <v>0</v>
      </c>
      <c r="Y24" s="262">
        <f t="shared" si="14"/>
        <v>0</v>
      </c>
      <c r="Z24" s="262">
        <f t="shared" si="14"/>
        <v>0</v>
      </c>
      <c r="AA24" s="262">
        <f t="shared" si="14"/>
        <v>0</v>
      </c>
      <c r="AB24" s="262">
        <f t="shared" si="14"/>
        <v>0</v>
      </c>
      <c r="AC24" s="262">
        <f t="shared" si="14"/>
        <v>0</v>
      </c>
      <c r="AD24" s="262">
        <f t="shared" si="14"/>
        <v>0</v>
      </c>
      <c r="AE24" s="262">
        <f t="shared" si="14"/>
        <v>0</v>
      </c>
    </row>
    <row r="25" spans="2:31" ht="14.1" customHeight="1">
      <c r="B25" s="352" t="str">
        <f>IF(Indice_index!$Z$1=1,"Outras receitas de capital","Other capital revenue")</f>
        <v>Outras receitas de capital</v>
      </c>
      <c r="C25" s="352"/>
      <c r="D25" s="261" t="s">
        <v>27</v>
      </c>
      <c r="E25" s="262">
        <f t="shared" si="12"/>
        <v>0</v>
      </c>
      <c r="F25" s="262">
        <f t="shared" si="12"/>
        <v>0</v>
      </c>
      <c r="G25" s="262">
        <f t="shared" si="12"/>
        <v>0</v>
      </c>
      <c r="H25" s="262">
        <f t="shared" si="12"/>
        <v>0</v>
      </c>
      <c r="I25" s="262">
        <f t="shared" si="12"/>
        <v>0</v>
      </c>
      <c r="J25" s="262">
        <f t="shared" si="12"/>
        <v>0</v>
      </c>
      <c r="K25" s="262">
        <f t="shared" si="12"/>
        <v>0</v>
      </c>
      <c r="L25" s="262">
        <f t="shared" si="12"/>
        <v>0</v>
      </c>
      <c r="M25" s="262">
        <f t="shared" si="12"/>
        <v>0</v>
      </c>
      <c r="N25" s="262">
        <f t="shared" si="12"/>
        <v>0</v>
      </c>
      <c r="O25" s="262">
        <f t="shared" si="13"/>
        <v>4.8098674900000002</v>
      </c>
      <c r="P25" s="262">
        <f t="shared" si="13"/>
        <v>0</v>
      </c>
      <c r="Q25" s="262">
        <f t="shared" si="13"/>
        <v>0</v>
      </c>
      <c r="R25" s="262">
        <f t="shared" si="13"/>
        <v>4.8098674900000002</v>
      </c>
      <c r="S25" s="262">
        <f t="shared" si="13"/>
        <v>0</v>
      </c>
      <c r="T25" s="262">
        <f t="shared" si="13"/>
        <v>0</v>
      </c>
      <c r="U25" s="262">
        <f t="shared" si="13"/>
        <v>0</v>
      </c>
      <c r="V25" s="262">
        <f t="shared" si="13"/>
        <v>0</v>
      </c>
      <c r="W25" s="262">
        <f t="shared" si="13"/>
        <v>0</v>
      </c>
      <c r="X25" s="262">
        <f t="shared" si="13"/>
        <v>0</v>
      </c>
      <c r="Y25" s="262">
        <f t="shared" si="14"/>
        <v>0</v>
      </c>
      <c r="Z25" s="262">
        <f t="shared" si="14"/>
        <v>0</v>
      </c>
      <c r="AA25" s="262">
        <f t="shared" si="14"/>
        <v>0</v>
      </c>
      <c r="AB25" s="262">
        <f t="shared" si="14"/>
        <v>0</v>
      </c>
      <c r="AC25" s="262">
        <f t="shared" si="14"/>
        <v>0</v>
      </c>
      <c r="AD25" s="262">
        <f t="shared" si="14"/>
        <v>0</v>
      </c>
      <c r="AE25" s="262">
        <f t="shared" si="14"/>
        <v>0</v>
      </c>
    </row>
    <row r="26" spans="2:31" ht="14.1" customHeight="1">
      <c r="B26" s="439" t="str">
        <f>IF(Indice_index!$Z$1=1,"Receita efetiva","Effective revenue")</f>
        <v>Receita efetiva</v>
      </c>
      <c r="C26" s="440"/>
      <c r="D26" s="106"/>
      <c r="E26" s="107">
        <f t="shared" ref="E26:AE26" si="15">+E12+E20</f>
        <v>146.22740932000002</v>
      </c>
      <c r="F26" s="107">
        <f t="shared" si="15"/>
        <v>116.73249326999999</v>
      </c>
      <c r="G26" s="107">
        <f t="shared" si="15"/>
        <v>187.99059886999999</v>
      </c>
      <c r="H26" s="107">
        <f t="shared" si="15"/>
        <v>154.8813141</v>
      </c>
      <c r="I26" s="107">
        <f t="shared" si="15"/>
        <v>673.30172317999995</v>
      </c>
      <c r="J26" s="107">
        <f t="shared" si="15"/>
        <v>217.80389824000002</v>
      </c>
      <c r="K26" s="107">
        <f t="shared" si="15"/>
        <v>-5.2884401799999985</v>
      </c>
      <c r="L26" s="107">
        <f t="shared" si="15"/>
        <v>-1.6090640199999999</v>
      </c>
      <c r="M26" s="107">
        <f t="shared" si="15"/>
        <v>1.1482578799999998</v>
      </c>
      <c r="N26" s="107">
        <f t="shared" si="15"/>
        <v>423.36464900999994</v>
      </c>
      <c r="O26" s="107">
        <f t="shared" si="15"/>
        <v>-67.114840959999995</v>
      </c>
      <c r="P26" s="107">
        <f>+P12+P20</f>
        <v>141.19758092999996</v>
      </c>
      <c r="Q26" s="107">
        <f t="shared" si="15"/>
        <v>262.95990259000001</v>
      </c>
      <c r="R26" s="107">
        <f t="shared" si="15"/>
        <v>1988.6355796400001</v>
      </c>
      <c r="S26" s="107">
        <f t="shared" si="15"/>
        <v>7.9320125500000005</v>
      </c>
      <c r="T26" s="107">
        <f t="shared" si="15"/>
        <v>0.8695593199999998</v>
      </c>
      <c r="U26" s="107">
        <f t="shared" si="15"/>
        <v>0</v>
      </c>
      <c r="V26" s="107">
        <f t="shared" si="15"/>
        <v>0</v>
      </c>
      <c r="W26" s="107">
        <f t="shared" si="15"/>
        <v>0</v>
      </c>
      <c r="X26" s="107">
        <f t="shared" si="15"/>
        <v>0</v>
      </c>
      <c r="Y26" s="107">
        <f t="shared" si="15"/>
        <v>0</v>
      </c>
      <c r="Z26" s="107">
        <f t="shared" si="15"/>
        <v>0</v>
      </c>
      <c r="AA26" s="107">
        <f t="shared" si="15"/>
        <v>0</v>
      </c>
      <c r="AB26" s="107">
        <f t="shared" si="15"/>
        <v>0</v>
      </c>
      <c r="AC26" s="107">
        <f t="shared" si="15"/>
        <v>0</v>
      </c>
      <c r="AD26" s="107">
        <f t="shared" si="15"/>
        <v>0</v>
      </c>
      <c r="AE26" s="107">
        <f t="shared" si="15"/>
        <v>8.8015718699999983</v>
      </c>
    </row>
    <row r="27" spans="2:31" ht="14.1" customHeight="1">
      <c r="B27" s="357" t="str">
        <f>IF(Indice_index!$Z$1=1,"Despesa corrente","Current expenditure")</f>
        <v>Despesa corrente</v>
      </c>
      <c r="C27" s="357"/>
      <c r="D27" s="263"/>
      <c r="E27" s="260">
        <f t="shared" ref="E27:R27" si="16">+E28+E29+E30+E31+E34+E35</f>
        <v>12.362410000000001</v>
      </c>
      <c r="F27" s="260">
        <f t="shared" si="16"/>
        <v>12.362410000000001</v>
      </c>
      <c r="G27" s="260">
        <f t="shared" si="16"/>
        <v>12.362410000000001</v>
      </c>
      <c r="H27" s="260">
        <f t="shared" si="16"/>
        <v>12.362410000000001</v>
      </c>
      <c r="I27" s="260">
        <f t="shared" si="16"/>
        <v>12.362410000000001</v>
      </c>
      <c r="J27" s="260">
        <f t="shared" si="16"/>
        <v>12.362410000000001</v>
      </c>
      <c r="K27" s="260">
        <f t="shared" si="16"/>
        <v>179.07550925000001</v>
      </c>
      <c r="L27" s="260">
        <f t="shared" si="16"/>
        <v>198.14387526000002</v>
      </c>
      <c r="M27" s="260">
        <f t="shared" si="16"/>
        <v>31.385092050000001</v>
      </c>
      <c r="N27" s="260">
        <f t="shared" si="16"/>
        <v>302.42969263999998</v>
      </c>
      <c r="O27" s="260">
        <f t="shared" si="16"/>
        <v>210.10338695000002</v>
      </c>
      <c r="P27" s="260">
        <f t="shared" si="16"/>
        <v>914.8751941999999</v>
      </c>
      <c r="Q27" s="260">
        <f t="shared" si="16"/>
        <v>24.724820000000001</v>
      </c>
      <c r="R27" s="260">
        <f t="shared" si="16"/>
        <v>1910.18721035</v>
      </c>
      <c r="S27" s="260">
        <f t="shared" ref="S27:AD27" si="17">+S28+S29+S30+S31+S34+S35</f>
        <v>37.388445770000004</v>
      </c>
      <c r="T27" s="260">
        <f t="shared" si="17"/>
        <v>12.255125</v>
      </c>
      <c r="U27" s="260">
        <f t="shared" si="17"/>
        <v>0</v>
      </c>
      <c r="V27" s="260">
        <f t="shared" si="17"/>
        <v>0</v>
      </c>
      <c r="W27" s="260">
        <f t="shared" si="17"/>
        <v>0</v>
      </c>
      <c r="X27" s="260">
        <f t="shared" si="17"/>
        <v>0</v>
      </c>
      <c r="Y27" s="260">
        <f t="shared" si="17"/>
        <v>0</v>
      </c>
      <c r="Z27" s="260">
        <f t="shared" si="17"/>
        <v>0</v>
      </c>
      <c r="AA27" s="260">
        <f t="shared" si="17"/>
        <v>0</v>
      </c>
      <c r="AB27" s="260">
        <f t="shared" si="17"/>
        <v>0</v>
      </c>
      <c r="AC27" s="260">
        <f t="shared" si="17"/>
        <v>0</v>
      </c>
      <c r="AD27" s="260">
        <f t="shared" si="17"/>
        <v>0</v>
      </c>
      <c r="AE27" s="260">
        <f>SUM(S27:AD27)</f>
        <v>49.643570770000004</v>
      </c>
    </row>
    <row r="28" spans="2:31" ht="14.1" customHeight="1">
      <c r="B28" s="352" t="str">
        <f>IF(Indice_index!$Z$1=1,"Despesas com o pessoal","Employees")</f>
        <v>Despesas com o pessoal</v>
      </c>
      <c r="C28" s="352"/>
      <c r="D28" s="261" t="s">
        <v>28</v>
      </c>
      <c r="E28" s="262">
        <f t="shared" ref="E28:N30" si="18">+SUMIF($D$54:$D$77,$D28,E$54:E$77)</f>
        <v>0</v>
      </c>
      <c r="F28" s="262">
        <f t="shared" si="18"/>
        <v>0</v>
      </c>
      <c r="G28" s="262">
        <f t="shared" si="18"/>
        <v>0</v>
      </c>
      <c r="H28" s="262">
        <f t="shared" si="18"/>
        <v>0</v>
      </c>
      <c r="I28" s="262">
        <f t="shared" si="18"/>
        <v>0</v>
      </c>
      <c r="J28" s="262">
        <f t="shared" si="18"/>
        <v>0</v>
      </c>
      <c r="K28" s="262">
        <f t="shared" si="18"/>
        <v>0</v>
      </c>
      <c r="L28" s="262">
        <f t="shared" si="18"/>
        <v>0</v>
      </c>
      <c r="M28" s="262">
        <f t="shared" si="18"/>
        <v>0</v>
      </c>
      <c r="N28" s="262">
        <f t="shared" si="18"/>
        <v>0</v>
      </c>
      <c r="O28" s="262">
        <f t="shared" ref="O28:X30" si="19">+SUMIF($D$54:$D$77,$D28,O$54:O$77)</f>
        <v>0</v>
      </c>
      <c r="P28" s="262">
        <f t="shared" si="19"/>
        <v>0</v>
      </c>
      <c r="Q28" s="262">
        <f t="shared" si="19"/>
        <v>0</v>
      </c>
      <c r="R28" s="262">
        <f t="shared" si="19"/>
        <v>0</v>
      </c>
      <c r="S28" s="262">
        <f t="shared" si="19"/>
        <v>0</v>
      </c>
      <c r="T28" s="262">
        <f t="shared" si="19"/>
        <v>0</v>
      </c>
      <c r="U28" s="262">
        <f t="shared" si="19"/>
        <v>0</v>
      </c>
      <c r="V28" s="262">
        <f t="shared" si="19"/>
        <v>0</v>
      </c>
      <c r="W28" s="262">
        <f t="shared" si="19"/>
        <v>0</v>
      </c>
      <c r="X28" s="262">
        <f t="shared" si="19"/>
        <v>0</v>
      </c>
      <c r="Y28" s="262">
        <f t="shared" ref="Y28:AE30" si="20">+SUMIF($D$54:$D$77,$D28,Y$54:Y$77)</f>
        <v>0</v>
      </c>
      <c r="Z28" s="262">
        <f t="shared" si="20"/>
        <v>0</v>
      </c>
      <c r="AA28" s="262">
        <f t="shared" si="20"/>
        <v>0</v>
      </c>
      <c r="AB28" s="262">
        <f t="shared" si="20"/>
        <v>0</v>
      </c>
      <c r="AC28" s="262">
        <f t="shared" si="20"/>
        <v>0</v>
      </c>
      <c r="AD28" s="262">
        <f t="shared" si="20"/>
        <v>0</v>
      </c>
      <c r="AE28" s="262">
        <f t="shared" si="20"/>
        <v>0</v>
      </c>
    </row>
    <row r="29" spans="2:31" ht="14.1" customHeight="1">
      <c r="B29" s="352" t="str">
        <f>IF(Indice_index!$Z$1=1,"Aquisição de bens e serviços","Purchase of goods and services")</f>
        <v>Aquisição de bens e serviços</v>
      </c>
      <c r="C29" s="352"/>
      <c r="D29" s="261" t="s">
        <v>29</v>
      </c>
      <c r="E29" s="262">
        <f t="shared" si="18"/>
        <v>0</v>
      </c>
      <c r="F29" s="262">
        <f t="shared" si="18"/>
        <v>0</v>
      </c>
      <c r="G29" s="262">
        <f t="shared" si="18"/>
        <v>0</v>
      </c>
      <c r="H29" s="262">
        <f t="shared" si="18"/>
        <v>0</v>
      </c>
      <c r="I29" s="262">
        <f t="shared" si="18"/>
        <v>0</v>
      </c>
      <c r="J29" s="262">
        <f t="shared" si="18"/>
        <v>0</v>
      </c>
      <c r="K29" s="262">
        <f t="shared" si="18"/>
        <v>166.71309925</v>
      </c>
      <c r="L29" s="262">
        <f t="shared" si="18"/>
        <v>13.40747135</v>
      </c>
      <c r="M29" s="262">
        <f t="shared" si="18"/>
        <v>19.02268205</v>
      </c>
      <c r="N29" s="262">
        <f t="shared" si="18"/>
        <v>290.06728263999997</v>
      </c>
      <c r="O29" s="262">
        <f t="shared" si="19"/>
        <v>197.20426495000001</v>
      </c>
      <c r="P29" s="262">
        <f t="shared" si="19"/>
        <v>738.10208646000001</v>
      </c>
      <c r="Q29" s="262">
        <f t="shared" si="19"/>
        <v>0</v>
      </c>
      <c r="R29" s="262">
        <f t="shared" si="19"/>
        <v>1424.5168867</v>
      </c>
      <c r="S29" s="262">
        <f t="shared" si="19"/>
        <v>25.133320770000001</v>
      </c>
      <c r="T29" s="262">
        <f t="shared" si="19"/>
        <v>0</v>
      </c>
      <c r="U29" s="262">
        <f t="shared" si="19"/>
        <v>0</v>
      </c>
      <c r="V29" s="262">
        <f t="shared" si="19"/>
        <v>0</v>
      </c>
      <c r="W29" s="262">
        <f t="shared" si="19"/>
        <v>0</v>
      </c>
      <c r="X29" s="262">
        <f t="shared" si="19"/>
        <v>0</v>
      </c>
      <c r="Y29" s="262">
        <f t="shared" si="20"/>
        <v>0</v>
      </c>
      <c r="Z29" s="262">
        <f t="shared" si="20"/>
        <v>0</v>
      </c>
      <c r="AA29" s="262">
        <f t="shared" si="20"/>
        <v>0</v>
      </c>
      <c r="AB29" s="262">
        <f t="shared" si="20"/>
        <v>0</v>
      </c>
      <c r="AC29" s="262">
        <f t="shared" si="20"/>
        <v>0</v>
      </c>
      <c r="AD29" s="262">
        <f t="shared" si="20"/>
        <v>0</v>
      </c>
      <c r="AE29" s="262">
        <f t="shared" si="20"/>
        <v>25.133320770000001</v>
      </c>
    </row>
    <row r="30" spans="2:31" ht="14.1" customHeight="1">
      <c r="B30" s="352" t="str">
        <f>IF(Indice_index!$Z$1=1,"Juros e outros encargos","Interests and other charges")</f>
        <v>Juros e outros encargos</v>
      </c>
      <c r="C30" s="352"/>
      <c r="D30" s="261" t="s">
        <v>30</v>
      </c>
      <c r="E30" s="262">
        <f t="shared" si="18"/>
        <v>0</v>
      </c>
      <c r="F30" s="262">
        <f t="shared" si="18"/>
        <v>0</v>
      </c>
      <c r="G30" s="262">
        <f t="shared" si="18"/>
        <v>0</v>
      </c>
      <c r="H30" s="262">
        <f t="shared" si="18"/>
        <v>0</v>
      </c>
      <c r="I30" s="262">
        <f t="shared" si="18"/>
        <v>0</v>
      </c>
      <c r="J30" s="262">
        <f t="shared" si="18"/>
        <v>0</v>
      </c>
      <c r="K30" s="262">
        <f t="shared" si="18"/>
        <v>0</v>
      </c>
      <c r="L30" s="262">
        <f t="shared" si="18"/>
        <v>0</v>
      </c>
      <c r="M30" s="262">
        <f t="shared" si="18"/>
        <v>0</v>
      </c>
      <c r="N30" s="262">
        <f t="shared" si="18"/>
        <v>0</v>
      </c>
      <c r="O30" s="262">
        <f t="shared" si="19"/>
        <v>0</v>
      </c>
      <c r="P30" s="262">
        <f t="shared" si="19"/>
        <v>0</v>
      </c>
      <c r="Q30" s="262">
        <f t="shared" si="19"/>
        <v>0</v>
      </c>
      <c r="R30" s="262">
        <f t="shared" si="19"/>
        <v>0</v>
      </c>
      <c r="S30" s="262">
        <f t="shared" si="19"/>
        <v>0</v>
      </c>
      <c r="T30" s="262">
        <f t="shared" si="19"/>
        <v>0</v>
      </c>
      <c r="U30" s="262">
        <f t="shared" si="19"/>
        <v>0</v>
      </c>
      <c r="V30" s="262">
        <f t="shared" si="19"/>
        <v>0</v>
      </c>
      <c r="W30" s="262">
        <f t="shared" si="19"/>
        <v>0</v>
      </c>
      <c r="X30" s="262">
        <f t="shared" si="19"/>
        <v>0</v>
      </c>
      <c r="Y30" s="262">
        <f t="shared" si="20"/>
        <v>0</v>
      </c>
      <c r="Z30" s="262">
        <f t="shared" si="20"/>
        <v>0</v>
      </c>
      <c r="AA30" s="262">
        <f t="shared" si="20"/>
        <v>0</v>
      </c>
      <c r="AB30" s="262">
        <f t="shared" si="20"/>
        <v>0</v>
      </c>
      <c r="AC30" s="262">
        <f t="shared" si="20"/>
        <v>0</v>
      </c>
      <c r="AD30" s="262">
        <f t="shared" si="20"/>
        <v>0</v>
      </c>
      <c r="AE30" s="262">
        <f t="shared" si="20"/>
        <v>0</v>
      </c>
    </row>
    <row r="31" spans="2:31" ht="14.1" customHeight="1">
      <c r="B31" s="352" t="str">
        <f>IF(Indice_index!$Z$1=1,"Transferências correntes","Current transfers")</f>
        <v>Transferências correntes</v>
      </c>
      <c r="C31" s="352"/>
      <c r="D31" s="261" t="s">
        <v>31</v>
      </c>
      <c r="E31" s="262">
        <f t="shared" ref="E31:AE31" si="21">+E32+E33</f>
        <v>12.362410000000001</v>
      </c>
      <c r="F31" s="262">
        <f t="shared" si="21"/>
        <v>12.362410000000001</v>
      </c>
      <c r="G31" s="262">
        <f t="shared" si="21"/>
        <v>12.362410000000001</v>
      </c>
      <c r="H31" s="262">
        <f t="shared" si="21"/>
        <v>12.362410000000001</v>
      </c>
      <c r="I31" s="262">
        <f t="shared" si="21"/>
        <v>12.362410000000001</v>
      </c>
      <c r="J31" s="262">
        <f t="shared" si="21"/>
        <v>12.362410000000001</v>
      </c>
      <c r="K31" s="262">
        <f t="shared" si="21"/>
        <v>12.362410000000001</v>
      </c>
      <c r="L31" s="262">
        <f t="shared" si="21"/>
        <v>184.73640391000001</v>
      </c>
      <c r="M31" s="262">
        <f t="shared" si="21"/>
        <v>12.362410000000001</v>
      </c>
      <c r="N31" s="262">
        <f t="shared" si="21"/>
        <v>12.362410000000001</v>
      </c>
      <c r="O31" s="262">
        <f t="shared" si="21"/>
        <v>12.899122</v>
      </c>
      <c r="P31" s="262">
        <f t="shared" si="21"/>
        <v>176.77310773999994</v>
      </c>
      <c r="Q31" s="262">
        <f t="shared" si="21"/>
        <v>24.724820000000001</v>
      </c>
      <c r="R31" s="262">
        <f t="shared" si="21"/>
        <v>485.67032364999989</v>
      </c>
      <c r="S31" s="262">
        <f t="shared" si="21"/>
        <v>12.255125</v>
      </c>
      <c r="T31" s="262">
        <f t="shared" si="21"/>
        <v>12.255125</v>
      </c>
      <c r="U31" s="262">
        <f t="shared" si="21"/>
        <v>0</v>
      </c>
      <c r="V31" s="262">
        <f t="shared" si="21"/>
        <v>0</v>
      </c>
      <c r="W31" s="262">
        <f t="shared" si="21"/>
        <v>0</v>
      </c>
      <c r="X31" s="262">
        <f t="shared" si="21"/>
        <v>0</v>
      </c>
      <c r="Y31" s="262">
        <f t="shared" si="21"/>
        <v>0</v>
      </c>
      <c r="Z31" s="262">
        <f t="shared" si="21"/>
        <v>0</v>
      </c>
      <c r="AA31" s="262">
        <f t="shared" si="21"/>
        <v>0</v>
      </c>
      <c r="AB31" s="262">
        <f t="shared" si="21"/>
        <v>0</v>
      </c>
      <c r="AC31" s="262">
        <f t="shared" si="21"/>
        <v>0</v>
      </c>
      <c r="AD31" s="262">
        <f t="shared" si="21"/>
        <v>0</v>
      </c>
      <c r="AE31" s="262">
        <f t="shared" si="21"/>
        <v>24.510249999999999</v>
      </c>
    </row>
    <row r="32" spans="2:31" ht="14.1" customHeight="1">
      <c r="B32" s="264" t="str">
        <f>IF(Indice_index!$Z$1=1,"Administrações Públicas","General Government subsectors")</f>
        <v>Administrações Públicas</v>
      </c>
      <c r="C32" s="30"/>
      <c r="D32" s="261" t="s">
        <v>32</v>
      </c>
      <c r="E32" s="262">
        <f t="shared" ref="E32:N35" si="22">+SUMIF($D$54:$D$77,$D32,E$54:E$77)</f>
        <v>12.362410000000001</v>
      </c>
      <c r="F32" s="262">
        <f t="shared" si="22"/>
        <v>12.362410000000001</v>
      </c>
      <c r="G32" s="262">
        <f t="shared" si="22"/>
        <v>12.362410000000001</v>
      </c>
      <c r="H32" s="262">
        <f t="shared" si="22"/>
        <v>12.362410000000001</v>
      </c>
      <c r="I32" s="262">
        <f t="shared" si="22"/>
        <v>12.362410000000001</v>
      </c>
      <c r="J32" s="262">
        <f t="shared" si="22"/>
        <v>12.362410000000001</v>
      </c>
      <c r="K32" s="262">
        <f t="shared" si="22"/>
        <v>12.362410000000001</v>
      </c>
      <c r="L32" s="262">
        <f t="shared" si="22"/>
        <v>12.362410000000001</v>
      </c>
      <c r="M32" s="262">
        <f t="shared" si="22"/>
        <v>12.362410000000001</v>
      </c>
      <c r="N32" s="262">
        <f t="shared" si="22"/>
        <v>12.362410000000001</v>
      </c>
      <c r="O32" s="262">
        <f t="shared" ref="O32:X35" si="23">+SUMIF($D$54:$D$77,$D32,O$54:O$77)</f>
        <v>12.899122</v>
      </c>
      <c r="P32" s="262">
        <f t="shared" si="23"/>
        <v>11.842749</v>
      </c>
      <c r="Q32" s="262">
        <f t="shared" si="23"/>
        <v>24.724820000000001</v>
      </c>
      <c r="R32" s="262">
        <f t="shared" si="23"/>
        <v>148.36597099999997</v>
      </c>
      <c r="S32" s="262">
        <f t="shared" si="23"/>
        <v>12.255125</v>
      </c>
      <c r="T32" s="262">
        <f t="shared" si="23"/>
        <v>12.255125</v>
      </c>
      <c r="U32" s="262">
        <f t="shared" si="23"/>
        <v>0</v>
      </c>
      <c r="V32" s="262">
        <f t="shared" si="23"/>
        <v>0</v>
      </c>
      <c r="W32" s="262">
        <f t="shared" si="23"/>
        <v>0</v>
      </c>
      <c r="X32" s="262">
        <f t="shared" si="23"/>
        <v>0</v>
      </c>
      <c r="Y32" s="262">
        <f t="shared" ref="Y32:AE35" si="24">+SUMIF($D$54:$D$77,$D32,Y$54:Y$77)</f>
        <v>0</v>
      </c>
      <c r="Z32" s="262">
        <f t="shared" si="24"/>
        <v>0</v>
      </c>
      <c r="AA32" s="262">
        <f t="shared" si="24"/>
        <v>0</v>
      </c>
      <c r="AB32" s="262">
        <f t="shared" si="24"/>
        <v>0</v>
      </c>
      <c r="AC32" s="262">
        <f t="shared" si="24"/>
        <v>0</v>
      </c>
      <c r="AD32" s="262">
        <f t="shared" si="24"/>
        <v>0</v>
      </c>
      <c r="AE32" s="262">
        <f t="shared" si="24"/>
        <v>24.510249999999999</v>
      </c>
    </row>
    <row r="33" spans="2:31" ht="14.1" customHeight="1">
      <c r="B33" s="359" t="str">
        <f>IF(Indice_index!$Z$1=1,"Outras","Others")</f>
        <v>Outras</v>
      </c>
      <c r="C33" s="359"/>
      <c r="D33" s="261" t="s">
        <v>33</v>
      </c>
      <c r="E33" s="262">
        <f t="shared" si="22"/>
        <v>0</v>
      </c>
      <c r="F33" s="262">
        <f t="shared" si="22"/>
        <v>0</v>
      </c>
      <c r="G33" s="262">
        <f t="shared" si="22"/>
        <v>0</v>
      </c>
      <c r="H33" s="262">
        <f t="shared" si="22"/>
        <v>0</v>
      </c>
      <c r="I33" s="262">
        <f t="shared" si="22"/>
        <v>0</v>
      </c>
      <c r="J33" s="262">
        <f t="shared" si="22"/>
        <v>0</v>
      </c>
      <c r="K33" s="262">
        <f t="shared" si="22"/>
        <v>0</v>
      </c>
      <c r="L33" s="262">
        <f t="shared" si="22"/>
        <v>172.37399391</v>
      </c>
      <c r="M33" s="262">
        <f t="shared" si="22"/>
        <v>0</v>
      </c>
      <c r="N33" s="262">
        <f t="shared" si="22"/>
        <v>0</v>
      </c>
      <c r="O33" s="262">
        <f t="shared" si="23"/>
        <v>0</v>
      </c>
      <c r="P33" s="262">
        <f t="shared" si="23"/>
        <v>164.93035873999995</v>
      </c>
      <c r="Q33" s="262">
        <f t="shared" si="23"/>
        <v>0</v>
      </c>
      <c r="R33" s="262">
        <f t="shared" si="23"/>
        <v>337.30435264999994</v>
      </c>
      <c r="S33" s="262">
        <f t="shared" si="23"/>
        <v>0</v>
      </c>
      <c r="T33" s="262">
        <f t="shared" si="23"/>
        <v>0</v>
      </c>
      <c r="U33" s="262">
        <f t="shared" si="23"/>
        <v>0</v>
      </c>
      <c r="V33" s="262">
        <f t="shared" si="23"/>
        <v>0</v>
      </c>
      <c r="W33" s="262">
        <f t="shared" si="23"/>
        <v>0</v>
      </c>
      <c r="X33" s="262">
        <f t="shared" si="23"/>
        <v>0</v>
      </c>
      <c r="Y33" s="262">
        <f t="shared" si="24"/>
        <v>0</v>
      </c>
      <c r="Z33" s="262">
        <f t="shared" si="24"/>
        <v>0</v>
      </c>
      <c r="AA33" s="262">
        <f t="shared" si="24"/>
        <v>0</v>
      </c>
      <c r="AB33" s="262">
        <f t="shared" si="24"/>
        <v>0</v>
      </c>
      <c r="AC33" s="262">
        <f t="shared" si="24"/>
        <v>0</v>
      </c>
      <c r="AD33" s="262">
        <f t="shared" si="24"/>
        <v>0</v>
      </c>
      <c r="AE33" s="262">
        <f t="shared" si="24"/>
        <v>0</v>
      </c>
    </row>
    <row r="34" spans="2:31" ht="14.1" customHeight="1">
      <c r="B34" s="359" t="str">
        <f>IF(Indice_index!$Z$1=1,"Subsídios","Subsidies")</f>
        <v>Subsídios</v>
      </c>
      <c r="C34" s="359"/>
      <c r="D34" s="261" t="s">
        <v>34</v>
      </c>
      <c r="E34" s="262">
        <f t="shared" si="22"/>
        <v>0</v>
      </c>
      <c r="F34" s="262">
        <f t="shared" si="22"/>
        <v>0</v>
      </c>
      <c r="G34" s="262">
        <f t="shared" si="22"/>
        <v>0</v>
      </c>
      <c r="H34" s="262">
        <f t="shared" si="22"/>
        <v>0</v>
      </c>
      <c r="I34" s="262">
        <f t="shared" si="22"/>
        <v>0</v>
      </c>
      <c r="J34" s="262">
        <f t="shared" si="22"/>
        <v>0</v>
      </c>
      <c r="K34" s="262">
        <f t="shared" si="22"/>
        <v>0</v>
      </c>
      <c r="L34" s="262">
        <f t="shared" si="22"/>
        <v>0</v>
      </c>
      <c r="M34" s="262">
        <f t="shared" si="22"/>
        <v>0</v>
      </c>
      <c r="N34" s="262">
        <f t="shared" si="22"/>
        <v>0</v>
      </c>
      <c r="O34" s="262">
        <f t="shared" si="23"/>
        <v>0</v>
      </c>
      <c r="P34" s="262">
        <f t="shared" si="23"/>
        <v>0</v>
      </c>
      <c r="Q34" s="262">
        <f t="shared" si="23"/>
        <v>0</v>
      </c>
      <c r="R34" s="262">
        <f t="shared" si="23"/>
        <v>0</v>
      </c>
      <c r="S34" s="262">
        <f t="shared" si="23"/>
        <v>0</v>
      </c>
      <c r="T34" s="262">
        <f t="shared" si="23"/>
        <v>0</v>
      </c>
      <c r="U34" s="262">
        <f t="shared" si="23"/>
        <v>0</v>
      </c>
      <c r="V34" s="262">
        <f t="shared" si="23"/>
        <v>0</v>
      </c>
      <c r="W34" s="262">
        <f t="shared" si="23"/>
        <v>0</v>
      </c>
      <c r="X34" s="262">
        <f t="shared" si="23"/>
        <v>0</v>
      </c>
      <c r="Y34" s="262">
        <f t="shared" si="24"/>
        <v>0</v>
      </c>
      <c r="Z34" s="262">
        <f t="shared" si="24"/>
        <v>0</v>
      </c>
      <c r="AA34" s="262">
        <f t="shared" si="24"/>
        <v>0</v>
      </c>
      <c r="AB34" s="262">
        <f t="shared" si="24"/>
        <v>0</v>
      </c>
      <c r="AC34" s="262">
        <f t="shared" si="24"/>
        <v>0</v>
      </c>
      <c r="AD34" s="262">
        <f t="shared" si="24"/>
        <v>0</v>
      </c>
      <c r="AE34" s="262">
        <f t="shared" si="24"/>
        <v>0</v>
      </c>
    </row>
    <row r="35" spans="2:31" ht="14.1" customHeight="1">
      <c r="B35" s="352" t="str">
        <f>IF(Indice_index!$Z$1=1,"Outras despesas correntes","Other current expenditure")</f>
        <v>Outras despesas correntes</v>
      </c>
      <c r="C35" s="352"/>
      <c r="D35" s="261" t="s">
        <v>35</v>
      </c>
      <c r="E35" s="262">
        <f t="shared" si="22"/>
        <v>0</v>
      </c>
      <c r="F35" s="262">
        <f t="shared" si="22"/>
        <v>0</v>
      </c>
      <c r="G35" s="262">
        <f t="shared" si="22"/>
        <v>0</v>
      </c>
      <c r="H35" s="262">
        <f t="shared" si="22"/>
        <v>0</v>
      </c>
      <c r="I35" s="262">
        <f t="shared" si="22"/>
        <v>0</v>
      </c>
      <c r="J35" s="262">
        <f t="shared" si="22"/>
        <v>0</v>
      </c>
      <c r="K35" s="262">
        <f t="shared" si="22"/>
        <v>0</v>
      </c>
      <c r="L35" s="262">
        <f t="shared" si="22"/>
        <v>0</v>
      </c>
      <c r="M35" s="262">
        <f t="shared" si="22"/>
        <v>0</v>
      </c>
      <c r="N35" s="262">
        <f t="shared" si="22"/>
        <v>0</v>
      </c>
      <c r="O35" s="262">
        <f t="shared" si="23"/>
        <v>0</v>
      </c>
      <c r="P35" s="262">
        <f t="shared" si="23"/>
        <v>0</v>
      </c>
      <c r="Q35" s="262">
        <f t="shared" si="23"/>
        <v>0</v>
      </c>
      <c r="R35" s="262">
        <f t="shared" si="23"/>
        <v>0</v>
      </c>
      <c r="S35" s="262">
        <f t="shared" si="23"/>
        <v>0</v>
      </c>
      <c r="T35" s="262">
        <f t="shared" si="23"/>
        <v>0</v>
      </c>
      <c r="U35" s="262">
        <f t="shared" si="23"/>
        <v>0</v>
      </c>
      <c r="V35" s="262">
        <f t="shared" si="23"/>
        <v>0</v>
      </c>
      <c r="W35" s="262">
        <f t="shared" si="23"/>
        <v>0</v>
      </c>
      <c r="X35" s="262">
        <f t="shared" si="23"/>
        <v>0</v>
      </c>
      <c r="Y35" s="262">
        <f t="shared" si="24"/>
        <v>0</v>
      </c>
      <c r="Z35" s="262">
        <f t="shared" si="24"/>
        <v>0</v>
      </c>
      <c r="AA35" s="262">
        <f t="shared" si="24"/>
        <v>0</v>
      </c>
      <c r="AB35" s="262">
        <f t="shared" si="24"/>
        <v>0</v>
      </c>
      <c r="AC35" s="262">
        <f t="shared" si="24"/>
        <v>0</v>
      </c>
      <c r="AD35" s="262">
        <f t="shared" si="24"/>
        <v>0</v>
      </c>
      <c r="AE35" s="262">
        <f t="shared" si="24"/>
        <v>0</v>
      </c>
    </row>
    <row r="36" spans="2:31" ht="14.1" customHeight="1">
      <c r="B36" s="357" t="str">
        <f>IF(Indice_index!$Z$1=1,"Despesa de capital","Capital expenditure")</f>
        <v>Despesa de capital</v>
      </c>
      <c r="C36" s="357"/>
      <c r="D36" s="263"/>
      <c r="E36" s="260">
        <f t="shared" ref="E36:Q36" si="25">+E37+E38+E41</f>
        <v>40.310046999999997</v>
      </c>
      <c r="F36" s="260">
        <f t="shared" si="25"/>
        <v>43.416549639999999</v>
      </c>
      <c r="G36" s="260">
        <f t="shared" si="25"/>
        <v>41.863298319999998</v>
      </c>
      <c r="H36" s="260">
        <f t="shared" si="25"/>
        <v>41.863298319999998</v>
      </c>
      <c r="I36" s="260">
        <f t="shared" si="25"/>
        <v>41.863298319999998</v>
      </c>
      <c r="J36" s="260">
        <f t="shared" si="25"/>
        <v>41.863298319999998</v>
      </c>
      <c r="K36" s="260">
        <f t="shared" si="25"/>
        <v>41.863298319999998</v>
      </c>
      <c r="L36" s="260">
        <f t="shared" si="25"/>
        <v>41.863298319999998</v>
      </c>
      <c r="M36" s="260">
        <f t="shared" si="25"/>
        <v>40.310046999999997</v>
      </c>
      <c r="N36" s="260">
        <f t="shared" si="25"/>
        <v>43.367353090000002</v>
      </c>
      <c r="O36" s="260">
        <f t="shared" si="25"/>
        <v>41.863298319999998</v>
      </c>
      <c r="P36" s="260">
        <f t="shared" si="25"/>
        <v>41.688680009999999</v>
      </c>
      <c r="Q36" s="260">
        <f t="shared" si="25"/>
        <v>83.726596639999997</v>
      </c>
      <c r="R36" s="260">
        <f>SUM(E36:P36)</f>
        <v>502.13576498000003</v>
      </c>
      <c r="S36" s="260">
        <f t="shared" ref="S36:AD36" si="26">+S37+S38+S41</f>
        <v>37.957161999999997</v>
      </c>
      <c r="T36" s="260">
        <f t="shared" si="26"/>
        <v>40.961508640000005</v>
      </c>
      <c r="U36" s="260">
        <f t="shared" si="26"/>
        <v>0</v>
      </c>
      <c r="V36" s="260">
        <f t="shared" si="26"/>
        <v>0</v>
      </c>
      <c r="W36" s="260">
        <f t="shared" si="26"/>
        <v>0</v>
      </c>
      <c r="X36" s="260">
        <f t="shared" si="26"/>
        <v>0</v>
      </c>
      <c r="Y36" s="260">
        <f t="shared" si="26"/>
        <v>0</v>
      </c>
      <c r="Z36" s="260">
        <f t="shared" si="26"/>
        <v>0</v>
      </c>
      <c r="AA36" s="260">
        <f t="shared" si="26"/>
        <v>0</v>
      </c>
      <c r="AB36" s="260">
        <f t="shared" si="26"/>
        <v>0</v>
      </c>
      <c r="AC36" s="260">
        <f t="shared" si="26"/>
        <v>0</v>
      </c>
      <c r="AD36" s="260">
        <f t="shared" si="26"/>
        <v>0</v>
      </c>
      <c r="AE36" s="260">
        <f>SUM(S36:AD36)</f>
        <v>78.918670640000002</v>
      </c>
    </row>
    <row r="37" spans="2:31" ht="14.1" customHeight="1">
      <c r="B37" s="352" t="str">
        <f>IF(Indice_index!$Z$1=1,"Investimento","Investments")</f>
        <v>Investimento</v>
      </c>
      <c r="C37" s="352"/>
      <c r="D37" s="261" t="s">
        <v>36</v>
      </c>
      <c r="E37" s="262">
        <f t="shared" ref="E37:AE37" si="27">+SUMIF($D$54:$D$77,$D37,E$54:E$77)</f>
        <v>0</v>
      </c>
      <c r="F37" s="262">
        <f t="shared" si="27"/>
        <v>3.10650264</v>
      </c>
      <c r="G37" s="262">
        <f t="shared" si="27"/>
        <v>1.5532513199999998</v>
      </c>
      <c r="H37" s="262">
        <f t="shared" si="27"/>
        <v>1.5532513200000002</v>
      </c>
      <c r="I37" s="262">
        <f t="shared" si="27"/>
        <v>1.5532513200000002</v>
      </c>
      <c r="J37" s="262">
        <f t="shared" si="27"/>
        <v>1.5532513200000002</v>
      </c>
      <c r="K37" s="262">
        <f t="shared" si="27"/>
        <v>1.5532513200000002</v>
      </c>
      <c r="L37" s="262">
        <f t="shared" si="27"/>
        <v>1.5532513200000002</v>
      </c>
      <c r="M37" s="262">
        <f t="shared" si="27"/>
        <v>0</v>
      </c>
      <c r="N37" s="262">
        <f t="shared" si="27"/>
        <v>3.1065026400000004</v>
      </c>
      <c r="O37" s="262">
        <f t="shared" si="27"/>
        <v>1.5532513200000002</v>
      </c>
      <c r="P37" s="262">
        <f t="shared" si="27"/>
        <v>1.5532513200000002</v>
      </c>
      <c r="Q37" s="262">
        <f t="shared" si="27"/>
        <v>3.10650264</v>
      </c>
      <c r="R37" s="262">
        <f t="shared" si="27"/>
        <v>18.639015840000003</v>
      </c>
      <c r="S37" s="262">
        <f t="shared" si="27"/>
        <v>0</v>
      </c>
      <c r="T37" s="262">
        <f t="shared" si="27"/>
        <v>3.10650264</v>
      </c>
      <c r="U37" s="262">
        <f t="shared" si="27"/>
        <v>0</v>
      </c>
      <c r="V37" s="262">
        <f t="shared" si="27"/>
        <v>0</v>
      </c>
      <c r="W37" s="262">
        <f t="shared" si="27"/>
        <v>0</v>
      </c>
      <c r="X37" s="262">
        <f t="shared" si="27"/>
        <v>0</v>
      </c>
      <c r="Y37" s="262">
        <f t="shared" si="27"/>
        <v>0</v>
      </c>
      <c r="Z37" s="262">
        <f t="shared" si="27"/>
        <v>0</v>
      </c>
      <c r="AA37" s="262">
        <f t="shared" si="27"/>
        <v>0</v>
      </c>
      <c r="AB37" s="262">
        <f t="shared" si="27"/>
        <v>0</v>
      </c>
      <c r="AC37" s="262">
        <f t="shared" si="27"/>
        <v>0</v>
      </c>
      <c r="AD37" s="262">
        <f t="shared" si="27"/>
        <v>0</v>
      </c>
      <c r="AE37" s="262">
        <f t="shared" si="27"/>
        <v>3.10650264</v>
      </c>
    </row>
    <row r="38" spans="2:31" ht="14.1" customHeight="1">
      <c r="B38" s="352" t="str">
        <f>IF(Indice_index!$Z$1=1,"Transferências de capital","Capital transfers")</f>
        <v>Transferências de capital</v>
      </c>
      <c r="C38" s="352"/>
      <c r="D38" s="261" t="s">
        <v>37</v>
      </c>
      <c r="E38" s="262">
        <f t="shared" ref="E38:AE38" si="28">+E39+E40</f>
        <v>40.310046999999997</v>
      </c>
      <c r="F38" s="262">
        <f t="shared" si="28"/>
        <v>40.310046999999997</v>
      </c>
      <c r="G38" s="262">
        <f t="shared" si="28"/>
        <v>40.310046999999997</v>
      </c>
      <c r="H38" s="262">
        <f t="shared" si="28"/>
        <v>40.310046999999997</v>
      </c>
      <c r="I38" s="262">
        <f t="shared" si="28"/>
        <v>40.310046999999997</v>
      </c>
      <c r="J38" s="262">
        <f t="shared" si="28"/>
        <v>40.310046999999997</v>
      </c>
      <c r="K38" s="262">
        <f t="shared" si="28"/>
        <v>40.310046999999997</v>
      </c>
      <c r="L38" s="262">
        <f t="shared" si="28"/>
        <v>40.310046999999997</v>
      </c>
      <c r="M38" s="262">
        <f t="shared" si="28"/>
        <v>40.310046999999997</v>
      </c>
      <c r="N38" s="262">
        <f t="shared" si="28"/>
        <v>40.26085045</v>
      </c>
      <c r="O38" s="262">
        <f t="shared" si="28"/>
        <v>40.310046999999997</v>
      </c>
      <c r="P38" s="262">
        <f t="shared" si="28"/>
        <v>40.135428689999998</v>
      </c>
      <c r="Q38" s="262">
        <f t="shared" si="28"/>
        <v>80.620093999999995</v>
      </c>
      <c r="R38" s="262">
        <f t="shared" si="28"/>
        <v>483.49674914000002</v>
      </c>
      <c r="S38" s="262">
        <f t="shared" si="28"/>
        <v>37.957161999999997</v>
      </c>
      <c r="T38" s="262">
        <f t="shared" si="28"/>
        <v>37.855006000000003</v>
      </c>
      <c r="U38" s="262">
        <f t="shared" si="28"/>
        <v>0</v>
      </c>
      <c r="V38" s="262">
        <f t="shared" si="28"/>
        <v>0</v>
      </c>
      <c r="W38" s="262">
        <f t="shared" si="28"/>
        <v>0</v>
      </c>
      <c r="X38" s="262">
        <f t="shared" si="28"/>
        <v>0</v>
      </c>
      <c r="Y38" s="262">
        <f t="shared" si="28"/>
        <v>0</v>
      </c>
      <c r="Z38" s="262">
        <f t="shared" si="28"/>
        <v>0</v>
      </c>
      <c r="AA38" s="262">
        <f t="shared" si="28"/>
        <v>0</v>
      </c>
      <c r="AB38" s="262">
        <f t="shared" si="28"/>
        <v>0</v>
      </c>
      <c r="AC38" s="262">
        <f t="shared" si="28"/>
        <v>0</v>
      </c>
      <c r="AD38" s="262">
        <f t="shared" si="28"/>
        <v>0</v>
      </c>
      <c r="AE38" s="262">
        <f t="shared" si="28"/>
        <v>75.812168</v>
      </c>
    </row>
    <row r="39" spans="2:31" ht="14.1" customHeight="1">
      <c r="B39" s="359" t="str">
        <f>IF(Indice_index!$Z$1=1,"Administrações Públicas","General Government subsectors")</f>
        <v>Administrações Públicas</v>
      </c>
      <c r="C39" s="359"/>
      <c r="D39" s="261" t="s">
        <v>38</v>
      </c>
      <c r="E39" s="262">
        <f t="shared" ref="E39:N41" si="29">+SUMIF($D$54:$D$77,$D39,E$54:E$77)</f>
        <v>40.310046999999997</v>
      </c>
      <c r="F39" s="262">
        <f t="shared" si="29"/>
        <v>40.310046999999997</v>
      </c>
      <c r="G39" s="262">
        <f t="shared" si="29"/>
        <v>40.310046999999997</v>
      </c>
      <c r="H39" s="262">
        <f t="shared" si="29"/>
        <v>40.310046999999997</v>
      </c>
      <c r="I39" s="262">
        <f t="shared" si="29"/>
        <v>40.310046999999997</v>
      </c>
      <c r="J39" s="262">
        <f t="shared" si="29"/>
        <v>40.310046999999997</v>
      </c>
      <c r="K39" s="262">
        <f t="shared" si="29"/>
        <v>40.310046999999997</v>
      </c>
      <c r="L39" s="262">
        <f t="shared" si="29"/>
        <v>40.310046999999997</v>
      </c>
      <c r="M39" s="262">
        <f t="shared" si="29"/>
        <v>40.310046999999997</v>
      </c>
      <c r="N39" s="262">
        <f t="shared" si="29"/>
        <v>40.26085045</v>
      </c>
      <c r="O39" s="262">
        <f t="shared" ref="O39:X41" si="30">+SUMIF($D$54:$D$77,$D39,O$54:O$77)</f>
        <v>40.310046999999997</v>
      </c>
      <c r="P39" s="262">
        <f t="shared" si="30"/>
        <v>40.135428689999998</v>
      </c>
      <c r="Q39" s="262">
        <f t="shared" si="30"/>
        <v>80.620093999999995</v>
      </c>
      <c r="R39" s="262">
        <f t="shared" si="30"/>
        <v>483.49674914000002</v>
      </c>
      <c r="S39" s="262">
        <f t="shared" si="30"/>
        <v>37.957161999999997</v>
      </c>
      <c r="T39" s="262">
        <f t="shared" si="30"/>
        <v>37.855006000000003</v>
      </c>
      <c r="U39" s="262">
        <f t="shared" si="30"/>
        <v>0</v>
      </c>
      <c r="V39" s="262">
        <f t="shared" si="30"/>
        <v>0</v>
      </c>
      <c r="W39" s="262">
        <f t="shared" si="30"/>
        <v>0</v>
      </c>
      <c r="X39" s="262">
        <f t="shared" si="30"/>
        <v>0</v>
      </c>
      <c r="Y39" s="262">
        <f t="shared" ref="Y39:AE41" si="31">+SUMIF($D$54:$D$77,$D39,Y$54:Y$77)</f>
        <v>0</v>
      </c>
      <c r="Z39" s="262">
        <f t="shared" si="31"/>
        <v>0</v>
      </c>
      <c r="AA39" s="262">
        <f t="shared" si="31"/>
        <v>0</v>
      </c>
      <c r="AB39" s="262">
        <f t="shared" si="31"/>
        <v>0</v>
      </c>
      <c r="AC39" s="262">
        <f t="shared" si="31"/>
        <v>0</v>
      </c>
      <c r="AD39" s="262">
        <f t="shared" si="31"/>
        <v>0</v>
      </c>
      <c r="AE39" s="262">
        <f t="shared" si="31"/>
        <v>75.812168</v>
      </c>
    </row>
    <row r="40" spans="2:31" ht="14.1" customHeight="1">
      <c r="B40" s="359" t="str">
        <f>IF(Indice_index!$Z$1=1,"Outras","Others")</f>
        <v>Outras</v>
      </c>
      <c r="C40" s="359"/>
      <c r="D40" s="261" t="s">
        <v>39</v>
      </c>
      <c r="E40" s="262">
        <f t="shared" si="29"/>
        <v>0</v>
      </c>
      <c r="F40" s="262">
        <f t="shared" si="29"/>
        <v>0</v>
      </c>
      <c r="G40" s="262">
        <f t="shared" si="29"/>
        <v>0</v>
      </c>
      <c r="H40" s="262">
        <f t="shared" si="29"/>
        <v>0</v>
      </c>
      <c r="I40" s="262">
        <f t="shared" si="29"/>
        <v>0</v>
      </c>
      <c r="J40" s="262">
        <f t="shared" si="29"/>
        <v>0</v>
      </c>
      <c r="K40" s="262">
        <f t="shared" si="29"/>
        <v>0</v>
      </c>
      <c r="L40" s="262">
        <f t="shared" si="29"/>
        <v>0</v>
      </c>
      <c r="M40" s="262">
        <f t="shared" si="29"/>
        <v>0</v>
      </c>
      <c r="N40" s="262">
        <f t="shared" si="29"/>
        <v>0</v>
      </c>
      <c r="O40" s="262">
        <f t="shared" si="30"/>
        <v>0</v>
      </c>
      <c r="P40" s="262">
        <f t="shared" si="30"/>
        <v>0</v>
      </c>
      <c r="Q40" s="262">
        <f t="shared" si="30"/>
        <v>0</v>
      </c>
      <c r="R40" s="262">
        <f t="shared" si="30"/>
        <v>0</v>
      </c>
      <c r="S40" s="262">
        <f t="shared" si="30"/>
        <v>0</v>
      </c>
      <c r="T40" s="262">
        <f t="shared" si="30"/>
        <v>0</v>
      </c>
      <c r="U40" s="262">
        <f t="shared" si="30"/>
        <v>0</v>
      </c>
      <c r="V40" s="262">
        <f t="shared" si="30"/>
        <v>0</v>
      </c>
      <c r="W40" s="262">
        <f t="shared" si="30"/>
        <v>0</v>
      </c>
      <c r="X40" s="262">
        <f t="shared" si="30"/>
        <v>0</v>
      </c>
      <c r="Y40" s="262">
        <f t="shared" si="31"/>
        <v>0</v>
      </c>
      <c r="Z40" s="262">
        <f t="shared" si="31"/>
        <v>0</v>
      </c>
      <c r="AA40" s="262">
        <f t="shared" si="31"/>
        <v>0</v>
      </c>
      <c r="AB40" s="262">
        <f t="shared" si="31"/>
        <v>0</v>
      </c>
      <c r="AC40" s="262">
        <f t="shared" si="31"/>
        <v>0</v>
      </c>
      <c r="AD40" s="262">
        <f t="shared" si="31"/>
        <v>0</v>
      </c>
      <c r="AE40" s="262">
        <f t="shared" si="31"/>
        <v>0</v>
      </c>
    </row>
    <row r="41" spans="2:31" ht="14.1" customHeight="1">
      <c r="B41" s="352" t="str">
        <f>IF(Indice_index!$Z$1=1,"Outras despesas de capital","Other capital expenditure")</f>
        <v>Outras despesas de capital</v>
      </c>
      <c r="C41" s="352"/>
      <c r="D41" s="261" t="s">
        <v>40</v>
      </c>
      <c r="E41" s="262">
        <f t="shared" si="29"/>
        <v>0</v>
      </c>
      <c r="F41" s="262">
        <f t="shared" si="29"/>
        <v>0</v>
      </c>
      <c r="G41" s="262">
        <f t="shared" si="29"/>
        <v>0</v>
      </c>
      <c r="H41" s="262">
        <f t="shared" si="29"/>
        <v>0</v>
      </c>
      <c r="I41" s="262">
        <f t="shared" si="29"/>
        <v>0</v>
      </c>
      <c r="J41" s="262">
        <f t="shared" si="29"/>
        <v>0</v>
      </c>
      <c r="K41" s="262">
        <f t="shared" si="29"/>
        <v>0</v>
      </c>
      <c r="L41" s="262">
        <f t="shared" si="29"/>
        <v>0</v>
      </c>
      <c r="M41" s="262">
        <f t="shared" si="29"/>
        <v>0</v>
      </c>
      <c r="N41" s="262">
        <f t="shared" si="29"/>
        <v>0</v>
      </c>
      <c r="O41" s="262">
        <f t="shared" si="30"/>
        <v>0</v>
      </c>
      <c r="P41" s="262">
        <f t="shared" si="30"/>
        <v>0</v>
      </c>
      <c r="Q41" s="262">
        <f t="shared" si="30"/>
        <v>0</v>
      </c>
      <c r="R41" s="262">
        <f t="shared" si="30"/>
        <v>0</v>
      </c>
      <c r="S41" s="262">
        <f t="shared" si="30"/>
        <v>0</v>
      </c>
      <c r="T41" s="262">
        <f t="shared" si="30"/>
        <v>0</v>
      </c>
      <c r="U41" s="262">
        <f t="shared" si="30"/>
        <v>0</v>
      </c>
      <c r="V41" s="262">
        <f t="shared" si="30"/>
        <v>0</v>
      </c>
      <c r="W41" s="262">
        <f t="shared" si="30"/>
        <v>0</v>
      </c>
      <c r="X41" s="262">
        <f t="shared" si="30"/>
        <v>0</v>
      </c>
      <c r="Y41" s="262">
        <f t="shared" si="31"/>
        <v>0</v>
      </c>
      <c r="Z41" s="262">
        <f t="shared" si="31"/>
        <v>0</v>
      </c>
      <c r="AA41" s="262">
        <f t="shared" si="31"/>
        <v>0</v>
      </c>
      <c r="AB41" s="262">
        <f t="shared" si="31"/>
        <v>0</v>
      </c>
      <c r="AC41" s="262">
        <f t="shared" si="31"/>
        <v>0</v>
      </c>
      <c r="AD41" s="262">
        <f t="shared" si="31"/>
        <v>0</v>
      </c>
      <c r="AE41" s="262">
        <f t="shared" si="31"/>
        <v>0</v>
      </c>
    </row>
    <row r="42" spans="2:31" ht="14.1" customHeight="1">
      <c r="B42" s="441" t="str">
        <f>IF(Indice_index!$Z$1=1,"Despesa efetiva","Effective Expenditure")</f>
        <v>Despesa efetiva</v>
      </c>
      <c r="C42" s="441"/>
      <c r="D42" s="130"/>
      <c r="E42" s="107">
        <f t="shared" ref="E42:AE42" si="32">+E27+E36</f>
        <v>52.672456999999994</v>
      </c>
      <c r="F42" s="107">
        <f t="shared" si="32"/>
        <v>55.778959639999997</v>
      </c>
      <c r="G42" s="107">
        <f t="shared" si="32"/>
        <v>54.225708319999995</v>
      </c>
      <c r="H42" s="107">
        <f t="shared" si="32"/>
        <v>54.225708319999995</v>
      </c>
      <c r="I42" s="107">
        <f t="shared" si="32"/>
        <v>54.225708319999995</v>
      </c>
      <c r="J42" s="107">
        <f t="shared" si="32"/>
        <v>54.225708319999995</v>
      </c>
      <c r="K42" s="107">
        <f t="shared" si="32"/>
        <v>220.93880756999999</v>
      </c>
      <c r="L42" s="107">
        <f t="shared" si="32"/>
        <v>240.00717358000003</v>
      </c>
      <c r="M42" s="107">
        <f t="shared" si="32"/>
        <v>71.695139049999995</v>
      </c>
      <c r="N42" s="107">
        <f t="shared" si="32"/>
        <v>345.79704572999998</v>
      </c>
      <c r="O42" s="107">
        <f t="shared" si="32"/>
        <v>251.96668527000003</v>
      </c>
      <c r="P42" s="107">
        <f t="shared" si="32"/>
        <v>956.56387420999988</v>
      </c>
      <c r="Q42" s="107">
        <f t="shared" si="32"/>
        <v>108.45141663999999</v>
      </c>
      <c r="R42" s="107">
        <f t="shared" si="32"/>
        <v>2412.3229753300002</v>
      </c>
      <c r="S42" s="107">
        <f t="shared" si="32"/>
        <v>75.345607770000001</v>
      </c>
      <c r="T42" s="107">
        <f t="shared" si="32"/>
        <v>53.216633640000005</v>
      </c>
      <c r="U42" s="107">
        <f t="shared" si="32"/>
        <v>0</v>
      </c>
      <c r="V42" s="107">
        <f t="shared" si="32"/>
        <v>0</v>
      </c>
      <c r="W42" s="107">
        <f t="shared" si="32"/>
        <v>0</v>
      </c>
      <c r="X42" s="107">
        <f t="shared" si="32"/>
        <v>0</v>
      </c>
      <c r="Y42" s="107">
        <f t="shared" si="32"/>
        <v>0</v>
      </c>
      <c r="Z42" s="107">
        <f t="shared" si="32"/>
        <v>0</v>
      </c>
      <c r="AA42" s="107">
        <f t="shared" si="32"/>
        <v>0</v>
      </c>
      <c r="AB42" s="107">
        <f t="shared" si="32"/>
        <v>0</v>
      </c>
      <c r="AC42" s="107">
        <f t="shared" si="32"/>
        <v>0</v>
      </c>
      <c r="AD42" s="107">
        <f t="shared" si="32"/>
        <v>0</v>
      </c>
      <c r="AE42" s="107">
        <f t="shared" si="32"/>
        <v>128.56224141000001</v>
      </c>
    </row>
    <row r="43" spans="2:31" ht="14.1" customHeight="1">
      <c r="B43" s="439" t="str">
        <f>IF(Indice_index!$Z$1=1,"Impacto no Saldo global","Impact in Overall balance")</f>
        <v>Impacto no Saldo global</v>
      </c>
      <c r="C43" s="440"/>
      <c r="D43" s="180"/>
      <c r="E43" s="181">
        <f t="shared" ref="E43:AE43" si="33">+E26-E42</f>
        <v>93.554952320000027</v>
      </c>
      <c r="F43" s="107">
        <f t="shared" si="33"/>
        <v>60.953533629999995</v>
      </c>
      <c r="G43" s="107">
        <f t="shared" si="33"/>
        <v>133.76489054999999</v>
      </c>
      <c r="H43" s="107">
        <f t="shared" si="33"/>
        <v>100.65560578</v>
      </c>
      <c r="I43" s="107">
        <f t="shared" si="33"/>
        <v>619.07601485999999</v>
      </c>
      <c r="J43" s="107">
        <f t="shared" si="33"/>
        <v>163.57818992000003</v>
      </c>
      <c r="K43" s="107">
        <f t="shared" si="33"/>
        <v>-226.22724775</v>
      </c>
      <c r="L43" s="107">
        <f t="shared" si="33"/>
        <v>-241.61623760000003</v>
      </c>
      <c r="M43" s="107">
        <f t="shared" si="33"/>
        <v>-70.546881169999992</v>
      </c>
      <c r="N43" s="107">
        <f t="shared" si="33"/>
        <v>77.567603279999958</v>
      </c>
      <c r="O43" s="107">
        <f t="shared" si="33"/>
        <v>-319.08152623000001</v>
      </c>
      <c r="P43" s="107">
        <f t="shared" si="33"/>
        <v>-815.36629327999992</v>
      </c>
      <c r="Q43" s="107">
        <f t="shared" si="33"/>
        <v>154.50848595000002</v>
      </c>
      <c r="R43" s="107">
        <f t="shared" si="33"/>
        <v>-423.68739569000013</v>
      </c>
      <c r="S43" s="181">
        <f t="shared" si="33"/>
        <v>-67.413595220000005</v>
      </c>
      <c r="T43" s="107">
        <f t="shared" si="33"/>
        <v>-52.347074320000004</v>
      </c>
      <c r="U43" s="107">
        <f t="shared" si="33"/>
        <v>0</v>
      </c>
      <c r="V43" s="107">
        <f t="shared" si="33"/>
        <v>0</v>
      </c>
      <c r="W43" s="107">
        <f t="shared" si="33"/>
        <v>0</v>
      </c>
      <c r="X43" s="107">
        <f t="shared" si="33"/>
        <v>0</v>
      </c>
      <c r="Y43" s="107">
        <f t="shared" si="33"/>
        <v>0</v>
      </c>
      <c r="Z43" s="107">
        <f t="shared" si="33"/>
        <v>0</v>
      </c>
      <c r="AA43" s="107">
        <f t="shared" si="33"/>
        <v>0</v>
      </c>
      <c r="AB43" s="107">
        <f t="shared" si="33"/>
        <v>0</v>
      </c>
      <c r="AC43" s="107">
        <f t="shared" si="33"/>
        <v>0</v>
      </c>
      <c r="AD43" s="107">
        <f t="shared" si="33"/>
        <v>0</v>
      </c>
      <c r="AE43" s="107">
        <f t="shared" si="33"/>
        <v>-119.76066954000001</v>
      </c>
    </row>
    <row r="44" spans="2:31" ht="14.1" customHeight="1">
      <c r="B44" s="442" t="str">
        <f>IF(Indice_index!$Z$1=1,"   Por memória:","   Memo item:")</f>
        <v xml:space="preserve">   Por memória:</v>
      </c>
      <c r="C44" s="442"/>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row>
    <row r="45" spans="2:31" ht="14.1" customHeight="1">
      <c r="B45" s="359" t="str">
        <f>IF(Indice_index!$Z$1=1,"Saldo corrente","Current balance")</f>
        <v>Saldo corrente</v>
      </c>
      <c r="C45" s="359"/>
      <c r="D45" s="261"/>
      <c r="E45" s="262">
        <f t="shared" ref="E45:AE45" si="34">+E12-E27</f>
        <v>133.86499932000001</v>
      </c>
      <c r="F45" s="262">
        <f t="shared" si="34"/>
        <v>104.37008326999999</v>
      </c>
      <c r="G45" s="262">
        <f t="shared" si="34"/>
        <v>175.62818886999997</v>
      </c>
      <c r="H45" s="262">
        <f t="shared" si="34"/>
        <v>142.51890409999999</v>
      </c>
      <c r="I45" s="262">
        <f t="shared" si="34"/>
        <v>660.93931318</v>
      </c>
      <c r="J45" s="262">
        <f t="shared" si="34"/>
        <v>205.44148824000001</v>
      </c>
      <c r="K45" s="262">
        <f t="shared" si="34"/>
        <v>-184.36394943000002</v>
      </c>
      <c r="L45" s="262">
        <f t="shared" si="34"/>
        <v>-199.75293928000002</v>
      </c>
      <c r="M45" s="262">
        <f t="shared" si="34"/>
        <v>-30.236834170000002</v>
      </c>
      <c r="N45" s="262">
        <f t="shared" si="34"/>
        <v>120.93495636999995</v>
      </c>
      <c r="O45" s="262">
        <f t="shared" si="34"/>
        <v>-282.02809539999998</v>
      </c>
      <c r="P45" s="262">
        <f t="shared" si="34"/>
        <v>-773.67761326999994</v>
      </c>
      <c r="Q45" s="262">
        <f t="shared" si="34"/>
        <v>238.23508259000002</v>
      </c>
      <c r="R45" s="262">
        <f t="shared" si="34"/>
        <v>73.638501800000085</v>
      </c>
      <c r="S45" s="262">
        <f t="shared" si="34"/>
        <v>-29.456433220000005</v>
      </c>
      <c r="T45" s="262">
        <f t="shared" si="34"/>
        <v>-11.385565679999999</v>
      </c>
      <c r="U45" s="262">
        <f t="shared" si="34"/>
        <v>0</v>
      </c>
      <c r="V45" s="262">
        <f t="shared" si="34"/>
        <v>0</v>
      </c>
      <c r="W45" s="262">
        <f t="shared" si="34"/>
        <v>0</v>
      </c>
      <c r="X45" s="262">
        <f t="shared" si="34"/>
        <v>0</v>
      </c>
      <c r="Y45" s="262">
        <f t="shared" si="34"/>
        <v>0</v>
      </c>
      <c r="Z45" s="262">
        <f t="shared" si="34"/>
        <v>0</v>
      </c>
      <c r="AA45" s="262">
        <f t="shared" si="34"/>
        <v>0</v>
      </c>
      <c r="AB45" s="262">
        <f t="shared" si="34"/>
        <v>0</v>
      </c>
      <c r="AC45" s="262">
        <f t="shared" si="34"/>
        <v>0</v>
      </c>
      <c r="AD45" s="262">
        <f t="shared" si="34"/>
        <v>0</v>
      </c>
      <c r="AE45" s="262">
        <f t="shared" si="34"/>
        <v>-40.841998900000007</v>
      </c>
    </row>
    <row r="46" spans="2:31" ht="14.1" customHeight="1">
      <c r="B46" s="359" t="str">
        <f>IF(Indice_index!$Z$1=1,"Saldo de capital","Capital balance")</f>
        <v>Saldo de capital</v>
      </c>
      <c r="C46" s="359"/>
      <c r="D46" s="261"/>
      <c r="E46" s="262">
        <f t="shared" ref="E46:AE46" si="35">+E20-E36</f>
        <v>-40.310046999999997</v>
      </c>
      <c r="F46" s="262">
        <f t="shared" si="35"/>
        <v>-43.416549639999999</v>
      </c>
      <c r="G46" s="262">
        <f t="shared" si="35"/>
        <v>-41.863298319999998</v>
      </c>
      <c r="H46" s="262">
        <f t="shared" si="35"/>
        <v>-41.863298319999998</v>
      </c>
      <c r="I46" s="262">
        <f t="shared" si="35"/>
        <v>-41.863298319999998</v>
      </c>
      <c r="J46" s="262">
        <f t="shared" si="35"/>
        <v>-41.863298319999998</v>
      </c>
      <c r="K46" s="262">
        <f t="shared" si="35"/>
        <v>-41.863298319999998</v>
      </c>
      <c r="L46" s="262">
        <f t="shared" si="35"/>
        <v>-41.863298319999998</v>
      </c>
      <c r="M46" s="262">
        <f t="shared" si="35"/>
        <v>-40.310046999999997</v>
      </c>
      <c r="N46" s="262">
        <f t="shared" si="35"/>
        <v>-43.367353090000002</v>
      </c>
      <c r="O46" s="262">
        <f t="shared" si="35"/>
        <v>-37.053430829999996</v>
      </c>
      <c r="P46" s="262">
        <f t="shared" si="35"/>
        <v>-41.688680009999999</v>
      </c>
      <c r="Q46" s="262">
        <f t="shared" si="35"/>
        <v>-83.726596639999997</v>
      </c>
      <c r="R46" s="262">
        <f t="shared" si="35"/>
        <v>-497.32589749000005</v>
      </c>
      <c r="S46" s="262">
        <f t="shared" si="35"/>
        <v>-37.957161999999997</v>
      </c>
      <c r="T46" s="262">
        <f t="shared" si="35"/>
        <v>-40.961508640000005</v>
      </c>
      <c r="U46" s="262">
        <f t="shared" si="35"/>
        <v>0</v>
      </c>
      <c r="V46" s="262">
        <f t="shared" si="35"/>
        <v>0</v>
      </c>
      <c r="W46" s="262">
        <f t="shared" si="35"/>
        <v>0</v>
      </c>
      <c r="X46" s="262">
        <f t="shared" si="35"/>
        <v>0</v>
      </c>
      <c r="Y46" s="262">
        <f t="shared" si="35"/>
        <v>0</v>
      </c>
      <c r="Z46" s="262">
        <f t="shared" si="35"/>
        <v>0</v>
      </c>
      <c r="AA46" s="262">
        <f t="shared" si="35"/>
        <v>0</v>
      </c>
      <c r="AB46" s="262">
        <f t="shared" si="35"/>
        <v>0</v>
      </c>
      <c r="AC46" s="262">
        <f t="shared" si="35"/>
        <v>0</v>
      </c>
      <c r="AD46" s="262">
        <f t="shared" si="35"/>
        <v>0</v>
      </c>
      <c r="AE46" s="262">
        <f t="shared" si="35"/>
        <v>-78.918670640000002</v>
      </c>
    </row>
    <row r="47" spans="2:31" ht="14.1" customHeight="1">
      <c r="B47" s="359" t="str">
        <f>IF(Indice_index!$Z$1=1,"Saldo primário","Primary balance")</f>
        <v>Saldo primário</v>
      </c>
      <c r="C47" s="359"/>
      <c r="D47" s="261"/>
      <c r="E47" s="262">
        <f t="shared" ref="E47:AE47" si="36">+E43+E30</f>
        <v>93.554952320000027</v>
      </c>
      <c r="F47" s="262">
        <f t="shared" si="36"/>
        <v>60.953533629999995</v>
      </c>
      <c r="G47" s="262">
        <f t="shared" si="36"/>
        <v>133.76489054999999</v>
      </c>
      <c r="H47" s="262">
        <f t="shared" si="36"/>
        <v>100.65560578</v>
      </c>
      <c r="I47" s="262">
        <f t="shared" si="36"/>
        <v>619.07601485999999</v>
      </c>
      <c r="J47" s="262">
        <f t="shared" si="36"/>
        <v>163.57818992000003</v>
      </c>
      <c r="K47" s="262">
        <f t="shared" si="36"/>
        <v>-226.22724775</v>
      </c>
      <c r="L47" s="262">
        <f t="shared" si="36"/>
        <v>-241.61623760000003</v>
      </c>
      <c r="M47" s="262">
        <f t="shared" si="36"/>
        <v>-70.546881169999992</v>
      </c>
      <c r="N47" s="262">
        <f t="shared" si="36"/>
        <v>77.567603279999958</v>
      </c>
      <c r="O47" s="262">
        <f t="shared" si="36"/>
        <v>-319.08152623000001</v>
      </c>
      <c r="P47" s="262">
        <f t="shared" si="36"/>
        <v>-815.36629327999992</v>
      </c>
      <c r="Q47" s="262">
        <f t="shared" si="36"/>
        <v>154.50848595000002</v>
      </c>
      <c r="R47" s="262">
        <f t="shared" si="36"/>
        <v>-423.68739569000013</v>
      </c>
      <c r="S47" s="262">
        <f t="shared" si="36"/>
        <v>-67.413595220000005</v>
      </c>
      <c r="T47" s="262">
        <f t="shared" si="36"/>
        <v>-52.347074320000004</v>
      </c>
      <c r="U47" s="262">
        <f t="shared" si="36"/>
        <v>0</v>
      </c>
      <c r="V47" s="262">
        <f t="shared" si="36"/>
        <v>0</v>
      </c>
      <c r="W47" s="262">
        <f t="shared" si="36"/>
        <v>0</v>
      </c>
      <c r="X47" s="262">
        <f t="shared" si="36"/>
        <v>0</v>
      </c>
      <c r="Y47" s="262">
        <f t="shared" si="36"/>
        <v>0</v>
      </c>
      <c r="Z47" s="262">
        <f t="shared" si="36"/>
        <v>0</v>
      </c>
      <c r="AA47" s="262">
        <f t="shared" si="36"/>
        <v>0</v>
      </c>
      <c r="AB47" s="262">
        <f t="shared" si="36"/>
        <v>0</v>
      </c>
      <c r="AC47" s="262">
        <f t="shared" si="36"/>
        <v>0</v>
      </c>
      <c r="AD47" s="262">
        <f t="shared" si="36"/>
        <v>0</v>
      </c>
      <c r="AE47" s="262">
        <f t="shared" si="36"/>
        <v>-119.76066954000001</v>
      </c>
    </row>
    <row r="48" spans="2:31" ht="14.1" customHeight="1">
      <c r="B48" s="444" t="str">
        <f>IF(Indice_index!$Z$1=1,"Despesa  primária","Primary Expenditure")</f>
        <v>Despesa  primária</v>
      </c>
      <c r="C48" s="444"/>
      <c r="D48" s="265"/>
      <c r="E48" s="266">
        <f t="shared" ref="E48:AE48" si="37">+E42-E30</f>
        <v>52.672456999999994</v>
      </c>
      <c r="F48" s="266">
        <f t="shared" si="37"/>
        <v>55.778959639999997</v>
      </c>
      <c r="G48" s="266">
        <f t="shared" si="37"/>
        <v>54.225708319999995</v>
      </c>
      <c r="H48" s="266">
        <f t="shared" si="37"/>
        <v>54.225708319999995</v>
      </c>
      <c r="I48" s="266">
        <f t="shared" si="37"/>
        <v>54.225708319999995</v>
      </c>
      <c r="J48" s="266">
        <f t="shared" si="37"/>
        <v>54.225708319999995</v>
      </c>
      <c r="K48" s="266">
        <f t="shared" si="37"/>
        <v>220.93880756999999</v>
      </c>
      <c r="L48" s="266">
        <f t="shared" si="37"/>
        <v>240.00717358000003</v>
      </c>
      <c r="M48" s="266">
        <f t="shared" si="37"/>
        <v>71.695139049999995</v>
      </c>
      <c r="N48" s="266">
        <f t="shared" si="37"/>
        <v>345.79704572999998</v>
      </c>
      <c r="O48" s="266">
        <f t="shared" si="37"/>
        <v>251.96668527000003</v>
      </c>
      <c r="P48" s="266">
        <f t="shared" si="37"/>
        <v>956.56387420999988</v>
      </c>
      <c r="Q48" s="266">
        <f t="shared" si="37"/>
        <v>108.45141663999999</v>
      </c>
      <c r="R48" s="266">
        <f t="shared" si="37"/>
        <v>2412.3229753300002</v>
      </c>
      <c r="S48" s="266">
        <f t="shared" si="37"/>
        <v>75.345607770000001</v>
      </c>
      <c r="T48" s="266">
        <f t="shared" si="37"/>
        <v>53.216633640000005</v>
      </c>
      <c r="U48" s="266">
        <f t="shared" si="37"/>
        <v>0</v>
      </c>
      <c r="V48" s="266">
        <f t="shared" si="37"/>
        <v>0</v>
      </c>
      <c r="W48" s="266">
        <f t="shared" si="37"/>
        <v>0</v>
      </c>
      <c r="X48" s="266">
        <f t="shared" si="37"/>
        <v>0</v>
      </c>
      <c r="Y48" s="266">
        <f t="shared" si="37"/>
        <v>0</v>
      </c>
      <c r="Z48" s="266">
        <f t="shared" si="37"/>
        <v>0</v>
      </c>
      <c r="AA48" s="266">
        <f t="shared" si="37"/>
        <v>0</v>
      </c>
      <c r="AB48" s="266">
        <f t="shared" si="37"/>
        <v>0</v>
      </c>
      <c r="AC48" s="266">
        <f t="shared" si="37"/>
        <v>0</v>
      </c>
      <c r="AD48" s="266">
        <f t="shared" si="37"/>
        <v>0</v>
      </c>
      <c r="AE48" s="266">
        <f t="shared" si="37"/>
        <v>128.56224141000001</v>
      </c>
    </row>
    <row r="49" spans="2:31" ht="1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row>
    <row r="50" spans="2:31" ht="16.350000000000001" customHeight="1">
      <c r="B50" s="445"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row>
    <row r="51" spans="2:31" ht="16.350000000000001" customHeight="1">
      <c r="B51" s="343"/>
      <c r="C51" s="344"/>
      <c r="D51" s="108"/>
      <c r="E51" s="343">
        <v>2025</v>
      </c>
      <c r="F51" s="344" t="s">
        <v>41</v>
      </c>
      <c r="G51" s="344" t="s">
        <v>41</v>
      </c>
      <c r="H51" s="344" t="s">
        <v>41</v>
      </c>
      <c r="I51" s="344" t="s">
        <v>41</v>
      </c>
      <c r="J51" s="344" t="s">
        <v>41</v>
      </c>
      <c r="K51" s="344" t="s">
        <v>41</v>
      </c>
      <c r="L51" s="344" t="s">
        <v>41</v>
      </c>
      <c r="M51" s="344" t="s">
        <v>41</v>
      </c>
      <c r="N51" s="344" t="s">
        <v>41</v>
      </c>
      <c r="O51" s="344" t="s">
        <v>41</v>
      </c>
      <c r="P51" s="344" t="s">
        <v>41</v>
      </c>
      <c r="Q51" s="344"/>
      <c r="R51" s="344" t="s">
        <v>41</v>
      </c>
      <c r="S51" s="343">
        <v>2026</v>
      </c>
      <c r="T51" s="344" t="s">
        <v>41</v>
      </c>
      <c r="U51" s="344" t="s">
        <v>41</v>
      </c>
      <c r="V51" s="344" t="s">
        <v>41</v>
      </c>
      <c r="W51" s="344" t="s">
        <v>41</v>
      </c>
      <c r="X51" s="344" t="s">
        <v>41</v>
      </c>
      <c r="Y51" s="344" t="s">
        <v>41</v>
      </c>
      <c r="Z51" s="344" t="s">
        <v>41</v>
      </c>
      <c r="AA51" s="344" t="s">
        <v>41</v>
      </c>
      <c r="AB51" s="344" t="s">
        <v>41</v>
      </c>
      <c r="AC51" s="344" t="s">
        <v>41</v>
      </c>
      <c r="AD51" s="344" t="s">
        <v>41</v>
      </c>
      <c r="AE51" s="344" t="s">
        <v>41</v>
      </c>
    </row>
    <row r="52" spans="2:31" ht="26.85" customHeight="1">
      <c r="B52" s="343"/>
      <c r="C52" s="344"/>
      <c r="D52" s="108"/>
      <c r="E52" s="22" t="str">
        <f>IF(Indice_index!$Z$1=1,"jan","Jan")</f>
        <v>jan</v>
      </c>
      <c r="F52" s="22" t="str">
        <f>IF(Indice_index!$Z$1=1,"fev","Feb")</f>
        <v>fev</v>
      </c>
      <c r="G52" s="22" t="str">
        <f>IF(Indice_index!$Z$1=1,"mar","Mar")</f>
        <v>mar</v>
      </c>
      <c r="H52" s="22" t="str">
        <f>IF(Indice_index!$Z$1=1,"abr","Apr")</f>
        <v>abr</v>
      </c>
      <c r="I52" s="22" t="str">
        <f>IF(Indice_index!$Z$1=1,"mai","May")</f>
        <v>mai</v>
      </c>
      <c r="J52" s="22" t="str">
        <f>IF(Indice_index!$Z$1=1,"jun","Jun")</f>
        <v>jun</v>
      </c>
      <c r="K52" s="22" t="str">
        <f>IF(Indice_index!$Z$1=1,"jul","Jul")</f>
        <v>jul</v>
      </c>
      <c r="L52" s="22" t="str">
        <f>IF(Indice_index!$Z$1=1,"ago","Aug")</f>
        <v>ago</v>
      </c>
      <c r="M52" s="22" t="str">
        <f>IF(Indice_index!$Z$1=1,"set","Sep")</f>
        <v>set</v>
      </c>
      <c r="N52" s="22" t="str">
        <f>IF(Indice_index!$Z$1=1,"out","Oct")</f>
        <v>out</v>
      </c>
      <c r="O52" s="22" t="str">
        <f>IF(Indice_index!$Z$1=1,"nov","Nov")</f>
        <v>nov</v>
      </c>
      <c r="P52" s="22" t="str">
        <f>IF(Indice_index!$Z$1=1,"dez","Dec")</f>
        <v>dez</v>
      </c>
      <c r="Q52" s="22" t="str">
        <f>IF(Indice_index!$Z$1=1,"Ano até 
à data","Year to date")</f>
        <v>Ano até 
à data</v>
      </c>
      <c r="R52" s="22" t="str">
        <f>IF(Indice_index!$Z$1=1,"Acumulado","Cumulative")</f>
        <v>Acumulado</v>
      </c>
      <c r="S52" s="22" t="str">
        <f>IF(Indice_index!$Z$1=1,"jan","Jan")</f>
        <v>jan</v>
      </c>
      <c r="T52" s="22" t="str">
        <f>IF(Indice_index!$Z$1=1,"fev","Feb")</f>
        <v>fev</v>
      </c>
      <c r="U52" s="22" t="str">
        <f>IF(Indice_index!$Z$1=1,"mar","Mar")</f>
        <v>mar</v>
      </c>
      <c r="V52" s="22" t="str">
        <f>IF(Indice_index!$Z$1=1,"abr","Apr")</f>
        <v>abr</v>
      </c>
      <c r="W52" s="22" t="str">
        <f>IF(Indice_index!$Z$1=1,"mai","May")</f>
        <v>mai</v>
      </c>
      <c r="X52" s="22" t="str">
        <f>IF(Indice_index!$Z$1=1,"jun","Jun")</f>
        <v>jun</v>
      </c>
      <c r="Y52" s="22" t="str">
        <f>IF(Indice_index!$Z$1=1,"jul","Jul")</f>
        <v>jul</v>
      </c>
      <c r="Z52" s="22" t="str">
        <f>IF(Indice_index!$Z$1=1,"ago","Aug")</f>
        <v>ago</v>
      </c>
      <c r="AA52" s="22" t="str">
        <f>IF(Indice_index!$Z$1=1,"set","Sep")</f>
        <v>set</v>
      </c>
      <c r="AB52" s="22" t="str">
        <f>IF(Indice_index!$Z$1=1,"out","Oct")</f>
        <v>out</v>
      </c>
      <c r="AC52" s="22" t="str">
        <f>IF(Indice_index!$Z$1=1,"nov","Nov")</f>
        <v>nov</v>
      </c>
      <c r="AD52" s="22" t="str">
        <f>IF(Indice_index!$Z$1=1,"dez","Dec")</f>
        <v>dez</v>
      </c>
      <c r="AE52" s="22" t="str">
        <f>IF(Indice_index!$Z$1=1,"Acumulado","Cumulative")</f>
        <v>Acumulado</v>
      </c>
    </row>
    <row r="53" spans="2:31" ht="15">
      <c r="B53" s="439" t="str">
        <f>IF(Indice_index!$Z$1=1,"Subtotal da Administração Central","Central Government subtotal")</f>
        <v>Subtotal da Administração Central</v>
      </c>
      <c r="C53" s="440"/>
      <c r="D53" s="106"/>
      <c r="E53" s="107">
        <f t="shared" ref="E53:AE53" si="38">SUMIF($C54:$C77,"Receita",E54:E77)-SUMIF($C54:$C77,"Despesa",E54:E77)+SUMIF($C54:$C77,"Revenue",E54:E77)-SUMIF($C54:$C77,"Expenditure",E54:E77)</f>
        <v>93.554952320000027</v>
      </c>
      <c r="F53" s="107">
        <f t="shared" si="38"/>
        <v>60.953533629999995</v>
      </c>
      <c r="G53" s="107">
        <f t="shared" si="38"/>
        <v>133.76489054999999</v>
      </c>
      <c r="H53" s="107">
        <f t="shared" si="38"/>
        <v>100.65560578</v>
      </c>
      <c r="I53" s="107">
        <f t="shared" si="38"/>
        <v>619.07601485999999</v>
      </c>
      <c r="J53" s="107">
        <f t="shared" si="38"/>
        <v>163.57818992000003</v>
      </c>
      <c r="K53" s="107">
        <f t="shared" si="38"/>
        <v>-226.22724775</v>
      </c>
      <c r="L53" s="107">
        <f t="shared" si="38"/>
        <v>-241.61623759999998</v>
      </c>
      <c r="M53" s="107">
        <f t="shared" si="38"/>
        <v>-70.546881169999992</v>
      </c>
      <c r="N53" s="107">
        <f t="shared" si="38"/>
        <v>77.567603279999958</v>
      </c>
      <c r="O53" s="107">
        <f t="shared" si="38"/>
        <v>-319.08152623000001</v>
      </c>
      <c r="P53" s="107">
        <f t="shared" si="38"/>
        <v>-815.36629328000004</v>
      </c>
      <c r="Q53" s="107">
        <f t="shared" si="38"/>
        <v>154.50848595000002</v>
      </c>
      <c r="R53" s="107">
        <f t="shared" si="38"/>
        <v>-423.68739569000059</v>
      </c>
      <c r="S53" s="107">
        <f t="shared" si="38"/>
        <v>-67.413595220000005</v>
      </c>
      <c r="T53" s="107">
        <f t="shared" si="38"/>
        <v>-52.347074320000004</v>
      </c>
      <c r="U53" s="107">
        <f t="shared" si="38"/>
        <v>0</v>
      </c>
      <c r="V53" s="107">
        <f t="shared" si="38"/>
        <v>0</v>
      </c>
      <c r="W53" s="107">
        <f t="shared" si="38"/>
        <v>0</v>
      </c>
      <c r="X53" s="107">
        <f t="shared" si="38"/>
        <v>0</v>
      </c>
      <c r="Y53" s="107">
        <f t="shared" si="38"/>
        <v>0</v>
      </c>
      <c r="Z53" s="107">
        <f t="shared" si="38"/>
        <v>0</v>
      </c>
      <c r="AA53" s="107">
        <f t="shared" si="38"/>
        <v>0</v>
      </c>
      <c r="AB53" s="107">
        <f t="shared" si="38"/>
        <v>0</v>
      </c>
      <c r="AC53" s="107">
        <f t="shared" si="38"/>
        <v>0</v>
      </c>
      <c r="AD53" s="107">
        <f t="shared" si="38"/>
        <v>0</v>
      </c>
      <c r="AE53" s="107">
        <f t="shared" si="38"/>
        <v>-119.76066954000001</v>
      </c>
    </row>
    <row r="54" spans="2:31" ht="13.5" customHeight="1">
      <c r="B54" s="136"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37" t="str">
        <f>IF(Indice_index!$Z$1=1,"Receita","Revenue")</f>
        <v>Receita</v>
      </c>
      <c r="D54" s="101" t="s">
        <v>16</v>
      </c>
      <c r="E54" s="284"/>
      <c r="F54" s="284"/>
      <c r="G54" s="272"/>
      <c r="H54" s="272"/>
      <c r="I54" s="272"/>
      <c r="J54" s="272"/>
      <c r="K54" s="272"/>
      <c r="L54" s="272"/>
      <c r="M54" s="272"/>
      <c r="N54" s="272">
        <v>375.57612440999998</v>
      </c>
      <c r="O54" s="272"/>
      <c r="P54" s="272"/>
      <c r="Q54" s="272">
        <f>SUM(E54:F54)</f>
        <v>0</v>
      </c>
      <c r="R54" s="272">
        <f>SUM(E54:P54)</f>
        <v>375.57612440999998</v>
      </c>
      <c r="S54" s="284"/>
      <c r="T54" s="284"/>
      <c r="U54" s="277"/>
      <c r="V54" s="277"/>
      <c r="W54" s="277"/>
      <c r="X54" s="277"/>
      <c r="Y54" s="277"/>
      <c r="Z54" s="277"/>
      <c r="AA54" s="277"/>
      <c r="AB54" s="277"/>
      <c r="AC54" s="277"/>
      <c r="AD54" s="277"/>
      <c r="AE54" s="272">
        <f>SUM(S54:AD54)</f>
        <v>0</v>
      </c>
    </row>
    <row r="55" spans="2:31" ht="14.1" customHeight="1">
      <c r="B55" s="136" t="str">
        <f>IF(Indice_index!$Z$1=1,"Contribuição extraordinária sobre o setor bancário - consignada ao Fundo de Resolução","Extraordinary contribution over the baking sector - Assigned to the to the Resolution Fund")</f>
        <v>Contribuição extraordinária sobre o setor bancário - consignada ao Fundo de Resolução</v>
      </c>
      <c r="C55" s="137" t="str">
        <f>IF(Indice_index!$Z$1=1,"Receita","Revenue")</f>
        <v>Receita</v>
      </c>
      <c r="D55" s="101" t="s">
        <v>16</v>
      </c>
      <c r="E55" s="284"/>
      <c r="F55" s="284"/>
      <c r="G55" s="272"/>
      <c r="H55" s="272">
        <v>0.42140464999999999</v>
      </c>
      <c r="I55" s="272">
        <v>-6.8736619999999998E-2</v>
      </c>
      <c r="J55" s="272">
        <v>191.64427022000001</v>
      </c>
      <c r="K55" s="272">
        <v>1.2702470299999999</v>
      </c>
      <c r="L55" s="272"/>
      <c r="M55" s="272"/>
      <c r="N55" s="272"/>
      <c r="O55" s="272"/>
      <c r="P55" s="272"/>
      <c r="Q55" s="272">
        <f t="shared" ref="Q55:Q77" si="39">SUM(E55:F55)</f>
        <v>0</v>
      </c>
      <c r="R55" s="272">
        <f t="shared" ref="R55:R56" si="40">SUM(E55:P55)</f>
        <v>193.26718528000001</v>
      </c>
      <c r="S55" s="284"/>
      <c r="T55" s="284"/>
      <c r="U55" s="277"/>
      <c r="V55" s="277"/>
      <c r="W55" s="277"/>
      <c r="X55" s="277"/>
      <c r="Y55" s="277"/>
      <c r="Z55" s="277"/>
      <c r="AA55" s="277"/>
      <c r="AB55" s="277"/>
      <c r="AC55" s="277"/>
      <c r="AD55" s="277"/>
      <c r="AE55" s="272">
        <f>SUM(S55:AD55)</f>
        <v>0</v>
      </c>
    </row>
    <row r="56" spans="2:31" ht="14.1" customHeight="1">
      <c r="B56" s="136"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6" s="137" t="str">
        <f>IF(Indice_index!$Z$1=1,"Receita","Revenue")</f>
        <v>Receita</v>
      </c>
      <c r="D56" s="101" t="s">
        <v>16</v>
      </c>
      <c r="E56" s="284">
        <v>-0.86642496999999996</v>
      </c>
      <c r="F56" s="284">
        <v>2.5368550700000001</v>
      </c>
      <c r="G56" s="272">
        <v>-0.31989685000000001</v>
      </c>
      <c r="H56" s="272"/>
      <c r="I56" s="272">
        <v>1.67776741</v>
      </c>
      <c r="J56" s="272">
        <v>0.58460486</v>
      </c>
      <c r="K56" s="272">
        <v>0.50934849000000004</v>
      </c>
      <c r="L56" s="285">
        <v>4.6878240000000002E-2</v>
      </c>
      <c r="M56" s="272">
        <v>-0.56175754</v>
      </c>
      <c r="N56" s="272">
        <v>47.018422090000001</v>
      </c>
      <c r="O56" s="285">
        <v>-4.0168605399999997</v>
      </c>
      <c r="P56" s="272">
        <v>2.5770933600000001</v>
      </c>
      <c r="Q56" s="272">
        <f t="shared" si="39"/>
        <v>1.6704301000000001</v>
      </c>
      <c r="R56" s="272">
        <f t="shared" si="40"/>
        <v>49.186029620000006</v>
      </c>
      <c r="S56" s="284">
        <v>2.51061238</v>
      </c>
      <c r="T56" s="284">
        <v>0.51735880999999995</v>
      </c>
      <c r="U56" s="277"/>
      <c r="V56" s="277"/>
      <c r="W56" s="277"/>
      <c r="X56" s="277"/>
      <c r="Y56" s="277"/>
      <c r="Z56" s="278"/>
      <c r="AA56" s="277"/>
      <c r="AB56" s="277"/>
      <c r="AC56" s="278"/>
      <c r="AD56" s="277"/>
      <c r="AE56" s="272">
        <f t="shared" ref="AE56" si="41">SUM(S56:AD56)</f>
        <v>3.0279711899999997</v>
      </c>
    </row>
    <row r="57" spans="2:31" ht="14.1" customHeight="1">
      <c r="B57" s="136" t="str">
        <f>IF(Indice_index!$Z$1=1,"Adicional de solidariedade sobre o setor bancário","Solidarity surcharge on the banking sector")</f>
        <v>Adicional de solidariedade sobre o setor bancário</v>
      </c>
      <c r="C57" s="137" t="str">
        <f>IF(Indice_index!$Z$1=1,"Receita","Revenue")</f>
        <v>Receita</v>
      </c>
      <c r="D57" s="101" t="s">
        <v>16</v>
      </c>
      <c r="E57" s="284"/>
      <c r="F57" s="284"/>
      <c r="G57" s="272"/>
      <c r="H57" s="285">
        <v>7.6619030000000005E-2</v>
      </c>
      <c r="I57" s="285"/>
      <c r="J57" s="285">
        <v>15.329055289999999</v>
      </c>
      <c r="K57" s="285">
        <v>-19.20035193</v>
      </c>
      <c r="L57" s="285">
        <v>-2.3536723099999999</v>
      </c>
      <c r="M57" s="285"/>
      <c r="N57" s="285">
        <v>-11.50546887</v>
      </c>
      <c r="O57" s="285">
        <v>-87.522268460000006</v>
      </c>
      <c r="P57" s="285">
        <v>-50.569444480000001</v>
      </c>
      <c r="Q57" s="272">
        <f t="shared" si="39"/>
        <v>0</v>
      </c>
      <c r="R57" s="272">
        <f t="shared" ref="R57:R67" si="42">SUM(E57:P57)</f>
        <v>-155.74553173000001</v>
      </c>
      <c r="S57" s="284">
        <v>-11.798949260000001</v>
      </c>
      <c r="T57" s="284">
        <v>-1.1619006700000001</v>
      </c>
      <c r="U57" s="277"/>
      <c r="V57" s="277"/>
      <c r="W57" s="277"/>
      <c r="X57" s="277"/>
      <c r="Y57" s="277"/>
      <c r="Z57" s="278"/>
      <c r="AA57" s="277"/>
      <c r="AB57" s="277"/>
      <c r="AC57" s="278"/>
      <c r="AD57" s="277"/>
      <c r="AE57" s="272">
        <f t="shared" ref="AE57:AE76" si="43">SUM(S57:AD57)</f>
        <v>-12.96084993</v>
      </c>
    </row>
    <row r="58" spans="2:31" ht="13.5" customHeight="1">
      <c r="B58" s="136"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8" s="137" t="str">
        <f>IF(Indice_index!$Z$1=1,"Receita","Revenue")</f>
        <v>Receita</v>
      </c>
      <c r="D58" s="101" t="s">
        <v>17</v>
      </c>
      <c r="E58" s="284">
        <v>133.87421194000001</v>
      </c>
      <c r="F58" s="284">
        <v>114.25650141</v>
      </c>
      <c r="G58" s="272">
        <v>91.614027519999993</v>
      </c>
      <c r="H58" s="272">
        <v>99.445259129999997</v>
      </c>
      <c r="I58" s="272"/>
      <c r="J58" s="272"/>
      <c r="K58" s="272"/>
      <c r="L58" s="285"/>
      <c r="M58" s="272"/>
      <c r="N58" s="272"/>
      <c r="O58" s="285"/>
      <c r="P58" s="272"/>
      <c r="Q58" s="272">
        <f t="shared" si="39"/>
        <v>248.13071335000001</v>
      </c>
      <c r="R58" s="272">
        <f t="shared" si="42"/>
        <v>439.19</v>
      </c>
      <c r="S58" s="284"/>
      <c r="T58" s="284"/>
      <c r="U58" s="277"/>
      <c r="V58" s="277"/>
      <c r="W58" s="277"/>
      <c r="X58" s="277"/>
      <c r="Y58" s="277"/>
      <c r="Z58" s="278"/>
      <c r="AA58" s="277"/>
      <c r="AB58" s="277"/>
      <c r="AC58" s="278"/>
      <c r="AD58" s="277"/>
      <c r="AE58" s="272">
        <f t="shared" si="43"/>
        <v>0</v>
      </c>
    </row>
    <row r="59" spans="2:31" ht="14.1" customHeight="1">
      <c r="B59" s="136"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9" s="137" t="str">
        <f>IF(Indice_index!$Z$1=1,"Receita","Revenue")</f>
        <v>Receita</v>
      </c>
      <c r="D59" s="101" t="s">
        <v>17</v>
      </c>
      <c r="E59" s="284">
        <v>6.3612598</v>
      </c>
      <c r="F59" s="284">
        <v>-0.13515537</v>
      </c>
      <c r="G59" s="272">
        <v>7.9672400000000004E-3</v>
      </c>
      <c r="H59" s="272">
        <v>5.2373260500000001</v>
      </c>
      <c r="I59" s="272">
        <v>6.9019120000000003E-2</v>
      </c>
      <c r="J59" s="272">
        <v>0.30146376000000003</v>
      </c>
      <c r="K59" s="272">
        <v>6.6381707099999998</v>
      </c>
      <c r="L59" s="285">
        <v>2.9151050000000001E-2</v>
      </c>
      <c r="M59" s="272"/>
      <c r="N59" s="272">
        <v>6.9510618800000001</v>
      </c>
      <c r="O59" s="285">
        <v>-5.44153E-3</v>
      </c>
      <c r="P59" s="272">
        <v>0.13927232000000001</v>
      </c>
      <c r="Q59" s="272">
        <f t="shared" si="39"/>
        <v>6.2261044300000004</v>
      </c>
      <c r="R59" s="272">
        <f t="shared" si="42"/>
        <v>25.594095030000002</v>
      </c>
      <c r="S59" s="284">
        <v>9.3159499199999996</v>
      </c>
      <c r="T59" s="284">
        <v>3.1839300000000002E-3</v>
      </c>
      <c r="U59" s="277"/>
      <c r="V59" s="277"/>
      <c r="W59" s="277"/>
      <c r="X59" s="277"/>
      <c r="Y59" s="277"/>
      <c r="Z59" s="278"/>
      <c r="AA59" s="277"/>
      <c r="AB59" s="277"/>
      <c r="AC59" s="278"/>
      <c r="AD59" s="277"/>
      <c r="AE59" s="272">
        <f t="shared" si="43"/>
        <v>9.3191338500000001</v>
      </c>
    </row>
    <row r="60" spans="2:31" ht="14.1" customHeight="1">
      <c r="B60" s="136"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60" s="137" t="str">
        <f>IF(Indice_index!$Z$1=1,"Receita","Revenue")</f>
        <v>Receita</v>
      </c>
      <c r="D60" s="101" t="s">
        <v>17</v>
      </c>
      <c r="E60" s="284">
        <v>6.0022168499999999</v>
      </c>
      <c r="F60" s="284">
        <v>7.4292159999999996E-2</v>
      </c>
      <c r="G60" s="272">
        <v>5.9208400000000001E-3</v>
      </c>
      <c r="H60" s="272">
        <v>5.0479146500000001</v>
      </c>
      <c r="I60" s="272">
        <v>0.12367327</v>
      </c>
      <c r="J60" s="272">
        <v>-0.20282765</v>
      </c>
      <c r="K60" s="272">
        <v>5.49414552</v>
      </c>
      <c r="L60" s="285">
        <v>0.66857900000000003</v>
      </c>
      <c r="M60" s="272">
        <v>1.3500919199999999</v>
      </c>
      <c r="N60" s="272">
        <v>4.7345094999999997</v>
      </c>
      <c r="O60" s="285">
        <v>0.81414918000000003</v>
      </c>
      <c r="P60" s="272">
        <v>-6.5694489999999994E-2</v>
      </c>
      <c r="Q60" s="272">
        <f t="shared" si="39"/>
        <v>6.0765090099999997</v>
      </c>
      <c r="R60" s="272">
        <f t="shared" si="42"/>
        <v>24.04697075</v>
      </c>
      <c r="S60" s="284">
        <v>7.1602495099999999</v>
      </c>
      <c r="T60" s="284">
        <v>2.6498879999999999E-2</v>
      </c>
      <c r="U60" s="277"/>
      <c r="V60" s="277"/>
      <c r="W60" s="277"/>
      <c r="X60" s="277"/>
      <c r="Y60" s="277"/>
      <c r="Z60" s="278"/>
      <c r="AA60" s="277"/>
      <c r="AB60" s="277"/>
      <c r="AC60" s="278"/>
      <c r="AD60" s="277"/>
      <c r="AE60" s="272">
        <f t="shared" si="43"/>
        <v>7.18674839</v>
      </c>
    </row>
    <row r="61" spans="2:31" ht="14.1" customHeight="1">
      <c r="B61" s="136" t="str">
        <f>IF(Indice_index!$Z$1=1,"Leilão no âmbito da 5.ª Geração de comunicações móveis (5G)"," Sale of the 5th generation mobile frequency use rights (5G)")</f>
        <v>Leilão no âmbito da 5.ª Geração de comunicações móveis (5G)</v>
      </c>
      <c r="C61" s="137" t="str">
        <f>IF(Indice_index!$Z$1=1,"Receita","Revenue")</f>
        <v>Receita</v>
      </c>
      <c r="D61" s="101" t="s">
        <v>22</v>
      </c>
      <c r="E61" s="284"/>
      <c r="F61" s="284"/>
      <c r="G61" s="272"/>
      <c r="H61" s="272"/>
      <c r="I61" s="272"/>
      <c r="J61" s="272"/>
      <c r="K61" s="272"/>
      <c r="L61" s="272"/>
      <c r="M61" s="272"/>
      <c r="N61" s="272">
        <v>0.59</v>
      </c>
      <c r="O61" s="285">
        <v>18.175999999999998</v>
      </c>
      <c r="P61" s="272"/>
      <c r="Q61" s="272">
        <f t="shared" si="39"/>
        <v>0</v>
      </c>
      <c r="R61" s="272">
        <f t="shared" si="42"/>
        <v>18.765999999999998</v>
      </c>
      <c r="S61" s="284"/>
      <c r="T61" s="284"/>
      <c r="U61" s="277"/>
      <c r="V61" s="277"/>
      <c r="W61" s="277"/>
      <c r="X61" s="277"/>
      <c r="Y61" s="277"/>
      <c r="Z61" s="277"/>
      <c r="AA61" s="277"/>
      <c r="AB61" s="277"/>
      <c r="AC61" s="278"/>
      <c r="AD61" s="277"/>
      <c r="AE61" s="272">
        <f t="shared" si="43"/>
        <v>0</v>
      </c>
    </row>
    <row r="62" spans="2:31" ht="14.1" hidden="1" customHeight="1">
      <c r="B62" s="286" t="str">
        <f>IF(Indice_index!$Z$1=1,"Dividendos do Banco de Portugal","Dividends from the Bank of Portugal")</f>
        <v>Dividendos do Banco de Portugal</v>
      </c>
      <c r="C62" s="137" t="str">
        <f>IF(Indice_index!$Z$1=1,"Receita","Revenue")</f>
        <v>Receita</v>
      </c>
      <c r="D62" s="101" t="s">
        <v>22</v>
      </c>
      <c r="E62" s="284"/>
      <c r="F62" s="284"/>
      <c r="G62" s="272"/>
      <c r="H62" s="272"/>
      <c r="I62" s="272"/>
      <c r="J62" s="272"/>
      <c r="K62" s="272"/>
      <c r="L62" s="272"/>
      <c r="M62" s="272"/>
      <c r="N62" s="272"/>
      <c r="O62" s="285"/>
      <c r="P62" s="272"/>
      <c r="Q62" s="272">
        <f t="shared" si="39"/>
        <v>0</v>
      </c>
      <c r="R62" s="272">
        <f t="shared" ref="R62" si="44">SUM(E62:P62)</f>
        <v>0</v>
      </c>
      <c r="S62" s="284"/>
      <c r="T62" s="284"/>
      <c r="U62" s="277"/>
      <c r="V62" s="277"/>
      <c r="W62" s="277"/>
      <c r="X62" s="277"/>
      <c r="Y62" s="277"/>
      <c r="Z62" s="277"/>
      <c r="AA62" s="277"/>
      <c r="AB62" s="277"/>
      <c r="AC62" s="278"/>
      <c r="AD62" s="277"/>
      <c r="AE62" s="272">
        <f t="shared" ref="AE62" si="45">SUM(S62:AD62)</f>
        <v>0</v>
      </c>
    </row>
    <row r="63" spans="2:31" ht="14.1" customHeight="1">
      <c r="B63" s="286" t="str">
        <f>IF(Indice_index!$Z$1=1,"Dividendos do Novo Banco","Dividends from the Novo Banco")</f>
        <v>Dividendos do Novo Banco</v>
      </c>
      <c r="C63" s="137" t="str">
        <f>IF(Indice_index!$Z$1=1,"Receita","Revenue")</f>
        <v>Receita</v>
      </c>
      <c r="D63" s="101" t="s">
        <v>22</v>
      </c>
      <c r="E63" s="284"/>
      <c r="F63" s="284"/>
      <c r="G63" s="272"/>
      <c r="H63" s="272">
        <f>20.33231963+24.32047096</f>
        <v>44.652790590000002</v>
      </c>
      <c r="I63" s="272"/>
      <c r="J63" s="272"/>
      <c r="K63" s="272"/>
      <c r="L63" s="272"/>
      <c r="M63" s="272"/>
      <c r="N63" s="272"/>
      <c r="O63" s="285"/>
      <c r="P63" s="272"/>
      <c r="Q63" s="272">
        <f t="shared" si="39"/>
        <v>0</v>
      </c>
      <c r="R63" s="272">
        <f t="shared" si="42"/>
        <v>44.652790590000002</v>
      </c>
      <c r="S63" s="284"/>
      <c r="T63" s="284"/>
      <c r="U63" s="277"/>
      <c r="V63" s="277"/>
      <c r="W63" s="277"/>
      <c r="X63" s="277"/>
      <c r="Y63" s="277"/>
      <c r="Z63" s="277"/>
      <c r="AA63" s="277"/>
      <c r="AB63" s="277"/>
      <c r="AC63" s="278"/>
      <c r="AD63" s="277"/>
      <c r="AE63" s="272">
        <f t="shared" si="43"/>
        <v>0</v>
      </c>
    </row>
    <row r="64" spans="2:31" ht="14.1" customHeight="1">
      <c r="B64" s="286" t="str">
        <f>IF(Indice_index!$Z$1=1,"Dividendos da Caixa Geral de Depósitos","Dividends from the public bank Caixa Geral de Depósitos")</f>
        <v>Dividendos da Caixa Geral de Depósitos</v>
      </c>
      <c r="C64" s="137" t="str">
        <f>IF(Indice_index!$Z$1=1,"Receita","Revenue")</f>
        <v>Receita</v>
      </c>
      <c r="D64" s="101" t="s">
        <v>22</v>
      </c>
      <c r="E64" s="284"/>
      <c r="F64" s="284"/>
      <c r="H64" s="272"/>
      <c r="I64" s="272">
        <v>671.5</v>
      </c>
      <c r="J64" s="272"/>
      <c r="K64" s="272"/>
      <c r="L64" s="272"/>
      <c r="M64" s="272"/>
      <c r="N64" s="272"/>
      <c r="O64" s="285"/>
      <c r="P64" s="272"/>
      <c r="Q64" s="272">
        <f t="shared" si="39"/>
        <v>0</v>
      </c>
      <c r="R64" s="272">
        <f t="shared" si="42"/>
        <v>671.5</v>
      </c>
      <c r="S64" s="284"/>
      <c r="T64" s="284"/>
      <c r="U64" s="279"/>
      <c r="V64" s="277"/>
      <c r="W64" s="277"/>
      <c r="X64" s="277"/>
      <c r="Y64" s="277"/>
      <c r="Z64" s="277"/>
      <c r="AA64" s="277"/>
      <c r="AB64" s="277"/>
      <c r="AC64" s="278"/>
      <c r="AD64" s="277"/>
      <c r="AE64" s="272">
        <f t="shared" si="43"/>
        <v>0</v>
      </c>
    </row>
    <row r="65" spans="2:31" ht="24.6" customHeight="1">
      <c r="B65" s="136"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5" s="137" t="str">
        <f>IF(Indice_index!$Z$1=1,"Receita","Revenue")</f>
        <v>Receita</v>
      </c>
      <c r="D65" s="101" t="s">
        <v>22</v>
      </c>
      <c r="E65" s="284"/>
      <c r="F65" s="284"/>
      <c r="G65" s="272">
        <v>96.682580119999997</v>
      </c>
      <c r="H65" s="272"/>
      <c r="I65" s="272"/>
      <c r="J65" s="272">
        <v>10.14733176</v>
      </c>
      <c r="K65" s="272"/>
      <c r="L65" s="272"/>
      <c r="M65" s="272"/>
      <c r="N65" s="272"/>
      <c r="O65" s="285"/>
      <c r="P65" s="272"/>
      <c r="Q65" s="272">
        <f t="shared" si="39"/>
        <v>0</v>
      </c>
      <c r="R65" s="272">
        <f t="shared" si="42"/>
        <v>106.82991188</v>
      </c>
      <c r="S65" s="284">
        <v>0.74414999999999998</v>
      </c>
      <c r="T65" s="284"/>
      <c r="U65" s="277"/>
      <c r="V65" s="277"/>
      <c r="W65" s="277"/>
      <c r="X65" s="277"/>
      <c r="Y65" s="277"/>
      <c r="Z65" s="277"/>
      <c r="AA65" s="277"/>
      <c r="AB65" s="277"/>
      <c r="AC65" s="278"/>
      <c r="AD65" s="277"/>
      <c r="AE65" s="272">
        <f t="shared" si="43"/>
        <v>0.74414999999999998</v>
      </c>
    </row>
    <row r="66" spans="2:31" ht="13.5" customHeight="1">
      <c r="B66" s="136" t="str">
        <f>IF(Indice_index!$Z$1=1,"Princípio da onerosidade, receita relativa a rendas de anos anteriores","Principle of onerosity, revenue relating to rents from previous years")</f>
        <v>Princípio da onerosidade, receita relativa a rendas de anos anteriores</v>
      </c>
      <c r="C66" s="137" t="str">
        <f>IF(Indice_index!$Z$1=1,"Receita","Revenue")</f>
        <v>Receita</v>
      </c>
      <c r="D66" s="101" t="s">
        <v>22</v>
      </c>
      <c r="E66" s="284">
        <v>0.85614570000000001</v>
      </c>
      <c r="F66" s="284"/>
      <c r="G66" s="272"/>
      <c r="H66" s="272"/>
      <c r="I66" s="272"/>
      <c r="J66" s="272"/>
      <c r="K66" s="272"/>
      <c r="L66" s="272"/>
      <c r="M66" s="272">
        <v>0.35992350000000001</v>
      </c>
      <c r="N66" s="272"/>
      <c r="O66" s="285">
        <v>0.62971290000000002</v>
      </c>
      <c r="P66" s="272">
        <v>9.8059102199999995</v>
      </c>
      <c r="Q66" s="272">
        <f t="shared" si="39"/>
        <v>0.85614570000000001</v>
      </c>
      <c r="R66" s="272">
        <f t="shared" ref="R66" si="46">SUM(E66:P66)</f>
        <v>11.651692319999999</v>
      </c>
      <c r="S66" s="284"/>
      <c r="T66" s="284">
        <v>1.48441837</v>
      </c>
      <c r="U66" s="277"/>
      <c r="V66" s="277"/>
      <c r="W66" s="277"/>
      <c r="X66" s="277"/>
      <c r="Y66" s="277"/>
      <c r="Z66" s="277"/>
      <c r="AA66" s="277"/>
      <c r="AB66" s="277"/>
      <c r="AC66" s="278"/>
      <c r="AD66" s="277"/>
      <c r="AE66" s="272">
        <f t="shared" ref="AE66" si="47">SUM(S66:AD66)</f>
        <v>1.48441837</v>
      </c>
    </row>
    <row r="67" spans="2:31" ht="13.5" customHeight="1">
      <c r="B67" s="136" t="str">
        <f>IF(Indice_index!$Z$1=1,"Princípio da onerosidade, receita relativa a rendas de anos seguintes","Principle of onerosity, revenue relating to rents from subsequent years")</f>
        <v>Princípio da onerosidade, receita relativa a rendas de anos seguintes</v>
      </c>
      <c r="C67" s="137" t="str">
        <f>IF(Indice_index!$Z$1=1,"Receita","Revenue")</f>
        <v>Receita</v>
      </c>
      <c r="D67" s="101" t="s">
        <v>22</v>
      </c>
      <c r="E67" s="284"/>
      <c r="F67" s="284"/>
      <c r="G67" s="272"/>
      <c r="H67" s="272"/>
      <c r="I67" s="272"/>
      <c r="J67" s="272"/>
      <c r="K67" s="272"/>
      <c r="L67" s="272"/>
      <c r="M67" s="272"/>
      <c r="N67" s="272"/>
      <c r="O67" s="285"/>
      <c r="P67" s="285">
        <v>179.31044399999999</v>
      </c>
      <c r="Q67" s="272">
        <f t="shared" si="39"/>
        <v>0</v>
      </c>
      <c r="R67" s="272">
        <f t="shared" si="42"/>
        <v>179.31044399999999</v>
      </c>
      <c r="S67" s="284"/>
      <c r="T67" s="284"/>
      <c r="U67" s="277"/>
      <c r="V67" s="277"/>
      <c r="W67" s="277"/>
      <c r="X67" s="277"/>
      <c r="Y67" s="277"/>
      <c r="Z67" s="277"/>
      <c r="AA67" s="277"/>
      <c r="AB67" s="277"/>
      <c r="AC67" s="278"/>
      <c r="AD67" s="278"/>
      <c r="AE67" s="272">
        <f t="shared" si="43"/>
        <v>0</v>
      </c>
    </row>
    <row r="68" spans="2:31" ht="14.1" customHeight="1">
      <c r="B68" s="288" t="str">
        <f>IF(Indice_index!$Z$1=1,"Direito potestativo de aquisição de direito de conversão em ações - Caixa Económica Montepio Geral, S.A.","Potestative right to acquire the right to convert into shares - Caixa Económica Montepio Geral, S.A.")</f>
        <v>Direito potestativo de aquisição de direito de conversão em ações - Caixa Económica Montepio Geral, S.A.</v>
      </c>
      <c r="C68" s="289" t="str">
        <f>IF(Indice_index!$Z$1=1,"Receita","Revenue")</f>
        <v>Receita</v>
      </c>
      <c r="D68" s="289" t="s">
        <v>27</v>
      </c>
      <c r="E68" s="273"/>
      <c r="F68" s="273"/>
      <c r="G68" s="273"/>
      <c r="H68" s="273"/>
      <c r="I68" s="273"/>
      <c r="J68" s="273"/>
      <c r="K68" s="273"/>
      <c r="L68" s="273"/>
      <c r="M68" s="273"/>
      <c r="N68" s="273"/>
      <c r="O68" s="287">
        <v>4.8098674900000002</v>
      </c>
      <c r="P68" s="273"/>
      <c r="Q68" s="273">
        <f t="shared" si="39"/>
        <v>0</v>
      </c>
      <c r="R68" s="273">
        <f>SUM(E68:P68)</f>
        <v>4.8098674900000002</v>
      </c>
      <c r="S68" s="273"/>
      <c r="T68" s="273"/>
      <c r="U68" s="281"/>
      <c r="V68" s="281"/>
      <c r="W68" s="281"/>
      <c r="X68" s="281"/>
      <c r="Y68" s="281"/>
      <c r="Z68" s="281"/>
      <c r="AA68" s="281"/>
      <c r="AB68" s="281"/>
      <c r="AC68" s="282"/>
      <c r="AD68" s="281"/>
      <c r="AE68" s="273">
        <f t="shared" ref="AE68" si="48">SUM(S68:AD68)</f>
        <v>0</v>
      </c>
    </row>
    <row r="69" spans="2:31" ht="24.6" customHeight="1">
      <c r="B69" s="136"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69" s="137" t="str">
        <f>IF(Indice_index!$Z$1=1,"Despesa","Expenditure")</f>
        <v>Despesa</v>
      </c>
      <c r="D69" s="101" t="s">
        <v>29</v>
      </c>
      <c r="E69" s="284"/>
      <c r="F69" s="284"/>
      <c r="G69" s="272"/>
      <c r="H69" s="272"/>
      <c r="I69" s="272"/>
      <c r="J69" s="272"/>
      <c r="K69" s="272">
        <f>166713099.25/10^6</f>
        <v>166.71309925</v>
      </c>
      <c r="L69" s="272">
        <f>13407471.35/10^6</f>
        <v>13.40747135</v>
      </c>
      <c r="M69" s="272">
        <f>19022682.05/10^6</f>
        <v>19.02268205</v>
      </c>
      <c r="N69" s="272">
        <f>290067282.64/10^6</f>
        <v>290.06728263999997</v>
      </c>
      <c r="O69" s="272">
        <f>197.20426495</f>
        <v>197.20426495000001</v>
      </c>
      <c r="P69" s="272">
        <f>550306954.46/10^6</f>
        <v>550.30695446000004</v>
      </c>
      <c r="Q69" s="272">
        <f t="shared" si="39"/>
        <v>0</v>
      </c>
      <c r="R69" s="272">
        <f t="shared" ref="R69:R77" si="49">SUM(E69:P69)</f>
        <v>1236.7217547</v>
      </c>
      <c r="S69" s="284"/>
      <c r="T69" s="284"/>
      <c r="U69" s="277"/>
      <c r="V69" s="277"/>
      <c r="W69" s="277"/>
      <c r="X69" s="277"/>
      <c r="Y69" s="277"/>
      <c r="Z69" s="277"/>
      <c r="AA69" s="277"/>
      <c r="AB69" s="277"/>
      <c r="AC69" s="277"/>
      <c r="AD69" s="277"/>
      <c r="AE69" s="272">
        <f t="shared" si="43"/>
        <v>0</v>
      </c>
    </row>
    <row r="70" spans="2:31" ht="24" customHeight="1">
      <c r="B70" s="136" t="str">
        <f>IF(Indice_index!$Z$1=1,$B$122,$B$123)</f>
        <v xml:space="preserve">Pagamento do princípio de onerosidade dos imóveis afetos às atividades operacionais, pela Direção-Geral de Recursos da Defesa Nacional, relativo a anos anteriores e anos futuros: </v>
      </c>
      <c r="C70" s="137" t="str">
        <f>IF(Indice_index!$Z$1=1,"Despesa","Expenditure")</f>
        <v>Despesa</v>
      </c>
      <c r="D70" s="101" t="s">
        <v>29</v>
      </c>
      <c r="E70" s="284"/>
      <c r="F70" s="284"/>
      <c r="G70" s="272"/>
      <c r="H70" s="272"/>
      <c r="I70" s="272"/>
      <c r="J70" s="272"/>
      <c r="K70" s="272"/>
      <c r="L70" s="272"/>
      <c r="M70" s="272"/>
      <c r="N70" s="272"/>
      <c r="O70" s="272"/>
      <c r="P70" s="272">
        <f>(8484688+179310444)/10^6</f>
        <v>187.795132</v>
      </c>
      <c r="Q70" s="272">
        <f t="shared" si="39"/>
        <v>0</v>
      </c>
      <c r="R70" s="272">
        <f t="shared" si="49"/>
        <v>187.795132</v>
      </c>
      <c r="S70" s="284"/>
      <c r="T70" s="284"/>
      <c r="U70" s="277"/>
      <c r="V70" s="277"/>
      <c r="W70" s="277"/>
      <c r="X70" s="277"/>
      <c r="Y70" s="277"/>
      <c r="Z70" s="277"/>
      <c r="AA70" s="277"/>
      <c r="AB70" s="277"/>
      <c r="AC70" s="277"/>
      <c r="AD70" s="277"/>
      <c r="AE70" s="272">
        <f t="shared" ref="AE70" si="50">SUM(S70:AD70)</f>
        <v>0</v>
      </c>
    </row>
    <row r="71" spans="2:31" ht="33.75" customHeight="1">
      <c r="B71" s="136" t="str">
        <f>IF(Indice_index!$Z$1=1,B128,B129)</f>
        <v>Transferências correntes – excedente para compensar as freguesias dos montantes mínimos das transferências financeiras realizadas ao abrigo da Lei de Finanças Locais - artigo 38.º da Lei n.º 73/2013, de 3 de setembro, na redação atual</v>
      </c>
      <c r="C71" s="137" t="str">
        <f>IF(Indice_index!$Z$1=1,"Despesa","Expenditure")</f>
        <v>Despesa</v>
      </c>
      <c r="D71" s="30" t="s">
        <v>32</v>
      </c>
      <c r="E71" s="284">
        <v>12.362410000000001</v>
      </c>
      <c r="F71" s="284">
        <f>12362410/10^6</f>
        <v>12.362410000000001</v>
      </c>
      <c r="G71" s="272">
        <v>12.362410000000001</v>
      </c>
      <c r="H71" s="272">
        <f t="shared" ref="H71:M71" si="51">12362410/10^6</f>
        <v>12.362410000000001</v>
      </c>
      <c r="I71" s="272">
        <f t="shared" si="51"/>
        <v>12.362410000000001</v>
      </c>
      <c r="J71" s="272">
        <f t="shared" si="51"/>
        <v>12.362410000000001</v>
      </c>
      <c r="K71" s="272">
        <f t="shared" si="51"/>
        <v>12.362410000000001</v>
      </c>
      <c r="L71" s="272">
        <f t="shared" si="51"/>
        <v>12.362410000000001</v>
      </c>
      <c r="M71" s="272">
        <f t="shared" si="51"/>
        <v>12.362410000000001</v>
      </c>
      <c r="N71" s="272">
        <f>12362410/10^6</f>
        <v>12.362410000000001</v>
      </c>
      <c r="O71" s="272">
        <f>12899122/10^6</f>
        <v>12.899122</v>
      </c>
      <c r="P71" s="272">
        <f>11842749/10^6</f>
        <v>11.842749</v>
      </c>
      <c r="Q71" s="272">
        <f t="shared" si="39"/>
        <v>24.724820000000001</v>
      </c>
      <c r="R71" s="272">
        <f t="shared" si="49"/>
        <v>148.36597099999997</v>
      </c>
      <c r="S71" s="284">
        <f>12255125/10^6</f>
        <v>12.255125</v>
      </c>
      <c r="T71" s="284">
        <f>12255125/10^6</f>
        <v>12.255125</v>
      </c>
      <c r="U71" s="277"/>
      <c r="V71" s="277"/>
      <c r="W71" s="277"/>
      <c r="X71" s="277"/>
      <c r="Y71" s="277"/>
      <c r="Z71" s="277"/>
      <c r="AA71" s="277"/>
      <c r="AB71" s="277"/>
      <c r="AC71" s="277"/>
      <c r="AD71" s="277"/>
      <c r="AE71" s="272">
        <f t="shared" si="43"/>
        <v>24.510249999999999</v>
      </c>
    </row>
    <row r="72" spans="2:31" ht="24" customHeight="1">
      <c r="B72" s="136"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2" s="137" t="str">
        <f>IF(Indice_index!$Z$1=1,"Despesa","Expenditure")</f>
        <v>Despesa</v>
      </c>
      <c r="D72" s="30" t="s">
        <v>33</v>
      </c>
      <c r="E72" s="284"/>
      <c r="F72" s="284"/>
      <c r="G72" s="272"/>
      <c r="H72" s="272"/>
      <c r="I72" s="272"/>
      <c r="J72" s="272"/>
      <c r="K72" s="272"/>
      <c r="L72" s="272">
        <f>172373993.91/10^6</f>
        <v>172.37399391</v>
      </c>
      <c r="M72" s="272"/>
      <c r="N72" s="272"/>
      <c r="O72" s="272"/>
      <c r="P72" s="272">
        <f>307794352.65/10^6-L72</f>
        <v>135.42035873999995</v>
      </c>
      <c r="Q72" s="272">
        <f t="shared" si="39"/>
        <v>0</v>
      </c>
      <c r="R72" s="272">
        <f t="shared" si="49"/>
        <v>307.79435264999995</v>
      </c>
      <c r="S72" s="284"/>
      <c r="T72" s="284"/>
      <c r="U72" s="277"/>
      <c r="V72" s="277"/>
      <c r="W72" s="277"/>
      <c r="X72" s="277"/>
      <c r="Y72" s="277"/>
      <c r="Z72" s="277"/>
      <c r="AA72" s="277"/>
      <c r="AB72" s="277"/>
      <c r="AC72" s="277"/>
      <c r="AD72" s="277"/>
      <c r="AE72" s="272">
        <f t="shared" ref="AE72:AE75" si="52">SUM(S72:AD72)</f>
        <v>0</v>
      </c>
    </row>
    <row r="73" spans="2:31" ht="33.75" customHeight="1">
      <c r="B73" s="136" t="str">
        <f>IF(Indice_index!$Z$1=1,"Encargos com as Parcerias público-privadas (PPP), classificada em rubrica de aquisição de bens e serviços, e que deveria ser enquadrada em despesa de transferências para a administração central, objeto de eliminação no processo de consolidação.",_xlfn._LONGTEXT("Expenses related to Public-Private Partnerships (PPPs), classified under the heading of acquisition of goods and services, and which should be included in expenses for transfers to the central administration, are subject to elimination in the consolidatio","n process."))</f>
        <v>Encargos com as Parcerias público-privadas (PPP), classificada em rubrica de aquisição de bens e serviços, e que deveria ser enquadrada em despesa de transferências para a administração central, objeto de eliminação no processo de consolidação.</v>
      </c>
      <c r="C73" s="137" t="str">
        <f>IF(Indice_index!$Z$1=1,"Despesa","Expenditure")</f>
        <v>Despesa</v>
      </c>
      <c r="D73" s="30" t="s">
        <v>29</v>
      </c>
      <c r="E73" s="284"/>
      <c r="F73" s="284"/>
      <c r="G73" s="272"/>
      <c r="H73" s="272"/>
      <c r="I73" s="272"/>
      <c r="J73" s="272"/>
      <c r="K73" s="272"/>
      <c r="L73" s="272"/>
      <c r="M73" s="272"/>
      <c r="N73" s="272"/>
      <c r="O73" s="272"/>
      <c r="P73" s="272"/>
      <c r="Q73" s="272">
        <f t="shared" si="39"/>
        <v>0</v>
      </c>
      <c r="R73" s="272">
        <f t="shared" si="49"/>
        <v>0</v>
      </c>
      <c r="S73" s="284">
        <v>25.133320770000001</v>
      </c>
      <c r="T73" s="284"/>
      <c r="U73" s="277"/>
      <c r="V73" s="277"/>
      <c r="W73" s="277"/>
      <c r="X73" s="277"/>
      <c r="Y73" s="277"/>
      <c r="Z73" s="277"/>
      <c r="AA73" s="277"/>
      <c r="AB73" s="277"/>
      <c r="AC73" s="277"/>
      <c r="AD73" s="277"/>
      <c r="AE73" s="272">
        <f t="shared" si="52"/>
        <v>25.133320770000001</v>
      </c>
    </row>
    <row r="74" spans="2:31" ht="14.1" customHeight="1">
      <c r="B74" s="136" t="str">
        <f>IF(Indice_index!$Z$1=1,"Pagamento de decisão judicial à concessionária RAL","Payment of court decision to the RAL concessionaire")</f>
        <v>Pagamento de decisão judicial à concessionária RAL</v>
      </c>
      <c r="C74" s="137" t="str">
        <f>IF(Indice_index!$Z$1=1,"Despesa","Expenditure")</f>
        <v>Despesa</v>
      </c>
      <c r="D74" s="30" t="s">
        <v>36</v>
      </c>
      <c r="E74" s="284"/>
      <c r="F74" s="284">
        <v>3.10650264</v>
      </c>
      <c r="G74" s="284">
        <v>1.5532513199999998</v>
      </c>
      <c r="H74" s="284">
        <v>1.5532513200000002</v>
      </c>
      <c r="I74" s="284">
        <v>1.5532513200000002</v>
      </c>
      <c r="J74" s="272">
        <v>1.5532513200000002</v>
      </c>
      <c r="K74" s="284">
        <v>1.5532513200000002</v>
      </c>
      <c r="L74" s="272">
        <v>1.5532513200000002</v>
      </c>
      <c r="M74" s="272"/>
      <c r="N74" s="272">
        <v>3.1065026400000004</v>
      </c>
      <c r="O74" s="272">
        <v>1.5532513200000002</v>
      </c>
      <c r="P74" s="272">
        <v>1.5532513200000002</v>
      </c>
      <c r="Q74" s="272">
        <f t="shared" si="39"/>
        <v>3.10650264</v>
      </c>
      <c r="R74" s="272">
        <f t="shared" si="49"/>
        <v>18.639015840000003</v>
      </c>
      <c r="S74" s="284"/>
      <c r="T74" s="284">
        <v>3.10650264</v>
      </c>
      <c r="U74" s="276"/>
      <c r="V74" s="276"/>
      <c r="W74" s="276"/>
      <c r="X74" s="277"/>
      <c r="Y74" s="276"/>
      <c r="Z74" s="277"/>
      <c r="AA74" s="277"/>
      <c r="AB74" s="277"/>
      <c r="AC74" s="277"/>
      <c r="AD74" s="277"/>
      <c r="AE74" s="272">
        <f t="shared" si="52"/>
        <v>3.10650264</v>
      </c>
    </row>
    <row r="75" spans="2:31" ht="34.35" customHeight="1">
      <c r="B75" s="136" t="str">
        <f>IF(Indice_index!$Z$1=1,B138,B139)</f>
        <v>Transferências de capital - excedente para compensar os municípios dos montantes mínimos das transferências financeiras realizadas ao abrigo da Lei de Finanças Locais - artigo 35.º da Lei n.º 73/2013, de 3 de setembro, na redação atual</v>
      </c>
      <c r="C75" s="137" t="str">
        <f>IF(Indice_index!$Z$1=1,"Despesa","Expenditure")</f>
        <v>Despesa</v>
      </c>
      <c r="D75" s="30" t="s">
        <v>38</v>
      </c>
      <c r="E75" s="284">
        <v>40.310046999999997</v>
      </c>
      <c r="F75" s="284">
        <f>40310047/10^6</f>
        <v>40.310046999999997</v>
      </c>
      <c r="G75" s="272">
        <v>40.310046999999997</v>
      </c>
      <c r="H75" s="272">
        <f>40310047/10^6</f>
        <v>40.310046999999997</v>
      </c>
      <c r="I75" s="272">
        <v>40.310046999999997</v>
      </c>
      <c r="J75" s="272">
        <f>40310047/10^6</f>
        <v>40.310046999999997</v>
      </c>
      <c r="K75" s="272">
        <f>40310047/10^6</f>
        <v>40.310046999999997</v>
      </c>
      <c r="L75" s="272">
        <f>40310047/10^6</f>
        <v>40.310046999999997</v>
      </c>
      <c r="M75" s="272">
        <f>40310047/10^6</f>
        <v>40.310046999999997</v>
      </c>
      <c r="N75" s="272">
        <f>40260850.45/10^6</f>
        <v>40.26085045</v>
      </c>
      <c r="O75" s="272">
        <f>40310047/10^6</f>
        <v>40.310046999999997</v>
      </c>
      <c r="P75" s="272">
        <f>40135428.69/10^6</f>
        <v>40.135428689999998</v>
      </c>
      <c r="Q75" s="272">
        <f t="shared" si="39"/>
        <v>80.620093999999995</v>
      </c>
      <c r="R75" s="272">
        <f t="shared" si="49"/>
        <v>483.49674914000002</v>
      </c>
      <c r="S75" s="284">
        <f>37957162/10^6</f>
        <v>37.957161999999997</v>
      </c>
      <c r="T75" s="284">
        <f>37855006/10^6</f>
        <v>37.855006000000003</v>
      </c>
      <c r="U75" s="277"/>
      <c r="V75" s="277"/>
      <c r="W75" s="277"/>
      <c r="X75" s="277"/>
      <c r="Y75" s="277"/>
      <c r="Z75" s="277"/>
      <c r="AA75" s="277"/>
      <c r="AB75" s="277"/>
      <c r="AC75" s="277"/>
      <c r="AD75" s="277"/>
      <c r="AE75" s="272">
        <f t="shared" si="52"/>
        <v>75.812168</v>
      </c>
    </row>
    <row r="76" spans="2:31" ht="13.5" customHeight="1">
      <c r="B76" s="136"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76" s="137" t="str">
        <f>IF(Indice_index!$Z$1=1,"Despesa","Expenditure")</f>
        <v>Despesa</v>
      </c>
      <c r="D76" s="30" t="s">
        <v>33</v>
      </c>
      <c r="E76" s="284"/>
      <c r="F76" s="284"/>
      <c r="G76" s="272"/>
      <c r="H76" s="272"/>
      <c r="I76" s="272"/>
      <c r="J76" s="272"/>
      <c r="K76" s="272"/>
      <c r="L76" s="272"/>
      <c r="M76" s="272"/>
      <c r="N76" s="272"/>
      <c r="O76" s="272"/>
      <c r="P76" s="272">
        <f>29510000/10^6</f>
        <v>29.51</v>
      </c>
      <c r="Q76" s="272">
        <f t="shared" si="39"/>
        <v>0</v>
      </c>
      <c r="R76" s="272">
        <f t="shared" si="49"/>
        <v>29.51</v>
      </c>
      <c r="S76" s="284"/>
      <c r="T76" s="284"/>
      <c r="U76" s="277"/>
      <c r="V76" s="277"/>
      <c r="W76" s="277"/>
      <c r="X76" s="277"/>
      <c r="Y76" s="277"/>
      <c r="Z76" s="277"/>
      <c r="AA76" s="277"/>
      <c r="AB76" s="277"/>
      <c r="AC76" s="277"/>
      <c r="AD76" s="277"/>
      <c r="AE76" s="272">
        <f t="shared" si="43"/>
        <v>0</v>
      </c>
    </row>
    <row r="77" spans="2:31" ht="14.1" customHeight="1">
      <c r="B77" s="288"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77" s="295" t="str">
        <f>IF(Indice_index!$Z$1=1,"Despesa","Expenditure")</f>
        <v>Despesa</v>
      </c>
      <c r="D77" s="296" t="s">
        <v>39</v>
      </c>
      <c r="E77" s="297"/>
      <c r="F77" s="297"/>
      <c r="G77" s="297"/>
      <c r="H77" s="273"/>
      <c r="I77" s="273"/>
      <c r="J77" s="273"/>
      <c r="K77" s="273"/>
      <c r="L77" s="273"/>
      <c r="M77" s="273"/>
      <c r="N77" s="273"/>
      <c r="O77" s="273"/>
      <c r="P77" s="273"/>
      <c r="Q77" s="297">
        <f t="shared" si="39"/>
        <v>0</v>
      </c>
      <c r="R77" s="273">
        <f t="shared" si="49"/>
        <v>0</v>
      </c>
      <c r="S77" s="297"/>
      <c r="T77" s="297"/>
      <c r="U77" s="280"/>
      <c r="V77" s="281"/>
      <c r="W77" s="281"/>
      <c r="X77" s="281"/>
      <c r="Y77" s="281"/>
      <c r="Z77" s="281"/>
      <c r="AA77" s="281"/>
      <c r="AB77" s="281"/>
      <c r="AC77" s="281"/>
      <c r="AD77" s="281"/>
      <c r="AE77" s="273">
        <f>SUM(S77:AD77)</f>
        <v>0</v>
      </c>
    </row>
    <row r="78" spans="2:31" ht="6.6" customHeight="1">
      <c r="B78" s="136"/>
      <c r="C78" s="137"/>
      <c r="D78" s="30"/>
      <c r="E78" s="30"/>
      <c r="F78" s="30"/>
      <c r="G78" s="30"/>
      <c r="H78" s="30"/>
      <c r="I78" s="30"/>
      <c r="J78" s="30"/>
      <c r="K78" s="30"/>
      <c r="L78" s="30"/>
      <c r="M78" s="30"/>
      <c r="N78" s="30"/>
      <c r="O78" s="30"/>
      <c r="P78" s="30"/>
      <c r="S78" s="30"/>
      <c r="T78" s="30"/>
    </row>
    <row r="79" spans="2:31" ht="24" customHeight="1">
      <c r="B79" s="443" t="str">
        <f>IF(Indice_index!$Z$1=1,B144,B145)</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79" s="443"/>
      <c r="D79" s="443"/>
      <c r="E79" s="443"/>
      <c r="F79" s="443"/>
      <c r="G79" s="443"/>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row>
    <row r="80" spans="2:31" ht="15">
      <c r="B80" s="241" t="str">
        <f>IF(Indice_index!$Z$1=1,"Notas:","Notes:")</f>
        <v>Notas:</v>
      </c>
      <c r="C80" s="241"/>
      <c r="D80" s="242"/>
      <c r="E80" s="241"/>
      <c r="F80" s="241"/>
      <c r="G80" s="109"/>
      <c r="H80" s="109"/>
      <c r="I80" s="109"/>
      <c r="J80" s="109"/>
      <c r="K80" s="109"/>
      <c r="L80" s="109"/>
      <c r="M80" s="109"/>
      <c r="N80" s="109"/>
      <c r="O80" s="109"/>
      <c r="P80" s="109"/>
      <c r="Q80" s="109"/>
      <c r="R80" s="109"/>
      <c r="S80" s="241"/>
      <c r="T80" s="241"/>
      <c r="U80" s="109"/>
      <c r="V80" s="109"/>
      <c r="W80" s="109"/>
      <c r="X80" s="109"/>
      <c r="Y80" s="109"/>
      <c r="Z80" s="109"/>
      <c r="AA80" s="109"/>
      <c r="AB80" s="109"/>
      <c r="AC80" s="109"/>
      <c r="AD80" s="109"/>
      <c r="AE80" s="109"/>
    </row>
    <row r="81" spans="1:33" ht="15">
      <c r="B81" s="241"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81" s="109"/>
      <c r="D81" s="138"/>
      <c r="E81" s="109"/>
      <c r="F81" s="109"/>
      <c r="G81" s="109"/>
      <c r="I81" s="109"/>
      <c r="J81" s="109"/>
      <c r="K81" s="109"/>
      <c r="L81" s="109"/>
      <c r="M81" s="109"/>
      <c r="N81" s="109"/>
      <c r="O81" s="109"/>
      <c r="P81" s="109"/>
      <c r="R81" s="109"/>
      <c r="S81" s="109"/>
      <c r="T81" s="109"/>
      <c r="U81" s="109"/>
      <c r="W81" s="109"/>
      <c r="X81" s="109"/>
      <c r="Y81" s="109"/>
      <c r="Z81" s="109"/>
      <c r="AA81" s="109"/>
      <c r="AB81" s="109"/>
      <c r="AC81" s="109"/>
      <c r="AD81" s="109"/>
      <c r="AE81" s="109"/>
    </row>
    <row r="82" spans="1:33" ht="15">
      <c r="B82" s="243"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82" s="109"/>
      <c r="D82" s="138"/>
      <c r="E82" s="109"/>
      <c r="F82" s="109"/>
      <c r="G82" s="109"/>
      <c r="H82" s="109"/>
      <c r="I82" s="109"/>
      <c r="J82" s="109"/>
      <c r="K82" s="109"/>
      <c r="L82" s="109"/>
      <c r="M82" s="109"/>
      <c r="O82" s="109"/>
      <c r="P82" s="109"/>
      <c r="R82" s="244"/>
      <c r="S82" s="109"/>
      <c r="T82" s="109"/>
      <c r="U82" s="109"/>
      <c r="V82" s="109"/>
      <c r="W82" s="109"/>
      <c r="X82" s="109"/>
      <c r="Y82" s="245"/>
      <c r="Z82" s="245"/>
      <c r="AA82" s="245"/>
      <c r="AB82" s="245"/>
      <c r="AC82" s="245"/>
      <c r="AD82" s="245"/>
      <c r="AE82" s="245"/>
    </row>
    <row r="83" spans="1:33" ht="15">
      <c r="B83" s="243"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83" s="109"/>
      <c r="D83" s="138"/>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E83" s="109"/>
    </row>
    <row r="84" spans="1:33" ht="15">
      <c r="B84" s="129" t="str">
        <f>IF(Indice_index!$Z$1=1,"Fonte: Entidade Orçamental.","Source: Budgetary Entity.")</f>
        <v>Fonte: Entidade Orçamental.</v>
      </c>
      <c r="C84" s="109"/>
      <c r="D84" s="138"/>
      <c r="E84" s="109"/>
      <c r="F84" s="109"/>
      <c r="G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row>
    <row r="85" spans="1:33" s="208" customFormat="1" ht="15">
      <c r="A85" s="51"/>
      <c r="B85" s="202"/>
      <c r="C85" s="203"/>
      <c r="D85" s="204"/>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6"/>
      <c r="AG85" s="207"/>
    </row>
    <row r="86" spans="1:33" s="215" customFormat="1" ht="15">
      <c r="A86" s="209"/>
      <c r="B86" s="210"/>
      <c r="C86" s="211"/>
      <c r="D86" s="212"/>
      <c r="E86" s="213">
        <f t="shared" ref="E86:M86" si="53">+E43-E53</f>
        <v>0</v>
      </c>
      <c r="F86" s="213">
        <f t="shared" si="53"/>
        <v>0</v>
      </c>
      <c r="G86" s="213">
        <f t="shared" si="53"/>
        <v>0</v>
      </c>
      <c r="H86" s="213">
        <f t="shared" si="53"/>
        <v>0</v>
      </c>
      <c r="I86" s="213">
        <f t="shared" si="53"/>
        <v>0</v>
      </c>
      <c r="J86" s="213">
        <f t="shared" si="53"/>
        <v>0</v>
      </c>
      <c r="K86" s="213">
        <f t="shared" si="53"/>
        <v>0</v>
      </c>
      <c r="L86" s="213">
        <f t="shared" si="53"/>
        <v>0</v>
      </c>
      <c r="M86" s="213">
        <f t="shared" si="53"/>
        <v>0</v>
      </c>
      <c r="N86" s="213"/>
      <c r="O86" s="213"/>
      <c r="P86" s="213"/>
      <c r="Q86" s="213"/>
      <c r="R86" s="213"/>
      <c r="S86" s="213"/>
      <c r="T86" s="213"/>
      <c r="U86" s="213"/>
      <c r="V86" s="213"/>
      <c r="W86" s="213"/>
      <c r="X86" s="213"/>
      <c r="Y86" s="213"/>
      <c r="Z86" s="213"/>
      <c r="AA86" s="213"/>
      <c r="AB86" s="213"/>
      <c r="AC86" s="213"/>
      <c r="AD86" s="213"/>
      <c r="AE86" s="213"/>
      <c r="AF86" s="214"/>
      <c r="AG86" s="210"/>
    </row>
    <row r="87" spans="1:33" s="215" customFormat="1" ht="15">
      <c r="A87" s="209"/>
      <c r="B87" s="210"/>
      <c r="C87" s="210"/>
      <c r="D87" s="216"/>
      <c r="E87" s="210">
        <f t="shared" ref="E87:M87" si="54">SUM(E54:E68)-SUM(E69:E76)-E43</f>
        <v>0</v>
      </c>
      <c r="F87" s="210">
        <f t="shared" si="54"/>
        <v>0</v>
      </c>
      <c r="G87" s="210">
        <f t="shared" si="54"/>
        <v>0</v>
      </c>
      <c r="H87" s="210">
        <f t="shared" si="54"/>
        <v>0</v>
      </c>
      <c r="I87" s="210">
        <f t="shared" si="54"/>
        <v>0</v>
      </c>
      <c r="J87" s="210">
        <f t="shared" si="54"/>
        <v>0</v>
      </c>
      <c r="K87" s="210">
        <f t="shared" si="54"/>
        <v>0</v>
      </c>
      <c r="L87" s="210">
        <f t="shared" si="54"/>
        <v>0</v>
      </c>
      <c r="M87" s="210">
        <f t="shared" si="54"/>
        <v>0</v>
      </c>
      <c r="N87" s="210"/>
      <c r="O87" s="210"/>
      <c r="P87" s="210"/>
      <c r="Q87" s="210"/>
      <c r="R87" s="210"/>
      <c r="S87" s="210"/>
      <c r="T87" s="210"/>
      <c r="U87" s="210"/>
      <c r="V87" s="210"/>
      <c r="W87" s="210"/>
      <c r="X87" s="210"/>
      <c r="Y87" s="210"/>
      <c r="Z87" s="210"/>
      <c r="AA87" s="210"/>
      <c r="AB87" s="210"/>
      <c r="AC87" s="210"/>
      <c r="AD87" s="210"/>
      <c r="AE87" s="210"/>
      <c r="AF87" s="214"/>
      <c r="AG87" s="210"/>
    </row>
    <row r="88" spans="1:33" s="215" customFormat="1" ht="15">
      <c r="A88" s="209"/>
      <c r="B88" s="217"/>
      <c r="C88" s="217"/>
      <c r="D88" s="218"/>
      <c r="E88" s="210">
        <f t="shared" ref="E88:M88" si="55">SUM(E54:E68)-E26</f>
        <v>0</v>
      </c>
      <c r="F88" s="210">
        <f t="shared" si="55"/>
        <v>0</v>
      </c>
      <c r="G88" s="210">
        <f t="shared" si="55"/>
        <v>0</v>
      </c>
      <c r="H88" s="210">
        <f t="shared" si="55"/>
        <v>0</v>
      </c>
      <c r="I88" s="210">
        <f t="shared" si="55"/>
        <v>0</v>
      </c>
      <c r="J88" s="210">
        <f t="shared" si="55"/>
        <v>0</v>
      </c>
      <c r="K88" s="210">
        <f t="shared" si="55"/>
        <v>0</v>
      </c>
      <c r="L88" s="210">
        <f t="shared" si="55"/>
        <v>0</v>
      </c>
      <c r="M88" s="210">
        <f t="shared" si="55"/>
        <v>0</v>
      </c>
      <c r="N88" s="210"/>
      <c r="O88" s="210"/>
      <c r="P88" s="210"/>
      <c r="Q88" s="210"/>
      <c r="R88" s="210"/>
      <c r="S88" s="210"/>
      <c r="T88" s="210"/>
      <c r="U88" s="210"/>
      <c r="V88" s="210"/>
      <c r="W88" s="210"/>
      <c r="X88" s="210"/>
      <c r="Y88" s="210"/>
      <c r="Z88" s="210"/>
      <c r="AA88" s="210"/>
      <c r="AB88" s="210"/>
      <c r="AC88" s="210"/>
      <c r="AD88" s="210"/>
      <c r="AE88" s="210"/>
      <c r="AF88" s="214"/>
      <c r="AG88" s="210"/>
    </row>
    <row r="89" spans="1:33" s="215" customFormat="1" ht="15">
      <c r="A89" s="209"/>
      <c r="B89" s="217"/>
      <c r="C89" s="217"/>
      <c r="D89" s="218"/>
      <c r="E89" s="210">
        <f t="shared" ref="E89:M89" si="56">SUM(E69:E76)-E42</f>
        <v>0</v>
      </c>
      <c r="F89" s="210">
        <f t="shared" si="56"/>
        <v>0</v>
      </c>
      <c r="G89" s="210">
        <f t="shared" si="56"/>
        <v>0</v>
      </c>
      <c r="H89" s="210">
        <f t="shared" si="56"/>
        <v>0</v>
      </c>
      <c r="I89" s="210">
        <f t="shared" si="56"/>
        <v>0</v>
      </c>
      <c r="J89" s="210">
        <f t="shared" si="56"/>
        <v>0</v>
      </c>
      <c r="K89" s="210">
        <f t="shared" si="56"/>
        <v>0</v>
      </c>
      <c r="L89" s="210">
        <f t="shared" si="56"/>
        <v>0</v>
      </c>
      <c r="M89" s="210">
        <f t="shared" si="56"/>
        <v>0</v>
      </c>
      <c r="N89" s="210"/>
      <c r="O89" s="210"/>
      <c r="P89" s="210"/>
      <c r="Q89" s="210"/>
      <c r="R89" s="210"/>
      <c r="S89" s="210"/>
      <c r="T89" s="210"/>
      <c r="U89" s="210"/>
      <c r="V89" s="210"/>
      <c r="W89" s="210"/>
      <c r="X89" s="210"/>
      <c r="Y89" s="210"/>
      <c r="Z89" s="210"/>
      <c r="AA89" s="210"/>
      <c r="AB89" s="210"/>
      <c r="AC89" s="210"/>
      <c r="AD89" s="210"/>
      <c r="AE89" s="210"/>
      <c r="AF89" s="214"/>
      <c r="AG89" s="210"/>
    </row>
    <row r="90" spans="1:33" s="215" customFormat="1" ht="15">
      <c r="A90" s="209"/>
      <c r="B90" s="214"/>
      <c r="C90" s="219"/>
      <c r="D90" s="218"/>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14"/>
      <c r="AG90" s="210"/>
    </row>
    <row r="91" spans="1:33" s="215" customFormat="1" ht="15">
      <c r="A91" s="209"/>
      <c r="B91" s="221"/>
      <c r="C91" s="219"/>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14"/>
      <c r="AG91" s="210"/>
    </row>
    <row r="92" spans="1:33" s="215" customFormat="1" ht="15">
      <c r="A92" s="209"/>
      <c r="B92" s="214" t="s">
        <v>16</v>
      </c>
      <c r="C92" s="219"/>
      <c r="D92" s="220"/>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14"/>
      <c r="AG92" s="210"/>
    </row>
    <row r="93" spans="1:33" s="215" customFormat="1" ht="15">
      <c r="A93" s="209"/>
      <c r="B93" s="214" t="s">
        <v>17</v>
      </c>
      <c r="C93" s="214"/>
      <c r="D93" s="222"/>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0"/>
    </row>
    <row r="94" spans="1:33" s="215" customFormat="1" ht="15">
      <c r="A94" s="209"/>
      <c r="B94" s="214" t="s">
        <v>18</v>
      </c>
      <c r="C94" s="214"/>
      <c r="D94" s="222"/>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0"/>
    </row>
    <row r="95" spans="1:33" s="215" customFormat="1" ht="15">
      <c r="A95" s="209"/>
      <c r="B95" s="214" t="s">
        <v>19</v>
      </c>
      <c r="C95" s="214"/>
      <c r="D95" s="222"/>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0"/>
    </row>
    <row r="96" spans="1:33" s="215" customFormat="1" ht="15">
      <c r="A96" s="209"/>
      <c r="B96" s="214" t="s">
        <v>20</v>
      </c>
      <c r="C96" s="214"/>
      <c r="D96" s="222"/>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0"/>
    </row>
    <row r="97" spans="1:33" s="215" customFormat="1" ht="15">
      <c r="A97" s="209"/>
      <c r="B97" s="214" t="s">
        <v>21</v>
      </c>
      <c r="C97" s="214"/>
      <c r="D97" s="222"/>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0"/>
    </row>
    <row r="98" spans="1:33" s="215" customFormat="1" ht="15">
      <c r="A98" s="209"/>
      <c r="B98" s="214" t="s">
        <v>22</v>
      </c>
      <c r="C98" s="214"/>
      <c r="D98" s="222"/>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0"/>
    </row>
    <row r="99" spans="1:33" s="215" customFormat="1" ht="15">
      <c r="A99" s="209"/>
      <c r="B99" s="214" t="s">
        <v>23</v>
      </c>
      <c r="C99" s="214"/>
      <c r="D99" s="222"/>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0"/>
    </row>
    <row r="100" spans="1:33" s="215" customFormat="1" ht="15">
      <c r="A100" s="209"/>
      <c r="B100" s="214" t="s">
        <v>24</v>
      </c>
      <c r="C100" s="214"/>
      <c r="D100" s="222"/>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0"/>
    </row>
    <row r="101" spans="1:33" s="215" customFormat="1" ht="15">
      <c r="A101" s="209"/>
      <c r="B101" s="214" t="s">
        <v>25</v>
      </c>
      <c r="C101" s="214"/>
      <c r="D101" s="222"/>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0"/>
    </row>
    <row r="102" spans="1:33" s="215" customFormat="1" ht="15">
      <c r="A102" s="209"/>
      <c r="B102" s="214" t="s">
        <v>26</v>
      </c>
      <c r="C102" s="214"/>
      <c r="D102" s="222"/>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0"/>
    </row>
    <row r="103" spans="1:33" s="215" customFormat="1" ht="15">
      <c r="A103" s="209"/>
      <c r="B103" s="214" t="s">
        <v>27</v>
      </c>
      <c r="C103" s="214"/>
      <c r="D103" s="222"/>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0"/>
    </row>
    <row r="104" spans="1:33" s="215" customFormat="1" ht="15">
      <c r="A104" s="209"/>
      <c r="B104" s="214" t="s">
        <v>28</v>
      </c>
      <c r="C104" s="214"/>
      <c r="D104" s="222"/>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0"/>
    </row>
    <row r="105" spans="1:33" s="215" customFormat="1" ht="15">
      <c r="A105" s="209"/>
      <c r="B105" s="214" t="s">
        <v>29</v>
      </c>
      <c r="C105" s="214"/>
      <c r="D105" s="222"/>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0"/>
    </row>
    <row r="106" spans="1:33" s="215" customFormat="1" ht="15">
      <c r="A106" s="209"/>
      <c r="B106" s="214" t="s">
        <v>30</v>
      </c>
      <c r="C106" s="214"/>
      <c r="D106" s="222"/>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0"/>
    </row>
    <row r="107" spans="1:33" s="215" customFormat="1" ht="15">
      <c r="A107" s="209"/>
      <c r="B107" s="214" t="s">
        <v>31</v>
      </c>
      <c r="C107" s="214"/>
      <c r="D107" s="222"/>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0"/>
    </row>
    <row r="108" spans="1:33" s="215" customFormat="1" ht="15">
      <c r="A108" s="209"/>
      <c r="B108" s="214" t="s">
        <v>32</v>
      </c>
      <c r="C108" s="214"/>
      <c r="D108" s="222"/>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0"/>
    </row>
    <row r="109" spans="1:33" s="215" customFormat="1" ht="15">
      <c r="A109" s="209"/>
      <c r="B109" s="214" t="s">
        <v>33</v>
      </c>
      <c r="C109" s="214"/>
      <c r="D109" s="222"/>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0"/>
    </row>
    <row r="110" spans="1:33" s="215" customFormat="1" ht="15">
      <c r="A110" s="209"/>
      <c r="B110" s="214" t="s">
        <v>34</v>
      </c>
      <c r="C110" s="214"/>
      <c r="D110" s="222"/>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0"/>
    </row>
    <row r="111" spans="1:33" s="215" customFormat="1" ht="15">
      <c r="A111" s="209"/>
      <c r="B111" s="214" t="s">
        <v>35</v>
      </c>
      <c r="C111" s="214"/>
      <c r="D111" s="222"/>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0"/>
    </row>
    <row r="112" spans="1:33" s="215" customFormat="1" ht="15">
      <c r="A112" s="209"/>
      <c r="B112" s="214" t="s">
        <v>36</v>
      </c>
      <c r="C112" s="214"/>
      <c r="D112" s="222"/>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0"/>
    </row>
    <row r="113" spans="1:33" s="215" customFormat="1" ht="15">
      <c r="A113" s="209"/>
      <c r="B113" s="214" t="s">
        <v>37</v>
      </c>
      <c r="C113" s="214"/>
      <c r="D113" s="222"/>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0"/>
    </row>
    <row r="114" spans="1:33" s="215" customFormat="1" ht="15">
      <c r="A114" s="209"/>
      <c r="B114" s="214" t="s">
        <v>38</v>
      </c>
      <c r="C114" s="214"/>
      <c r="D114" s="222"/>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0"/>
    </row>
    <row r="115" spans="1:33" s="215" customFormat="1" ht="15">
      <c r="A115" s="209"/>
      <c r="B115" s="214" t="s">
        <v>39</v>
      </c>
      <c r="C115" s="214"/>
      <c r="D115" s="222"/>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0"/>
    </row>
    <row r="116" spans="1:33" s="215" customFormat="1" ht="15">
      <c r="A116" s="209"/>
      <c r="B116" s="214" t="s">
        <v>40</v>
      </c>
      <c r="C116" s="214"/>
      <c r="D116" s="222"/>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0"/>
    </row>
    <row r="117" spans="1:33" s="215" customFormat="1" ht="15">
      <c r="A117" s="209"/>
      <c r="B117" s="221"/>
      <c r="C117" s="214"/>
      <c r="D117" s="222"/>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0"/>
    </row>
    <row r="118" spans="1:33" s="215" customFormat="1" ht="15">
      <c r="A118" s="209"/>
      <c r="B118" s="221"/>
      <c r="C118" s="214"/>
      <c r="D118" s="222"/>
      <c r="E118" s="214"/>
      <c r="F118" s="214"/>
      <c r="G118" s="214"/>
      <c r="H118" s="214"/>
      <c r="I118" s="214"/>
      <c r="J118" s="214"/>
      <c r="K118" s="214"/>
      <c r="L118" s="214"/>
      <c r="M118" s="214"/>
      <c r="N118" s="214"/>
      <c r="O118" s="214"/>
      <c r="P118" s="214"/>
      <c r="Q118" s="214"/>
      <c r="R118" s="214"/>
      <c r="S118" s="214"/>
      <c r="T118" s="214"/>
      <c r="U118" s="214"/>
      <c r="V118" s="214"/>
      <c r="W118" s="214"/>
      <c r="X118" s="214"/>
      <c r="Y118" s="214"/>
      <c r="Z118" s="214"/>
      <c r="AA118" s="214"/>
      <c r="AB118" s="214"/>
      <c r="AC118" s="214"/>
      <c r="AD118" s="214"/>
      <c r="AE118" s="214"/>
      <c r="AF118" s="214"/>
      <c r="AG118" s="210"/>
    </row>
    <row r="119" spans="1:33" s="215" customFormat="1" ht="15">
      <c r="A119" s="209"/>
      <c r="B119" s="214" t="s">
        <v>42</v>
      </c>
      <c r="C119" s="214"/>
      <c r="D119" s="222"/>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0"/>
    </row>
    <row r="120" spans="1:33" s="215" customFormat="1" ht="15">
      <c r="A120" s="209"/>
      <c r="B120" s="214" t="s">
        <v>43</v>
      </c>
      <c r="C120" s="214"/>
      <c r="D120" s="222"/>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0"/>
    </row>
    <row r="121" spans="1:33" s="215" customFormat="1" ht="15">
      <c r="A121" s="209"/>
      <c r="B121" s="221"/>
      <c r="C121" s="214"/>
      <c r="D121" s="222"/>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0"/>
    </row>
    <row r="122" spans="1:33" s="215" customFormat="1" ht="15">
      <c r="A122" s="209"/>
      <c r="B122" s="214" t="s">
        <v>539</v>
      </c>
      <c r="C122" s="214"/>
      <c r="D122" s="222"/>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0"/>
    </row>
    <row r="123" spans="1:33" s="215" customFormat="1" ht="15">
      <c r="A123" s="209"/>
      <c r="B123" s="214" t="s">
        <v>540</v>
      </c>
      <c r="C123" s="214"/>
      <c r="D123" s="222"/>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0"/>
    </row>
    <row r="124" spans="1:33" s="215" customFormat="1" ht="14.85" customHeight="1">
      <c r="A124" s="209"/>
      <c r="B124" s="214"/>
      <c r="C124" s="214"/>
      <c r="D124" s="222"/>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0"/>
    </row>
    <row r="125" spans="1:33" s="215" customFormat="1" ht="15">
      <c r="A125" s="209"/>
      <c r="B125" s="221" t="s">
        <v>44</v>
      </c>
      <c r="C125" s="214"/>
      <c r="D125" s="222"/>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0"/>
    </row>
    <row r="126" spans="1:33" s="215" customFormat="1" ht="15">
      <c r="A126" s="209"/>
      <c r="B126" s="214" t="s">
        <v>45</v>
      </c>
      <c r="C126" s="214"/>
      <c r="D126" s="222"/>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c r="AA126" s="214"/>
      <c r="AB126" s="214"/>
      <c r="AC126" s="214"/>
      <c r="AD126" s="214"/>
      <c r="AE126" s="214"/>
      <c r="AF126" s="214"/>
      <c r="AG126" s="210"/>
    </row>
    <row r="127" spans="1:33" s="215" customFormat="1" ht="15">
      <c r="A127" s="209"/>
      <c r="B127" s="221"/>
      <c r="C127" s="214"/>
      <c r="D127" s="222"/>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4"/>
      <c r="AD127" s="214"/>
      <c r="AE127" s="214"/>
      <c r="AF127" s="214"/>
      <c r="AG127" s="210"/>
    </row>
    <row r="128" spans="1:33" s="215" customFormat="1" ht="15">
      <c r="A128" s="209"/>
      <c r="B128" s="214" t="s">
        <v>370</v>
      </c>
      <c r="C128" s="214"/>
      <c r="D128" s="222"/>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0"/>
    </row>
    <row r="129" spans="1:33" s="215" customFormat="1" ht="15">
      <c r="A129" s="209"/>
      <c r="B129" s="214" t="s">
        <v>371</v>
      </c>
      <c r="C129" s="214"/>
      <c r="D129" s="222"/>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0"/>
    </row>
    <row r="130" spans="1:33" s="215" customFormat="1" ht="15">
      <c r="A130" s="209"/>
      <c r="B130" s="221"/>
      <c r="C130" s="214"/>
      <c r="D130" s="222"/>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0"/>
    </row>
    <row r="131" spans="1:33" s="215" customFormat="1" ht="15">
      <c r="A131" s="209"/>
      <c r="B131" s="214" t="s">
        <v>372</v>
      </c>
      <c r="C131" s="214"/>
      <c r="D131" s="222"/>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0"/>
    </row>
    <row r="132" spans="1:33" s="215" customFormat="1" ht="15">
      <c r="A132" s="209"/>
      <c r="B132" s="214" t="s">
        <v>373</v>
      </c>
      <c r="C132" s="214"/>
      <c r="D132" s="222"/>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0"/>
    </row>
    <row r="133" spans="1:33" s="215" customFormat="1" ht="15">
      <c r="A133" s="209"/>
      <c r="B133" s="221"/>
      <c r="C133" s="214"/>
      <c r="D133" s="222"/>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0"/>
    </row>
    <row r="134" spans="1:33" s="215" customFormat="1" ht="15">
      <c r="A134" s="209"/>
      <c r="B134" s="221"/>
      <c r="C134" s="214"/>
      <c r="D134" s="222"/>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0"/>
    </row>
    <row r="135" spans="1:33" s="215" customFormat="1" ht="15">
      <c r="A135" s="209"/>
      <c r="B135" s="214" t="s">
        <v>374</v>
      </c>
      <c r="C135" s="214"/>
      <c r="D135" s="222"/>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0"/>
    </row>
    <row r="136" spans="1:33" s="215" customFormat="1" ht="15">
      <c r="A136" s="209"/>
      <c r="B136" s="214" t="s">
        <v>375</v>
      </c>
      <c r="C136" s="214"/>
      <c r="D136" s="222"/>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0"/>
    </row>
    <row r="137" spans="1:33" s="215" customFormat="1" ht="15">
      <c r="A137" s="209"/>
      <c r="B137" s="221"/>
      <c r="C137" s="214"/>
      <c r="D137" s="222"/>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0"/>
    </row>
    <row r="138" spans="1:33" s="215" customFormat="1" ht="15">
      <c r="A138" s="209"/>
      <c r="B138" s="221" t="s">
        <v>378</v>
      </c>
      <c r="C138" s="214"/>
      <c r="D138" s="222"/>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0"/>
    </row>
    <row r="139" spans="1:33" s="215" customFormat="1" ht="15">
      <c r="A139" s="209"/>
      <c r="B139" s="214" t="s">
        <v>379</v>
      </c>
      <c r="C139" s="214"/>
      <c r="D139" s="222"/>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0"/>
    </row>
    <row r="140" spans="1:33" s="215" customFormat="1" ht="14.85" customHeight="1">
      <c r="A140" s="209"/>
      <c r="B140" s="214"/>
      <c r="C140" s="214"/>
      <c r="D140" s="222"/>
      <c r="E140" s="214"/>
      <c r="F140" s="214"/>
      <c r="G140" s="214"/>
      <c r="H140" s="214"/>
      <c r="I140" s="214"/>
      <c r="J140" s="214"/>
      <c r="K140" s="214"/>
      <c r="L140" s="214"/>
      <c r="M140" s="214"/>
      <c r="N140" s="214"/>
      <c r="O140" s="214"/>
      <c r="P140" s="214"/>
      <c r="Q140" s="214"/>
      <c r="R140" s="214"/>
      <c r="S140" s="214"/>
      <c r="T140" s="214"/>
      <c r="U140" s="214"/>
      <c r="V140" s="214"/>
      <c r="W140" s="214"/>
      <c r="X140" s="214"/>
      <c r="Y140" s="214"/>
      <c r="Z140" s="214"/>
      <c r="AA140" s="214"/>
      <c r="AB140" s="214"/>
      <c r="AC140" s="214"/>
      <c r="AD140" s="214"/>
      <c r="AE140" s="214"/>
      <c r="AF140" s="214"/>
      <c r="AG140" s="210"/>
    </row>
    <row r="141" spans="1:33" s="215" customFormat="1" ht="15">
      <c r="A141" s="209"/>
      <c r="B141" s="221" t="s">
        <v>376</v>
      </c>
      <c r="C141" s="214"/>
      <c r="D141" s="222"/>
      <c r="E141" s="214"/>
      <c r="F141" s="214"/>
      <c r="G141" s="214"/>
      <c r="H141" s="214"/>
      <c r="I141" s="214"/>
      <c r="J141" s="214"/>
      <c r="K141" s="214"/>
      <c r="L141" s="214"/>
      <c r="M141" s="214"/>
      <c r="N141" s="214"/>
      <c r="O141" s="214"/>
      <c r="P141" s="214"/>
      <c r="Q141" s="214"/>
      <c r="R141" s="214"/>
      <c r="S141" s="214"/>
      <c r="T141" s="214"/>
      <c r="U141" s="214"/>
      <c r="V141" s="214"/>
      <c r="W141" s="214"/>
      <c r="X141" s="214"/>
      <c r="Y141" s="214"/>
      <c r="Z141" s="214"/>
      <c r="AA141" s="214"/>
      <c r="AB141" s="214"/>
      <c r="AC141" s="214"/>
      <c r="AD141" s="214"/>
      <c r="AE141" s="214"/>
      <c r="AF141" s="214"/>
      <c r="AG141" s="210"/>
    </row>
    <row r="142" spans="1:33" s="215" customFormat="1" ht="15">
      <c r="A142" s="209"/>
      <c r="B142" s="214" t="s">
        <v>377</v>
      </c>
      <c r="C142" s="214"/>
      <c r="D142" s="222"/>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c r="AE142" s="214"/>
      <c r="AF142" s="214"/>
      <c r="AG142" s="210"/>
    </row>
    <row r="143" spans="1:33" s="215" customFormat="1" ht="15">
      <c r="A143" s="209"/>
      <c r="B143" s="221"/>
      <c r="C143" s="214"/>
      <c r="D143" s="222"/>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0"/>
    </row>
    <row r="144" spans="1:33" s="215" customFormat="1" ht="15">
      <c r="A144" s="209"/>
      <c r="B144" s="223" t="s">
        <v>46</v>
      </c>
      <c r="C144" s="214"/>
      <c r="D144" s="222"/>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c r="AA144" s="214"/>
      <c r="AB144" s="214"/>
      <c r="AC144" s="214"/>
      <c r="AD144" s="214"/>
      <c r="AE144" s="214"/>
      <c r="AF144" s="214"/>
      <c r="AG144" s="210"/>
    </row>
    <row r="145" spans="1:33" s="215" customFormat="1" ht="15">
      <c r="A145" s="209"/>
      <c r="B145" s="223" t="s">
        <v>47</v>
      </c>
      <c r="C145" s="214"/>
      <c r="D145" s="222"/>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c r="AA145" s="214"/>
      <c r="AB145" s="214"/>
      <c r="AC145" s="214"/>
      <c r="AD145" s="214"/>
      <c r="AE145" s="214"/>
      <c r="AF145" s="214"/>
      <c r="AG145" s="210"/>
    </row>
    <row r="146" spans="1:33" s="215" customFormat="1" ht="15">
      <c r="A146" s="209"/>
      <c r="B146" s="223"/>
      <c r="C146" s="214"/>
      <c r="D146" s="222"/>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c r="AA146" s="214"/>
      <c r="AB146" s="214"/>
      <c r="AC146" s="214"/>
      <c r="AD146" s="214"/>
      <c r="AE146" s="214"/>
      <c r="AF146" s="214"/>
      <c r="AG146" s="210"/>
    </row>
    <row r="147" spans="1:33" ht="15">
      <c r="B147" s="111" t="s">
        <v>48</v>
      </c>
    </row>
    <row r="148" spans="1:33" ht="15">
      <c r="B148" s="111" t="s">
        <v>49</v>
      </c>
    </row>
    <row r="149" spans="1:33" ht="14.85" customHeight="1"/>
    <row r="150" spans="1:33" ht="14.85" customHeight="1"/>
    <row r="151" spans="1:33" ht="14.85" customHeight="1"/>
    <row r="152" spans="1:33" ht="14.85" customHeight="1"/>
    <row r="153" spans="1:33" ht="14.85" customHeight="1"/>
    <row r="154" spans="1:33" ht="14.85" customHeight="1"/>
    <row r="155" spans="1:33" ht="14.85" customHeight="1"/>
    <row r="156" spans="1:33" ht="14.85" customHeight="1"/>
    <row r="157" spans="1:33" ht="14.85" customHeight="1"/>
    <row r="158" spans="1:33" ht="14.85" customHeight="1"/>
    <row r="159" spans="1:33" ht="14.85" customHeight="1"/>
    <row r="160" spans="1:33" ht="14.85" customHeight="1"/>
  </sheetData>
  <mergeCells count="46">
    <mergeCell ref="B53:C53"/>
    <mergeCell ref="B44:C44"/>
    <mergeCell ref="B79:AE79"/>
    <mergeCell ref="B45:C45"/>
    <mergeCell ref="B46:C46"/>
    <mergeCell ref="B47:C47"/>
    <mergeCell ref="B48:C48"/>
    <mergeCell ref="B50:AE50"/>
    <mergeCell ref="B51:C52"/>
    <mergeCell ref="E51:R51"/>
    <mergeCell ref="S51:AE51"/>
    <mergeCell ref="B43:C43"/>
    <mergeCell ref="B31:C31"/>
    <mergeCell ref="B33:C33"/>
    <mergeCell ref="B34:C34"/>
    <mergeCell ref="B35:C35"/>
    <mergeCell ref="B36:C36"/>
    <mergeCell ref="B37:C37"/>
    <mergeCell ref="B38:C38"/>
    <mergeCell ref="B39:C39"/>
    <mergeCell ref="B40:C40"/>
    <mergeCell ref="B41:C41"/>
    <mergeCell ref="B42:C42"/>
    <mergeCell ref="B14:C14"/>
    <mergeCell ref="B27:C27"/>
    <mergeCell ref="B28:C28"/>
    <mergeCell ref="B20:C20"/>
    <mergeCell ref="B21:C21"/>
    <mergeCell ref="B22:C22"/>
    <mergeCell ref="B23:C23"/>
    <mergeCell ref="B24:C24"/>
    <mergeCell ref="B29:C29"/>
    <mergeCell ref="B30:C30"/>
    <mergeCell ref="B19:C19"/>
    <mergeCell ref="B15:C15"/>
    <mergeCell ref="B16:C16"/>
    <mergeCell ref="B17:C17"/>
    <mergeCell ref="B18:C18"/>
    <mergeCell ref="B25:C25"/>
    <mergeCell ref="B26:C26"/>
    <mergeCell ref="D10:D11"/>
    <mergeCell ref="E10:R10"/>
    <mergeCell ref="S10:AE10"/>
    <mergeCell ref="B12:C12"/>
    <mergeCell ref="B13:C13"/>
    <mergeCell ref="B10:C11"/>
  </mergeCells>
  <conditionalFormatting sqref="D20">
    <cfRule type="cellIs" dxfId="11" priority="516" operator="equal">
      <formula>0</formula>
    </cfRule>
  </conditionalFormatting>
  <conditionalFormatting sqref="D27">
    <cfRule type="cellIs" dxfId="10" priority="517" operator="equal">
      <formula>0</formula>
    </cfRule>
  </conditionalFormatting>
  <conditionalFormatting sqref="D36">
    <cfRule type="cellIs" dxfId="9" priority="518" operator="equal">
      <formula>0</formula>
    </cfRule>
  </conditionalFormatting>
  <conditionalFormatting sqref="D46:D47">
    <cfRule type="cellIs" dxfId="8" priority="515" operator="equal">
      <formula>0</formula>
    </cfRule>
  </conditionalFormatting>
  <conditionalFormatting sqref="E12:AE25">
    <cfRule type="cellIs" dxfId="7" priority="13" operator="equal">
      <formula>0</formula>
    </cfRule>
  </conditionalFormatting>
  <conditionalFormatting sqref="E27:AE41">
    <cfRule type="cellIs" dxfId="6" priority="3" operator="equal">
      <formula>0</formula>
    </cfRule>
  </conditionalFormatting>
  <conditionalFormatting sqref="E44:AE48">
    <cfRule type="cellIs" dxfId="5" priority="1" operator="equal">
      <formula>0</formula>
    </cfRule>
  </conditionalFormatting>
  <dataValidations count="1">
    <dataValidation type="list" allowBlank="1" showInputMessage="1" showErrorMessage="1" sqref="B92:B116 D54:D78 D13:D19 D21:D25 D28:D35 D37:D41" xr:uid="{00000000-0002-0000-1700-000000000000}">
      <formula1>$B$92:$B$116</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E16:AE16 AE76 AE70:AE71 E22:AE22 E20:AE20 E27:Q27 E31:AE31 E36:AE36 E38:AE38 E42:AE48 E26:O26 Q26:AE26 S27:AE27 R66:R67" formula="1"/>
    <ignoredError sqref="Q56 Q58:Q60 Q65 Q74"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H302"/>
  <sheetViews>
    <sheetView showGridLines="0" zoomScaleNormal="100" workbookViewId="0"/>
  </sheetViews>
  <sheetFormatPr defaultColWidth="0" defaultRowHeight="0" customHeight="1" zeroHeight="1"/>
  <cols>
    <col min="1" max="1" width="8.5703125" style="92" customWidth="1"/>
    <col min="2" max="2" width="9.5703125" style="112" customWidth="1"/>
    <col min="3" max="3" width="54.5703125" style="112" customWidth="1"/>
    <col min="4" max="5" width="11.5703125" style="112" customWidth="1"/>
    <col min="6" max="6" width="13.42578125" bestFit="1" customWidth="1"/>
    <col min="7" max="34" width="0" hidden="1" customWidth="1"/>
    <col min="35" max="16384" width="9.42578125" hidden="1"/>
  </cols>
  <sheetData>
    <row r="1" spans="1:14" ht="15" customHeight="1"/>
    <row r="2" spans="1:14" ht="15" customHeight="1"/>
    <row r="3" spans="1:14" ht="15" customHeight="1"/>
    <row r="4" spans="1:14" ht="15" customHeight="1"/>
    <row r="5" spans="1:14" ht="18" customHeight="1">
      <c r="A5"/>
      <c r="B5" s="254" t="str">
        <f>IF(Indice_index!$Z$1=1,"ANEXOS ESTATÍSTICOS","STATISTICAL ANNEXES")</f>
        <v>ANEXOS ESTATÍSTICOS</v>
      </c>
      <c r="C5"/>
      <c r="D5"/>
      <c r="E5"/>
    </row>
    <row r="6" spans="1:14" ht="18" customHeight="1">
      <c r="A6"/>
      <c r="B6" s="255" t="str">
        <f>IF(Indice_index!$Z$1=1,"Fevereiro de 2026","February 2026")</f>
        <v>Fevereiro de 2026</v>
      </c>
      <c r="C6"/>
      <c r="D6"/>
      <c r="E6"/>
    </row>
    <row r="7" spans="1:14" ht="50.1" customHeight="1">
      <c r="A7" s="11"/>
      <c r="B7" s="255"/>
      <c r="C7" s="13"/>
      <c r="D7" s="11"/>
      <c r="E7" s="11"/>
      <c r="F7" s="11"/>
      <c r="G7" s="11"/>
      <c r="H7" s="11"/>
      <c r="I7" s="11"/>
      <c r="J7" s="11"/>
      <c r="K7" s="10"/>
      <c r="L7" s="10"/>
      <c r="M7" s="10"/>
      <c r="N7" s="10"/>
    </row>
    <row r="8" spans="1:14" ht="15.75">
      <c r="A8" s="2"/>
      <c r="B8" s="114" t="str">
        <f>IF(Indice_index!$Z$1=1,"Quadro 22 - Utilização condicionada das dotações orçamentais do OE 2026","22 - Frozen allocations from the 2026 State Budget")</f>
        <v>Quadro 22 - Utilização condicionada das dotações orçamentais do OE 2026</v>
      </c>
      <c r="C8" s="115"/>
      <c r="D8" s="2"/>
      <c r="E8" s="2"/>
      <c r="F8" s="2"/>
    </row>
    <row r="9" spans="1:14" ht="15">
      <c r="A9" s="3"/>
      <c r="B9" s="116" t="str">
        <f>IF(Indice_index!$Z$1=1,"Período: janeiro","Period: January")</f>
        <v>Período: janeiro</v>
      </c>
      <c r="C9" s="116"/>
      <c r="D9" s="3"/>
      <c r="E9" s="3" t="str">
        <f>IF(Indice_index!$Z$1=1,"€ Milhões","€ Millions")</f>
        <v>€ Milhões</v>
      </c>
      <c r="F9" s="3"/>
    </row>
    <row r="10" spans="1:14" ht="16.350000000000001" customHeight="1">
      <c r="A10" s="78"/>
      <c r="B10" s="374" t="str">
        <f>IF(Indice_index!$Z$1=1,"Ministério","Ministry")</f>
        <v>Ministério</v>
      </c>
      <c r="C10" s="374" t="str">
        <f>IF(Indice_index!$Z$1=1,"Programa Orçamental","Budgetary program")</f>
        <v>Programa Orçamental</v>
      </c>
      <c r="D10" s="375">
        <v>2026</v>
      </c>
      <c r="E10" s="372"/>
    </row>
    <row r="11" spans="1:14" ht="26.25" customHeight="1">
      <c r="A11" s="78"/>
      <c r="B11" s="373"/>
      <c r="C11" s="373"/>
      <c r="D11" s="123" t="str">
        <f>IF(Indice_index!$Z$1=1,"Iniciais (LOE)","Initial (SBL)")</f>
        <v>Iniciais (LOE)</v>
      </c>
      <c r="E11" s="117" t="str">
        <f>IF(Indice_index!$Z$1=1,"Atuais","Current")</f>
        <v>Atuais</v>
      </c>
    </row>
    <row r="12" spans="1:14" ht="16.350000000000001" customHeight="1">
      <c r="A12" s="56"/>
      <c r="B12" s="373"/>
      <c r="C12" s="373"/>
      <c r="D12" s="307" t="s">
        <v>52</v>
      </c>
      <c r="E12" s="308" t="s">
        <v>561</v>
      </c>
    </row>
    <row r="13" spans="1:14" ht="14.1" customHeight="1">
      <c r="B13" s="306" t="str">
        <f>IF(Indice_index!$Z$1=1,"EGE","GCS")</f>
        <v>EGE</v>
      </c>
      <c r="C13" s="306" t="str">
        <f>IF(Indice_index!$Z$1=1,"001 - Órgãos de Soberania","001 - Bodies of Sovereignty")</f>
        <v>001 - Órgãos de Soberania</v>
      </c>
      <c r="D13" s="4">
        <v>27.076494</v>
      </c>
      <c r="E13" s="4">
        <v>12.342254000000001</v>
      </c>
    </row>
    <row r="14" spans="1:14" ht="14.1" customHeight="1">
      <c r="B14" s="306" t="str">
        <f>IF(Indice_index!$Z$1=1,"PCM","PRP")</f>
        <v>PCM</v>
      </c>
      <c r="C14" s="306" t="str">
        <f>IF(Indice_index!$Z$1=1,"002 - Governação","002 - Governance")</f>
        <v>002 - Governação</v>
      </c>
      <c r="D14" s="4">
        <v>31.03368</v>
      </c>
      <c r="E14" s="4">
        <v>31.03368</v>
      </c>
    </row>
    <row r="15" spans="1:14" ht="14.1" customHeight="1">
      <c r="B15" s="306" t="str">
        <f>IF(Indice_index!$Z$1=1,"MNE","MFA")</f>
        <v>MNE</v>
      </c>
      <c r="C15" s="306" t="str">
        <f>IF(Indice_index!$Z$1=1,"003 - Representação Externa","003 - External Representation")</f>
        <v>003 - Representação Externa</v>
      </c>
      <c r="D15" s="4">
        <v>29.828500999999999</v>
      </c>
      <c r="E15" s="4">
        <v>29.828500999999999</v>
      </c>
    </row>
    <row r="16" spans="1:14" ht="14.1" customHeight="1">
      <c r="B16" s="306" t="str">
        <f>IF(Indice_index!$Z$1=1,"MF","MF")</f>
        <v>MF</v>
      </c>
      <c r="C16" s="306" t="str">
        <f>IF(Indice_index!$Z$1=1,"004 - Finanças","004 - Finance")</f>
        <v>004 - Finanças</v>
      </c>
      <c r="D16" s="4">
        <v>453.754998</v>
      </c>
      <c r="E16" s="4">
        <v>443.916586</v>
      </c>
    </row>
    <row r="17" spans="2:5" ht="14.1" customHeight="1">
      <c r="B17" s="306" t="str">
        <f>IF(Indice_index!$Z$1=1,"MECT","METC")</f>
        <v>MECT</v>
      </c>
      <c r="C17" s="306" t="str">
        <f>IF(Indice_index!$Z$1=1,"006 - Economia","006 - Economy")</f>
        <v>006 - Economia</v>
      </c>
      <c r="D17" s="4">
        <v>110.89375200000001</v>
      </c>
      <c r="E17" s="4">
        <v>110.89375200000001</v>
      </c>
    </row>
    <row r="18" spans="2:5" ht="14.1" customHeight="1">
      <c r="B18" s="306" t="str">
        <f>IF(Indice_index!$Z$1=1,"MECT","METC")</f>
        <v>MECT</v>
      </c>
      <c r="C18" s="306" t="str">
        <f>IF(Indice_index!$Z$1=1,"007 - Coesão Territorial","007 - Territorial Cohesion")</f>
        <v>007 - Coesão Territorial</v>
      </c>
      <c r="D18" s="4">
        <v>25.943881000000001</v>
      </c>
      <c r="E18" s="4">
        <v>24.749955</v>
      </c>
    </row>
    <row r="19" spans="2:5" ht="14.1" customHeight="1">
      <c r="B19" s="306" t="str">
        <f>IF(Indice_index!$Z$1=1,"RE","SR")</f>
        <v>RE</v>
      </c>
      <c r="C19" s="306" t="str">
        <f>IF(Indice_index!$Z$1=1,"008 - Reforma do Estado","008 - State Reform")</f>
        <v>008 - Reforma do Estado</v>
      </c>
      <c r="D19" s="4">
        <v>3.278565</v>
      </c>
      <c r="E19" s="4">
        <v>3.278565</v>
      </c>
    </row>
    <row r="20" spans="2:5" ht="14.1" customHeight="1">
      <c r="B20" s="306" t="str">
        <f>IF(Indice_index!$Z$1=1,"MDN","MND")</f>
        <v>MDN</v>
      </c>
      <c r="C20" s="306" t="str">
        <f>IF(Indice_index!$Z$1=1,"009 - Defesa","009 - Defense")</f>
        <v>009 - Defesa</v>
      </c>
      <c r="D20" s="4">
        <v>162.406565</v>
      </c>
      <c r="E20" s="4">
        <v>162.406565</v>
      </c>
    </row>
    <row r="21" spans="2:5" ht="14.1" customHeight="1">
      <c r="B21" s="306" t="str">
        <f>IF(Indice_index!$Z$1=1,"MIH","MIH")</f>
        <v>MIH</v>
      </c>
      <c r="C21" s="306" t="str">
        <f>IF(Indice_index!$Z$1=1,"010 - Infraestruturas e Habitação","010 - Infrastructure and Housing")</f>
        <v>010 - Infraestruturas e Habitação</v>
      </c>
      <c r="D21" s="4">
        <v>291.986425</v>
      </c>
      <c r="E21" s="4">
        <v>291.986425</v>
      </c>
    </row>
    <row r="22" spans="2:5" ht="14.1" customHeight="1">
      <c r="B22" s="306" t="str">
        <f>IF(Indice_index!$Z$1=1,"MJ","MJ")</f>
        <v>MJ</v>
      </c>
      <c r="C22" s="306" t="str">
        <f>IF(Indice_index!$Z$1=1,"011 - Justiça","011 - Justice")</f>
        <v>011 - Justiça</v>
      </c>
      <c r="D22" s="4">
        <v>144.949984</v>
      </c>
      <c r="E22" s="4">
        <v>144.949984</v>
      </c>
    </row>
    <row r="23" spans="2:5" ht="14.1" customHeight="1">
      <c r="B23" s="306" t="str">
        <f>IF(Indice_index!$Z$1=1,"MAI","MIA")</f>
        <v>MAI</v>
      </c>
      <c r="C23" s="306" t="str">
        <f>IF(Indice_index!$Z$1=1,"012 - Segurança Interna","012 - Internal Security")</f>
        <v>012 - Segurança Interna</v>
      </c>
      <c r="D23" s="4">
        <v>181.49259799999999</v>
      </c>
      <c r="E23" s="4">
        <v>166.914368</v>
      </c>
    </row>
    <row r="24" spans="2:5" ht="14.1" customHeight="1">
      <c r="B24" s="306" t="str">
        <f>IF(Indice_index!$Z$1=1,"MECI","MESI")</f>
        <v>MECI</v>
      </c>
      <c r="C24" s="306" t="str">
        <f>IF(Indice_index!$Z$1=1,"013 - Educação","013 - Education")</f>
        <v>013 - Educação</v>
      </c>
      <c r="D24" s="4">
        <v>271.213596</v>
      </c>
      <c r="E24" s="4">
        <v>271.213596</v>
      </c>
    </row>
    <row r="25" spans="2:5" ht="14.1" customHeight="1">
      <c r="B25" s="306" t="str">
        <f>IF(Indice_index!$Z$1=1,"MECI","MESI")</f>
        <v>MECI</v>
      </c>
      <c r="C25" s="306" t="str">
        <f>IF(Indice_index!$Z$1=1,"014 - Ensino Superior, Ciência e Inovação","014 - Higher Education, Science and Inovation")</f>
        <v>014 - Ensino Superior, Ciência e Inovação</v>
      </c>
      <c r="D25" s="4">
        <v>42.678528999999997</v>
      </c>
      <c r="E25" s="4">
        <v>34.866041000000003</v>
      </c>
    </row>
    <row r="26" spans="2:5" ht="14.1" customHeight="1">
      <c r="B26" s="306" t="str">
        <f>IF(Indice_index!$Z$1=1,"MS","MH")</f>
        <v>MS</v>
      </c>
      <c r="C26" s="306" t="str">
        <f>IF(Indice_index!$Z$1=1,"015 - Saúde","015 - Health")</f>
        <v>015 - Saúde</v>
      </c>
      <c r="D26" s="4">
        <v>1.1136239999999999</v>
      </c>
      <c r="E26" s="4">
        <v>1.1136239999999999</v>
      </c>
    </row>
    <row r="27" spans="2:5" ht="14.1" customHeight="1">
      <c r="B27" s="306" t="str">
        <f>IF(Indice_index!$Z$1=1,"MTSSS","MLSSF")</f>
        <v>MTSSS</v>
      </c>
      <c r="C27" s="306" t="str">
        <f>IF(Indice_index!$Z$1=1,"016 - Trabalho, Solidariedade e Segurança Social","016 - Work, Solidarity and Social Security")</f>
        <v>016 - Trabalho, Solidariedade e Segurança Social</v>
      </c>
      <c r="D27" s="4">
        <v>119.582684</v>
      </c>
      <c r="E27" s="4">
        <v>119.582684</v>
      </c>
    </row>
    <row r="28" spans="2:5" ht="14.1" customHeight="1">
      <c r="B28" s="306" t="str">
        <f>IF(Indice_index!$Z$1=1,"MAE","MEE")</f>
        <v>MAE</v>
      </c>
      <c r="C28" s="306" t="str">
        <f>IF(Indice_index!$Z$1=1,"017 - Ambiente e Energia","017 - Environment and Energy")</f>
        <v>017 - Ambiente e Energia</v>
      </c>
      <c r="D28" s="4">
        <v>71.820432999999994</v>
      </c>
      <c r="E28" s="4">
        <v>71.820432999999994</v>
      </c>
    </row>
    <row r="29" spans="2:5" ht="14.1" customHeight="1">
      <c r="B29" s="306" t="str">
        <f>IF(Indice_index!$Z$1=1,"MCJD","MECYS")</f>
        <v>MCJD</v>
      </c>
      <c r="C29" s="306" t="str">
        <f>IF(Indice_index!$Z$1=1,"018 - Cultura","018 - Culture")</f>
        <v>018 - Cultura</v>
      </c>
      <c r="D29" s="4">
        <v>23.529164000000002</v>
      </c>
      <c r="E29" s="4">
        <v>23.529164000000002</v>
      </c>
    </row>
    <row r="30" spans="2:5" ht="14.1" customHeight="1">
      <c r="B30" s="306" t="str">
        <f>IF(Indice_index!$Z$1=1,"MCJD","MECYS")</f>
        <v>MCJD</v>
      </c>
      <c r="C30" s="306" t="str">
        <f>IF(Indice_index!$Z$1=1,"019 - Juventude e Desporto","019 - Youth and Sport")</f>
        <v>019 - Juventude e Desporto</v>
      </c>
      <c r="D30" s="4">
        <v>8.8496199999999998</v>
      </c>
      <c r="E30" s="4">
        <v>8.5385089999999995</v>
      </c>
    </row>
    <row r="31" spans="2:5" ht="14.1" customHeight="1">
      <c r="B31" s="306" t="str">
        <f>IF(Indice_index!$Z$1=1,"MAM","MAS")</f>
        <v>MAM</v>
      </c>
      <c r="C31" s="306" t="str">
        <f>IF(Indice_index!$Z$1=1,"020 - Agricultura e Mar","020 - Agriculture and Sea")</f>
        <v>020 - Agricultura e Mar</v>
      </c>
      <c r="D31" s="4">
        <v>51.789150999999997</v>
      </c>
      <c r="E31" s="4">
        <v>51.789150999999997</v>
      </c>
    </row>
    <row r="32" spans="2:5" ht="14.1" customHeight="1">
      <c r="B32" s="450" t="s">
        <v>53</v>
      </c>
      <c r="C32" s="451"/>
      <c r="D32" s="18">
        <f>SUM(D13:D31)</f>
        <v>2053.2222440000005</v>
      </c>
      <c r="E32" s="18">
        <f t="shared" ref="E32" si="0">SUM(E13:E31)</f>
        <v>2004.7538370000002</v>
      </c>
    </row>
    <row r="33" spans="2:5" ht="8.25" customHeight="1">
      <c r="B33"/>
      <c r="C33"/>
      <c r="D33"/>
      <c r="E33"/>
    </row>
    <row r="34" spans="2:5" ht="14.1" customHeight="1">
      <c r="B34" s="455" t="str">
        <f>IF(Indice_index!$Z$1=1,"Por memória Total 2025","By memory Total 2025")</f>
        <v>Por memória Total 2025</v>
      </c>
      <c r="C34" s="456"/>
      <c r="D34" s="18">
        <v>2489.3693450000001</v>
      </c>
      <c r="E34" s="18">
        <v>2236.2706919999996</v>
      </c>
    </row>
    <row r="35" spans="2:5" ht="15" hidden="1">
      <c r="B35" s="113" t="str">
        <f>IF(Indice_index!$Z$1=1,"Notas:","Notes:")</f>
        <v>Notas:</v>
      </c>
      <c r="C35" s="113"/>
      <c r="D35" s="113"/>
      <c r="E35" s="113"/>
    </row>
    <row r="36" spans="2:5" ht="15" hidden="1">
      <c r="B36" s="452" t="str">
        <f>IF(Indice_index!$Z$1=1,"- Cativos Iniciais (LOE): cativos apurados de acordo com a aplicação da disciplina orçamental prevista na Lei do Orçamento do Estado para 2025.","- Initial frozen allocations (SBL): set in accordance with the 2025 State Budget Law.")</f>
        <v>- Cativos Iniciais (LOE): cativos apurados de acordo com a aplicação da disciplina orçamental prevista na Lei do Orçamento do Estado para 2025.</v>
      </c>
      <c r="C36" s="452"/>
      <c r="D36" s="452"/>
      <c r="E36" s="452"/>
    </row>
    <row r="37" spans="2:5" ht="15" hidden="1">
      <c r="B37" s="452" t="str">
        <f>IF(Indice_index!$Z$1=1,"- Cativos Iniciais (LOE e DLEO): Inclui o montante de cativações determinadas pelo art.º 6.º do DLEO 20205 (Decreto-Lei n.º 13-A/2025, de 10 de março).","- Initial frozen allocations: Includes the amount set by article no. 6 of BEDL 2025 (Decree-Law no. 13-A/2025, of March 10).")</f>
        <v>- Cativos Iniciais (LOE e DLEO): Inclui o montante de cativações determinadas pelo art.º 6.º do DLEO 20205 (Decreto-Lei n.º 13-A/2025, de 10 de março).</v>
      </c>
      <c r="C37" s="452"/>
      <c r="D37" s="452"/>
      <c r="E37" s="452"/>
    </row>
    <row r="38" spans="2:5" ht="24.75" customHeight="1">
      <c r="B38" s="453" t="str">
        <f>IF(Indice_index!$Z$1=1,"Valores não consolidados. Apenas expurgados dos cativos que incidem sobre a transferência do Orçamento do Estado destinada aos Serviços e Fundos Autónomos.","Non-consolidated data: frozen allocations that affect State Budget transfers for Autonomus Services and Funds are removed.")</f>
        <v>Valores não consolidados. Apenas expurgados dos cativos que incidem sobre a transferência do Orçamento do Estado destinada aos Serviços e Fundos Autónomos.</v>
      </c>
      <c r="C38" s="453"/>
      <c r="D38" s="453"/>
      <c r="E38" s="454"/>
    </row>
    <row r="39" spans="2:5" ht="15">
      <c r="B39" s="447" t="str">
        <f>IF(Indice_index!$Z$1=1,"Fonte: Entidade Orçamental.","Source: Budgetary Entity.")</f>
        <v>Fonte: Entidade Orçamental.</v>
      </c>
      <c r="C39" s="447"/>
      <c r="D39" s="158"/>
      <c r="E39" s="158"/>
    </row>
    <row r="40" spans="2:5" ht="14.85" customHeight="1"/>
    <row r="41" spans="2:5" ht="14.85" customHeight="1"/>
    <row r="42" spans="2:5" ht="15" hidden="1">
      <c r="B42" s="448"/>
      <c r="C42" s="449"/>
      <c r="D42" s="449"/>
      <c r="E42" s="449"/>
    </row>
    <row r="43" spans="2:5" ht="15" hidden="1">
      <c r="B43" s="448"/>
      <c r="C43" s="448"/>
      <c r="D43" s="448"/>
      <c r="E43" s="448"/>
    </row>
    <row r="44" spans="2:5" ht="14.85" customHeight="1"/>
    <row r="45" spans="2:5" ht="14.85" customHeight="1"/>
    <row r="46" spans="2:5" ht="14.85" customHeight="1"/>
    <row r="47" spans="2:5" ht="14.85" customHeight="1"/>
    <row r="48" spans="2:5"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sheetData>
  <mergeCells count="11">
    <mergeCell ref="B43:E43"/>
    <mergeCell ref="B32:C32"/>
    <mergeCell ref="B36:E36"/>
    <mergeCell ref="B38:E38"/>
    <mergeCell ref="B34:C34"/>
    <mergeCell ref="B37:E37"/>
    <mergeCell ref="B10:B12"/>
    <mergeCell ref="C10:C12"/>
    <mergeCell ref="D10:E10"/>
    <mergeCell ref="B39:C39"/>
    <mergeCell ref="B42:E42"/>
  </mergeCells>
  <conditionalFormatting sqref="D13:E31">
    <cfRule type="cellIs" dxfId="4"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ignoredErrors>
    <ignoredError sqref="D12:E1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5"/>
  <sheetViews>
    <sheetView showGridLines="0" zoomScaleNormal="100" workbookViewId="0"/>
  </sheetViews>
  <sheetFormatPr defaultColWidth="0" defaultRowHeight="14.85" customHeight="1" zeroHeight="1"/>
  <cols>
    <col min="1" max="1" width="8.5703125" style="49" customWidth="1"/>
    <col min="2" max="2" width="54.5703125" style="30" customWidth="1"/>
    <col min="3" max="3" width="10.42578125" style="30" customWidth="1"/>
    <col min="4" max="6" width="10.42578125" style="49" customWidth="1"/>
    <col min="7" max="8" width="8.5703125" style="49" customWidth="1"/>
    <col min="9" max="9" width="8.5703125" style="49" hidden="1" customWidth="1"/>
    <col min="10" max="33" width="0" hidden="1" customWidth="1"/>
    <col min="34" max="16384" width="9.42578125" hidden="1"/>
  </cols>
  <sheetData>
    <row r="1" spans="1:9" ht="14.85" customHeight="1"/>
    <row r="2" spans="1:9" ht="15"/>
    <row r="3" spans="1:9" ht="15"/>
    <row r="4" spans="1:9" ht="15"/>
    <row r="5" spans="1:9" ht="18" customHeight="1">
      <c r="A5"/>
      <c r="B5" s="254" t="str">
        <f>IF(Indice_index!$Z$1=1,"ANEXOS ESTATÍSTICOS","STATISTICAL ANNEXES")</f>
        <v>ANEXOS ESTATÍSTICOS</v>
      </c>
      <c r="C5"/>
      <c r="D5"/>
      <c r="E5"/>
      <c r="F5"/>
      <c r="G5"/>
      <c r="H5"/>
      <c r="I5"/>
    </row>
    <row r="6" spans="1:9" ht="18" customHeight="1">
      <c r="A6"/>
      <c r="B6" s="255" t="str">
        <f>IF(Indice_index!$Z$1=1,"Fevereiro de 2026","February 2026")</f>
        <v>Fevereiro de 2026</v>
      </c>
      <c r="C6"/>
      <c r="D6"/>
      <c r="E6"/>
      <c r="F6"/>
      <c r="G6"/>
      <c r="H6"/>
      <c r="I6"/>
    </row>
    <row r="7" spans="1:9" ht="50.1" customHeight="1">
      <c r="B7" s="12"/>
      <c r="C7" s="13"/>
      <c r="D7" s="11"/>
      <c r="E7" s="11"/>
      <c r="F7" s="11"/>
      <c r="G7" s="11"/>
    </row>
    <row r="8" spans="1:9" ht="15.75">
      <c r="B8" s="114" t="str">
        <f>IF(Indice_index!$Z$1=1,"Quadro 23 - Despesa Efetiva Consolidada por Programa Orçamental","23 - Consolidated Effective Expenditure by Budgetary Program")</f>
        <v>Quadro 23 - Despesa Efetiva Consolidada por Programa Orçamental</v>
      </c>
      <c r="C8" s="2"/>
      <c r="D8" s="2"/>
      <c r="E8" s="2"/>
      <c r="F8" s="2"/>
      <c r="G8" s="2"/>
    </row>
    <row r="9" spans="1:9" ht="15">
      <c r="B9" s="3" t="str">
        <f>+'3 - Conta AC + SS'!B9</f>
        <v>Período: janeiro a fevereiro</v>
      </c>
      <c r="C9" s="118"/>
      <c r="D9" s="118"/>
      <c r="E9" s="3"/>
      <c r="F9" s="3"/>
      <c r="G9" s="3" t="str">
        <f>IF(Indice_index!$Z$1=1,"€ Milhões","€ Millions")</f>
        <v>€ Milhões</v>
      </c>
    </row>
    <row r="10" spans="1:9" ht="26.85" customHeight="1">
      <c r="B10" s="374"/>
      <c r="C10" s="375" t="str">
        <f>IF(Indice_index!$Z$1=1,"Execução Acumulada","Accumulated Execution")</f>
        <v>Execução Acumulada</v>
      </c>
      <c r="D10" s="372"/>
      <c r="E10" s="375" t="str">
        <f>IF(Indice_index!$Z$1=1,"Variação Homóloga Acumulada","YOY Change Rate")</f>
        <v>Variação Homóloga Acumulada</v>
      </c>
      <c r="F10" s="372"/>
      <c r="G10" s="374" t="str">
        <f>IF(Indice_index!$Z$1=1,"Contributo (em p.p.)","Contribution (pp)")</f>
        <v>Contributo (em p.p.)</v>
      </c>
    </row>
    <row r="11" spans="1:9" ht="15.75" customHeight="1">
      <c r="B11" s="373"/>
      <c r="C11" s="22">
        <v>2025</v>
      </c>
      <c r="D11" s="22">
        <v>2026</v>
      </c>
      <c r="E11" s="22" t="str">
        <f>IF(Indice_index!$Z$1=1,"Absoluta","Absolute")</f>
        <v>Absoluta</v>
      </c>
      <c r="F11" s="22" t="str">
        <f>IF(Indice_index!$Z$1=1,"Relativa (%)","Relative (%)")</f>
        <v>Relativa (%)</v>
      </c>
      <c r="G11" s="373"/>
    </row>
    <row r="12" spans="1:9" ht="14.1" customHeight="1">
      <c r="B12" s="283" t="str">
        <f>IF(Indice_index!$Z$1=1,"001 - Órgãos de Soberania","001 - Bodies of Sovereignty")</f>
        <v>001 - Órgãos de Soberania</v>
      </c>
      <c r="C12" s="4">
        <v>1231.2652692600002</v>
      </c>
      <c r="D12" s="4">
        <v>1223.8937042100001</v>
      </c>
      <c r="E12" s="4">
        <f>+D12-C12</f>
        <v>-7.371565050000072</v>
      </c>
      <c r="F12" s="4">
        <f>IF(IFERROR((D12-C12)/C12*100,"")&gt;500,"-",IFERROR((D12-C12)/C12*100,""))</f>
        <v>-0.59869836614740535</v>
      </c>
      <c r="G12" s="4">
        <f t="shared" ref="G12:G31" si="0">IFERROR((D12-C12)/$C$35*100,"")</f>
        <v>-5.8249362520058579E-2</v>
      </c>
    </row>
    <row r="13" spans="1:9" ht="14.1" customHeight="1">
      <c r="B13" s="283" t="str">
        <f>IF(Indice_index!$Z$1=1,"002 - Governação","002 - Governance")</f>
        <v>002 - Governação</v>
      </c>
      <c r="C13" s="4">
        <v>68.995681640000001</v>
      </c>
      <c r="D13" s="4">
        <v>71.886156749999998</v>
      </c>
      <c r="E13" s="4">
        <f t="shared" ref="E13:E31" si="1">+D13-C13</f>
        <v>2.890475109999997</v>
      </c>
      <c r="F13" s="4">
        <f t="shared" ref="F13:F35" si="2">IF(IFERROR((D13-C13)/C13*100,"")&gt;500,"-",IFERROR((D13-C13)/C13*100,""))</f>
        <v>4.1893565528951227</v>
      </c>
      <c r="G13" s="4">
        <f t="shared" si="0"/>
        <v>2.2840242390263433E-2</v>
      </c>
    </row>
    <row r="14" spans="1:9" ht="14.1" customHeight="1">
      <c r="B14" s="283" t="str">
        <f>IF(Indice_index!$Z$1=1,"003 - Representação Externa","003 - External Representation")</f>
        <v>003 - Representação Externa</v>
      </c>
      <c r="C14" s="4">
        <v>48.128068650000003</v>
      </c>
      <c r="D14" s="4">
        <v>50.404899799999981</v>
      </c>
      <c r="E14" s="4">
        <f t="shared" si="1"/>
        <v>2.2768311499999783</v>
      </c>
      <c r="F14" s="4">
        <f t="shared" si="2"/>
        <v>4.7307760603436932</v>
      </c>
      <c r="G14" s="4">
        <f t="shared" si="0"/>
        <v>1.7991289794466278E-2</v>
      </c>
    </row>
    <row r="15" spans="1:9" ht="14.1" customHeight="1">
      <c r="B15" s="283" t="str">
        <f>IF(Indice_index!$Z$1=1,"004 - Finanças","004 - Finance")</f>
        <v>004 - Finanças</v>
      </c>
      <c r="C15" s="4">
        <v>802.56859507000001</v>
      </c>
      <c r="D15" s="4">
        <v>1050.9584987199999</v>
      </c>
      <c r="E15" s="4">
        <f t="shared" si="1"/>
        <v>248.38990364999984</v>
      </c>
      <c r="F15" s="4">
        <f t="shared" si="2"/>
        <v>30.949367465385969</v>
      </c>
      <c r="G15" s="4">
        <f t="shared" si="0"/>
        <v>1.962751932037976</v>
      </c>
    </row>
    <row r="16" spans="1:9" ht="14.1" customHeight="1">
      <c r="B16" s="283" t="str">
        <f>IF(Indice_index!$Z$1=1,"005 - Gestão da Dívida Pública","005 - Public Debt Management")</f>
        <v>005 - Gestão da Dívida Pública</v>
      </c>
      <c r="C16" s="4">
        <v>1087.5237926500001</v>
      </c>
      <c r="D16" s="4">
        <v>1110.22904778</v>
      </c>
      <c r="E16" s="4">
        <f t="shared" si="1"/>
        <v>22.705255129999841</v>
      </c>
      <c r="F16" s="4">
        <f t="shared" si="2"/>
        <v>2.0877938748055618</v>
      </c>
      <c r="G16" s="4">
        <f t="shared" si="0"/>
        <v>0.17941463287741963</v>
      </c>
    </row>
    <row r="17" spans="2:7" ht="14.1" customHeight="1">
      <c r="B17" s="283" t="str">
        <f>IF(Indice_index!$Z$1=1,"006 - Economia","006 - Economy")</f>
        <v>006 - Economia</v>
      </c>
      <c r="C17" s="4">
        <v>173.29631672000002</v>
      </c>
      <c r="D17" s="4">
        <v>210.84950784999995</v>
      </c>
      <c r="E17" s="4">
        <f t="shared" si="1"/>
        <v>37.553191129999931</v>
      </c>
      <c r="F17" s="4">
        <f t="shared" si="2"/>
        <v>21.669930348650013</v>
      </c>
      <c r="G17" s="4">
        <f t="shared" si="0"/>
        <v>0.29674152355426786</v>
      </c>
    </row>
    <row r="18" spans="2:7" ht="14.1" customHeight="1">
      <c r="B18" s="283" t="str">
        <f>IF(Indice_index!$Z$1=1,"007 - Coesão Territorial","007 - Territorial Cohesion")</f>
        <v>007 - Coesão Territorial</v>
      </c>
      <c r="C18" s="4">
        <v>35.032715920000015</v>
      </c>
      <c r="D18" s="4">
        <v>109.11732151</v>
      </c>
      <c r="E18" s="4">
        <f t="shared" si="1"/>
        <v>74.084605589999981</v>
      </c>
      <c r="F18" s="4">
        <f t="shared" si="2"/>
        <v>211.47262963904384</v>
      </c>
      <c r="G18" s="4">
        <f t="shared" si="0"/>
        <v>0.58540907105844842</v>
      </c>
    </row>
    <row r="19" spans="2:7" ht="14.1" customHeight="1">
      <c r="B19" s="283" t="str">
        <f>IF(Indice_index!$Z$1=1,"008 - Reforma do Estado","008 - State Reform")</f>
        <v>008 - Reforma do Estado</v>
      </c>
      <c r="C19" s="4">
        <v>4.5875751200000012</v>
      </c>
      <c r="D19" s="4">
        <v>14.723058950000002</v>
      </c>
      <c r="E19" s="4">
        <f t="shared" si="1"/>
        <v>10.135483830000002</v>
      </c>
      <c r="F19" s="4">
        <f t="shared" si="2"/>
        <v>220.93335945199738</v>
      </c>
      <c r="G19" s="4">
        <f t="shared" si="0"/>
        <v>8.0089569572455444E-2</v>
      </c>
    </row>
    <row r="20" spans="2:7" ht="14.1" customHeight="1">
      <c r="B20" s="283" t="str">
        <f>IF(Indice_index!$Z$1=1,"009 - Defesa","009 - Defense")</f>
        <v>009 - Defesa</v>
      </c>
      <c r="C20" s="4">
        <v>230.96927385000006</v>
      </c>
      <c r="D20" s="4">
        <v>257.04840849000004</v>
      </c>
      <c r="E20" s="4">
        <f t="shared" si="1"/>
        <v>26.079134639999978</v>
      </c>
      <c r="F20" s="4">
        <f t="shared" si="2"/>
        <v>11.291170554978983</v>
      </c>
      <c r="G20" s="4">
        <f t="shared" si="0"/>
        <v>0.20607468801414988</v>
      </c>
    </row>
    <row r="21" spans="2:7" ht="14.1" customHeight="1">
      <c r="B21" s="283" t="str">
        <f>IF(Indice_index!$Z$1=1,"010 - Infraestruturas e Habitação","010 - Infrastructure and Housing")</f>
        <v>010 - Infraestruturas e Habitação</v>
      </c>
      <c r="C21" s="4">
        <v>603.44070293000016</v>
      </c>
      <c r="D21" s="4">
        <v>663.5060287500005</v>
      </c>
      <c r="E21" s="4">
        <f t="shared" si="1"/>
        <v>60.065325820000339</v>
      </c>
      <c r="F21" s="4">
        <f t="shared" si="2"/>
        <v>9.9538074790702336</v>
      </c>
      <c r="G21" s="4">
        <f t="shared" si="0"/>
        <v>0.47463013821937311</v>
      </c>
    </row>
    <row r="22" spans="2:7" ht="14.1" customHeight="1">
      <c r="B22" s="283" t="str">
        <f>IF(Indice_index!$Z$1=1,"011 - Justiça","011 - Justice")</f>
        <v>011 - Justiça</v>
      </c>
      <c r="C22" s="4">
        <v>248.69831834000013</v>
      </c>
      <c r="D22" s="4">
        <v>250.26591643999998</v>
      </c>
      <c r="E22" s="4">
        <f t="shared" si="1"/>
        <v>1.5675980999998558</v>
      </c>
      <c r="F22" s="4">
        <f t="shared" si="2"/>
        <v>0.63032114992300159</v>
      </c>
      <c r="G22" s="4">
        <f t="shared" si="0"/>
        <v>1.2387001863687784E-2</v>
      </c>
    </row>
    <row r="23" spans="2:7" ht="14.1" customHeight="1">
      <c r="B23" s="283" t="str">
        <f>IF(Indice_index!$Z$1=1,"012 - Segurança Interna","012 - Internal Security")</f>
        <v>012 - Segurança Interna</v>
      </c>
      <c r="C23" s="4">
        <v>354.51384789999992</v>
      </c>
      <c r="D23" s="4">
        <v>384.11048349000015</v>
      </c>
      <c r="E23" s="4">
        <f t="shared" ref="E23:E24" si="3">+D23-C23</f>
        <v>29.596635590000233</v>
      </c>
      <c r="F23" s="4">
        <f t="shared" ref="F23:F24" si="4">IF(IFERROR((D23-C23)/C23*100,"")&gt;500,"-",IFERROR((D23-C23)/C23*100,""))</f>
        <v>8.348513257047367</v>
      </c>
      <c r="G23" s="4">
        <f t="shared" ref="G23:G24" si="5">IFERROR((D23-C23)/$C$35*100,"")</f>
        <v>0.23386962526444427</v>
      </c>
    </row>
    <row r="24" spans="2:7" ht="14.1" customHeight="1">
      <c r="B24" s="283" t="str">
        <f>IF(Indice_index!$Z$1=1,"013 - Educação","013 - Education")</f>
        <v>013 - Educação</v>
      </c>
      <c r="C24" s="4">
        <v>1021.4759417400007</v>
      </c>
      <c r="D24" s="4">
        <v>1083.2572086800001</v>
      </c>
      <c r="E24" s="4">
        <f t="shared" si="3"/>
        <v>61.781266939999341</v>
      </c>
      <c r="F24" s="4">
        <f t="shared" si="4"/>
        <v>6.0482351483246886</v>
      </c>
      <c r="G24" s="4">
        <f t="shared" si="5"/>
        <v>0.48818933164491257</v>
      </c>
    </row>
    <row r="25" spans="2:7" ht="14.1" customHeight="1">
      <c r="B25" s="283" t="str">
        <f>IF(Indice_index!$Z$1=1,"014 - Ensino Superior, Ciência e Inovação","014 - Higher Education, Science and Inovation")</f>
        <v>014 - Ensino Superior, Ciência e Inovação</v>
      </c>
      <c r="C25" s="4">
        <v>443.56064401000037</v>
      </c>
      <c r="D25" s="4">
        <v>483.75199013999998</v>
      </c>
      <c r="E25" s="4">
        <f t="shared" si="1"/>
        <v>40.191346129999602</v>
      </c>
      <c r="F25" s="4">
        <f t="shared" si="2"/>
        <v>9.0610712814037342</v>
      </c>
      <c r="G25" s="4">
        <f t="shared" si="0"/>
        <v>0.31758795791885164</v>
      </c>
    </row>
    <row r="26" spans="2:7" ht="14.1" customHeight="1">
      <c r="B26" s="283" t="str">
        <f>IF(Indice_index!$Z$1=1,"015 - Saúde","015 - Health")</f>
        <v>015 - Saúde</v>
      </c>
      <c r="C26" s="4">
        <v>2157.6882523100035</v>
      </c>
      <c r="D26" s="4">
        <v>2321.1972977900036</v>
      </c>
      <c r="E26" s="4">
        <f t="shared" si="1"/>
        <v>163.50904548000017</v>
      </c>
      <c r="F26" s="4">
        <f t="shared" si="2"/>
        <v>7.5779735698587922</v>
      </c>
      <c r="G26" s="4">
        <f t="shared" si="0"/>
        <v>1.2920319634801543</v>
      </c>
    </row>
    <row r="27" spans="2:7" ht="14.1" customHeight="1">
      <c r="B27" s="283" t="str">
        <f>IF(Indice_index!$Z$1=1,"016 - Trabalho, Solidariedade e Segurança Social","016 - Work, Solidarity and Social Security")</f>
        <v>016 - Trabalho, Solidariedade e Segurança Social</v>
      </c>
      <c r="C27" s="4">
        <v>3942.1764662800006</v>
      </c>
      <c r="D27" s="4">
        <v>4172.6571136499988</v>
      </c>
      <c r="E27" s="4">
        <f t="shared" si="1"/>
        <v>230.48064736999822</v>
      </c>
      <c r="F27" s="4">
        <f t="shared" si="2"/>
        <v>5.8465329835295075</v>
      </c>
      <c r="G27" s="4">
        <f t="shared" si="0"/>
        <v>1.8212347976923406</v>
      </c>
    </row>
    <row r="28" spans="2:7" ht="14.1" customHeight="1">
      <c r="B28" s="283" t="str">
        <f>IF(Indice_index!$Z$1=1,"017 - Ambiente e Energia","017 - Environment and Energy")</f>
        <v>017 - Ambiente e Energia</v>
      </c>
      <c r="C28" s="4">
        <v>41.830233360000001</v>
      </c>
      <c r="D28" s="4">
        <v>68.604039230000012</v>
      </c>
      <c r="E28" s="4">
        <f t="shared" si="1"/>
        <v>26.773805870000011</v>
      </c>
      <c r="F28" s="4">
        <f t="shared" si="2"/>
        <v>64.005872593582907</v>
      </c>
      <c r="G28" s="4">
        <f t="shared" si="0"/>
        <v>0.21156390991398599</v>
      </c>
    </row>
    <row r="29" spans="2:7" ht="14.1" customHeight="1">
      <c r="B29" s="283" t="str">
        <f>IF(Indice_index!$Z$1=1,"018 - Cultura","018 - Culture")</f>
        <v>018 - Cultura</v>
      </c>
      <c r="C29" s="4">
        <v>52.473908170000001</v>
      </c>
      <c r="D29" s="4">
        <v>53.668185259999987</v>
      </c>
      <c r="E29" s="4">
        <f t="shared" ref="E29" si="6">+D29-C29</f>
        <v>1.1942770899999857</v>
      </c>
      <c r="F29" s="4">
        <f t="shared" ref="F29" si="7">IF(IFERROR((D29-C29)/C29*100,"")&gt;500,"-",IFERROR((D29-C29)/C29*100,""))</f>
        <v>2.2759446201927247</v>
      </c>
      <c r="G29" s="4">
        <f t="shared" si="0"/>
        <v>9.4370569469246022E-3</v>
      </c>
    </row>
    <row r="30" spans="2:7" ht="14.1" customHeight="1">
      <c r="B30" s="283" t="str">
        <f>IF(Indice_index!$Z$1=1,"019 - Juventude e Desporto","019 - Youth and Sport")</f>
        <v>019 - Juventude e Desporto</v>
      </c>
      <c r="C30" s="4">
        <v>11.106935909999999</v>
      </c>
      <c r="D30" s="4">
        <v>9.6022640299999988</v>
      </c>
      <c r="E30" s="4">
        <f t="shared" ref="E30" si="8">+D30-C30</f>
        <v>-1.5046718800000001</v>
      </c>
      <c r="F30" s="4">
        <f t="shared" ref="F30" si="9">IF(IFERROR((D30-C30)/C30*100,"")&gt;500,"-",IFERROR((D30-C30)/C30*100,""))</f>
        <v>-13.547137502119613</v>
      </c>
      <c r="G30" s="4">
        <f t="shared" ref="G30" si="10">IFERROR((D30-C30)/$C$35*100,"")</f>
        <v>-1.1889765228600569E-2</v>
      </c>
    </row>
    <row r="31" spans="2:7" ht="14.1" customHeight="1">
      <c r="B31" s="283" t="str">
        <f>IF(Indice_index!$Z$1=1,"020 - Agricultura e Mar","020 - Agriculture and Sea")</f>
        <v>020 - Agricultura e Mar</v>
      </c>
      <c r="C31" s="4">
        <v>161.50935265999991</v>
      </c>
      <c r="D31" s="4">
        <v>215.3685511599999</v>
      </c>
      <c r="E31" s="4">
        <f t="shared" si="1"/>
        <v>53.859198499999991</v>
      </c>
      <c r="F31" s="4">
        <f t="shared" si="2"/>
        <v>33.347417727183412</v>
      </c>
      <c r="G31" s="4">
        <f t="shared" si="0"/>
        <v>0.42558994693620239</v>
      </c>
    </row>
    <row r="32" spans="2:7" ht="14.1" customHeight="1">
      <c r="B32" s="29" t="str">
        <f>IF(Indice_index!$Z$1=1,"Subtotal despesa efetiva consolidada dos Programas Orçamentais (1)","Subtotal consolidated effective expenditure of the Budget Programs (1)")</f>
        <v>Subtotal despesa efetiva consolidada dos Programas Orçamentais (1)</v>
      </c>
      <c r="C32" s="18">
        <f>SUM(C12:C31)</f>
        <v>12720.841892490005</v>
      </c>
      <c r="D32" s="18">
        <f>SUM(D12:D31)</f>
        <v>13805.099682680002</v>
      </c>
      <c r="E32" s="18">
        <f>SUM(E12:E31)</f>
        <v>1084.2577901899972</v>
      </c>
      <c r="F32" s="18">
        <f t="shared" si="2"/>
        <v>8.5234750919285407</v>
      </c>
      <c r="G32" s="18"/>
    </row>
    <row r="33" spans="2:7" ht="14.1" customHeight="1">
      <c r="B33" s="167" t="str">
        <f>IF(Indice_index!$Z$1=1,"Fluxos para outros Programas Orçamentais (2)","Flows to other Budget Programs (2)")</f>
        <v>Fluxos para outros Programas Orçamentais (2)</v>
      </c>
      <c r="C33" s="128">
        <v>96.208879520004274</v>
      </c>
      <c r="D33" s="128">
        <v>189.38115128999138</v>
      </c>
      <c r="E33" s="128">
        <f>+D33-C33</f>
        <v>93.172271769987105</v>
      </c>
      <c r="F33" s="128">
        <f t="shared" si="2"/>
        <v>96.843734419143942</v>
      </c>
      <c r="G33" s="128"/>
    </row>
    <row r="34" spans="2:7" ht="14.1" customHeight="1">
      <c r="B34" s="283" t="str">
        <f>IF(Indice_index!$Z$1=1,"Diferenças de consolidação (3)","Consolidation differences (3)")</f>
        <v>Diferenças de consolidação (3)</v>
      </c>
      <c r="C34" s="4">
        <f>SUM('4 - Conta AC'!E42,'4 - Conta AC'!E49)</f>
        <v>30.552779769999997</v>
      </c>
      <c r="D34" s="4">
        <f>SUM('4 - Conta AC'!F42,'4 - Conta AC'!F49)</f>
        <v>46.859832309999973</v>
      </c>
      <c r="E34" s="4">
        <f>+D34-C34</f>
        <v>16.307052539999976</v>
      </c>
      <c r="F34" s="4"/>
      <c r="G34" s="4"/>
    </row>
    <row r="35" spans="2:7" ht="14.1" customHeight="1">
      <c r="B35" s="91" t="str">
        <f>IF(Indice_index!$Z$1=1,"Total da despesa efetiva consolidada da Administração Central (4)=(1)-(2)+(3)","Total Consolidated Effective Expenditure of the Central Government")</f>
        <v>Total da despesa efetiva consolidada da Administração Central (4)=(1)-(2)+(3)</v>
      </c>
      <c r="C35" s="26">
        <f>C32-C33+C34</f>
        <v>12655.185792740001</v>
      </c>
      <c r="D35" s="26">
        <f>D32-D33+D34</f>
        <v>13662.57836370001</v>
      </c>
      <c r="E35" s="26">
        <f>E32-E33</f>
        <v>991.08551842001009</v>
      </c>
      <c r="F35" s="26">
        <f t="shared" si="2"/>
        <v>7.9603143522233131</v>
      </c>
      <c r="G35" s="26"/>
    </row>
    <row r="36" spans="2:7" ht="15">
      <c r="B36" s="141" t="str">
        <f>IF(Indice_index!$Z$1=1,"Notas:","Notes:")</f>
        <v>Notas:</v>
      </c>
      <c r="C36" s="149"/>
      <c r="D36" s="149"/>
      <c r="E36" s="51"/>
      <c r="F36" s="150"/>
      <c r="G36" s="150"/>
    </row>
    <row r="37" spans="2:7" ht="15">
      <c r="B37" s="447"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7" s="447"/>
      <c r="D37" s="447"/>
      <c r="E37" s="447"/>
      <c r="F37" s="447"/>
      <c r="G37" s="447"/>
    </row>
    <row r="38" spans="2:7" ht="15">
      <c r="B38" s="447"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8" s="447"/>
      <c r="D38" s="447"/>
      <c r="E38" s="447"/>
      <c r="F38" s="447"/>
      <c r="G38" s="447"/>
    </row>
    <row r="39" spans="2:7" ht="15">
      <c r="B39" s="141" t="str">
        <f>IF(Indice_index!$Z$1=1,"Fonte: Entidade Orçamental.","Source: Budgetary Entity.")</f>
        <v>Fonte: Entidade Orçamental.</v>
      </c>
      <c r="C39" s="150"/>
      <c r="D39" s="150"/>
      <c r="E39" s="150"/>
      <c r="F39" s="150"/>
      <c r="G39" s="60"/>
    </row>
    <row r="40" spans="2:7" ht="15">
      <c r="B40" s="382"/>
      <c r="C40" s="382"/>
      <c r="D40" s="382"/>
      <c r="E40" s="382"/>
      <c r="F40" s="382"/>
      <c r="G40" s="382"/>
    </row>
    <row r="41" spans="2:7" ht="15" hidden="1">
      <c r="B41" s="383"/>
      <c r="C41" s="383"/>
      <c r="D41" s="383"/>
      <c r="E41" s="383"/>
      <c r="F41" s="383"/>
      <c r="G41" s="383"/>
    </row>
    <row r="42" spans="2:7" ht="15" hidden="1">
      <c r="B42" s="383"/>
      <c r="C42" s="383"/>
      <c r="D42" s="383"/>
      <c r="E42" s="383"/>
      <c r="F42" s="383"/>
      <c r="G42" s="383"/>
    </row>
    <row r="43" spans="2:7" ht="15" hidden="1">
      <c r="B43" s="382"/>
      <c r="C43" s="382"/>
      <c r="D43" s="382"/>
      <c r="E43" s="382"/>
      <c r="F43" s="382"/>
      <c r="G43" s="382"/>
    </row>
    <row r="44" spans="2:7" ht="15" hidden="1">
      <c r="B44" s="382"/>
      <c r="C44" s="382"/>
      <c r="D44" s="382"/>
      <c r="E44" s="382"/>
      <c r="F44" s="382"/>
      <c r="G44" s="382"/>
    </row>
    <row r="45" spans="2:7" ht="15" hidden="1">
      <c r="B45" s="383"/>
      <c r="C45" s="383"/>
      <c r="D45" s="383"/>
      <c r="E45" s="383"/>
      <c r="F45" s="383"/>
      <c r="G45" s="383"/>
    </row>
  </sheetData>
  <mergeCells count="12">
    <mergeCell ref="B42:G42"/>
    <mergeCell ref="B43:G43"/>
    <mergeCell ref="B44:G44"/>
    <mergeCell ref="B45:G45"/>
    <mergeCell ref="B10:B11"/>
    <mergeCell ref="C10:D10"/>
    <mergeCell ref="E10:F10"/>
    <mergeCell ref="G10:G11"/>
    <mergeCell ref="B37:G37"/>
    <mergeCell ref="B38:G38"/>
    <mergeCell ref="B40:G40"/>
    <mergeCell ref="B41:G41"/>
  </mergeCells>
  <conditionalFormatting sqref="C12:F31">
    <cfRule type="cellIs" dxfId="3" priority="2" operator="equal">
      <formula>0</formula>
    </cfRule>
  </conditionalFormatting>
  <conditionalFormatting sqref="C33:G34">
    <cfRule type="cellIs" dxfId="2"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32:D32" formulaRange="1"/>
    <ignoredError sqref="E32" formula="1"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05C-3F2B-4CB6-9923-209534772316}">
  <sheetPr>
    <pageSetUpPr fitToPage="1"/>
  </sheetPr>
  <dimension ref="A1:BK113"/>
  <sheetViews>
    <sheetView showGridLines="0" workbookViewId="0"/>
  </sheetViews>
  <sheetFormatPr defaultColWidth="9.42578125" defaultRowHeight="14.85" customHeight="1" zeroHeight="1"/>
  <cols>
    <col min="1" max="1" width="8.5703125" style="49" customWidth="1"/>
    <col min="2" max="2" width="8" style="30" customWidth="1"/>
    <col min="3" max="3" width="18.5703125" style="30" customWidth="1"/>
    <col min="4" max="4" width="14.42578125" style="30" customWidth="1"/>
    <col min="5" max="5" width="21.5703125" style="30" customWidth="1"/>
    <col min="6" max="7" width="3.7109375" style="30" customWidth="1"/>
    <col min="8" max="17" width="4.5703125" style="30" hidden="1" customWidth="1"/>
    <col min="18" max="18" width="8.7109375" style="30" customWidth="1"/>
    <col min="19" max="20" width="3.7109375" style="30" customWidth="1"/>
    <col min="21" max="30" width="4.5703125" style="30" hidden="1" customWidth="1"/>
    <col min="31" max="31" width="8.7109375" style="30" customWidth="1"/>
    <col min="32" max="32" width="7.42578125" style="30" customWidth="1"/>
    <col min="33" max="34" width="3.7109375" style="30" customWidth="1"/>
    <col min="35" max="44" width="4.5703125" style="30" hidden="1" customWidth="1"/>
    <col min="45" max="45" width="8.7109375" style="30" customWidth="1"/>
    <col min="46" max="47" width="3.7109375" style="30" customWidth="1"/>
    <col min="48" max="57" width="4.5703125" style="30" hidden="1" customWidth="1"/>
    <col min="58" max="58" width="8.7109375" style="30" customWidth="1"/>
    <col min="59" max="60" width="7.42578125" style="30" customWidth="1"/>
    <col min="61" max="62" width="10.5703125" customWidth="1"/>
    <col min="63" max="63" width="9.42578125" customWidth="1"/>
  </cols>
  <sheetData>
    <row r="1" spans="1:62" ht="15">
      <c r="F1" s="49"/>
      <c r="G1" s="49"/>
      <c r="H1" s="49"/>
      <c r="I1" s="49"/>
      <c r="J1" s="49"/>
      <c r="K1" s="49"/>
      <c r="L1" s="49"/>
      <c r="M1" s="49"/>
      <c r="N1" s="49"/>
      <c r="O1" s="49"/>
      <c r="P1" s="49"/>
      <c r="Q1" s="49"/>
      <c r="R1" s="49"/>
      <c r="S1" s="49"/>
      <c r="T1" s="49"/>
      <c r="U1" s="49"/>
      <c r="V1" s="49"/>
      <c r="W1" s="49"/>
      <c r="X1" s="49"/>
      <c r="Y1" s="49"/>
      <c r="Z1" s="49"/>
      <c r="AA1" s="49"/>
      <c r="AB1" s="49"/>
      <c r="AC1" s="49"/>
      <c r="AD1" s="49"/>
      <c r="AE1" s="49"/>
      <c r="AF1"/>
      <c r="AG1"/>
      <c r="AH1"/>
      <c r="AI1"/>
      <c r="AJ1" s="49"/>
      <c r="AK1" s="49"/>
      <c r="AL1" s="49"/>
      <c r="AM1" s="49"/>
      <c r="AN1" s="49"/>
      <c r="AO1" s="49"/>
      <c r="AP1" s="49"/>
      <c r="AQ1" s="49"/>
      <c r="AR1" s="49"/>
      <c r="AS1"/>
      <c r="AT1"/>
      <c r="AU1"/>
      <c r="AV1"/>
      <c r="AW1" s="49"/>
      <c r="AX1" s="49"/>
      <c r="AY1" s="49"/>
      <c r="AZ1" s="49"/>
      <c r="BA1" s="49"/>
      <c r="BB1" s="49"/>
      <c r="BC1" s="49"/>
      <c r="BD1" s="49"/>
      <c r="BE1" s="49"/>
      <c r="BF1"/>
      <c r="BG1"/>
      <c r="BH1"/>
    </row>
    <row r="2" spans="1:62" ht="15">
      <c r="F2" s="49"/>
      <c r="G2" s="49"/>
      <c r="H2" s="49"/>
      <c r="I2" s="49"/>
      <c r="J2" s="49"/>
      <c r="K2" s="49"/>
      <c r="L2" s="49"/>
      <c r="M2" s="49"/>
      <c r="N2" s="49"/>
      <c r="O2" s="49"/>
      <c r="P2" s="49"/>
      <c r="Q2" s="49"/>
      <c r="R2" s="49"/>
      <c r="S2" s="49"/>
      <c r="T2" s="49"/>
      <c r="U2" s="49"/>
      <c r="V2" s="49"/>
      <c r="W2" s="49"/>
      <c r="X2" s="49"/>
      <c r="Y2" s="49"/>
      <c r="Z2" s="49"/>
      <c r="AA2" s="49"/>
      <c r="AB2" s="49"/>
      <c r="AC2" s="49"/>
      <c r="AD2" s="49"/>
      <c r="AE2" s="49"/>
      <c r="AF2"/>
      <c r="AG2"/>
      <c r="AH2"/>
      <c r="AI2"/>
      <c r="AJ2" s="49"/>
      <c r="AK2" s="49"/>
      <c r="AL2" s="49"/>
      <c r="AM2" s="49"/>
      <c r="AN2" s="49"/>
      <c r="AO2" s="49"/>
      <c r="AP2" s="49"/>
      <c r="AQ2" s="49"/>
      <c r="AR2" s="49"/>
      <c r="AS2"/>
      <c r="AT2"/>
      <c r="AU2"/>
      <c r="AV2"/>
      <c r="AW2" s="49"/>
      <c r="AX2" s="49"/>
      <c r="AY2" s="49"/>
      <c r="AZ2" s="49"/>
      <c r="BA2" s="49"/>
      <c r="BB2" s="49"/>
      <c r="BC2" s="49"/>
      <c r="BD2" s="49"/>
      <c r="BE2" s="49"/>
      <c r="BF2"/>
      <c r="BG2"/>
      <c r="BH2"/>
    </row>
    <row r="3" spans="1:62" ht="15">
      <c r="F3" s="49"/>
      <c r="G3" s="49"/>
      <c r="H3" s="49"/>
      <c r="I3" s="49"/>
      <c r="J3" s="49"/>
      <c r="K3" s="49"/>
      <c r="L3" s="49"/>
      <c r="M3" s="49"/>
      <c r="N3" s="49"/>
      <c r="O3" s="49"/>
      <c r="P3" s="49"/>
      <c r="Q3" s="49"/>
      <c r="R3" s="49"/>
      <c r="S3" s="49"/>
      <c r="T3" s="49"/>
      <c r="U3" s="49"/>
      <c r="V3" s="49"/>
      <c r="W3" s="49"/>
      <c r="X3" s="49"/>
      <c r="Y3" s="49"/>
      <c r="Z3" s="49"/>
      <c r="AA3" s="49"/>
      <c r="AB3" s="49"/>
      <c r="AC3" s="49"/>
      <c r="AD3" s="49"/>
      <c r="AE3" s="49"/>
      <c r="AF3"/>
      <c r="AG3"/>
      <c r="AH3"/>
      <c r="AI3"/>
      <c r="AJ3" s="49"/>
      <c r="AK3" s="49"/>
      <c r="AL3" s="49"/>
      <c r="AM3" s="49"/>
      <c r="AN3" s="49"/>
      <c r="AO3" s="49"/>
      <c r="AP3" s="49"/>
      <c r="AQ3" s="49"/>
      <c r="AR3" s="49"/>
      <c r="AS3"/>
      <c r="AT3"/>
      <c r="AU3"/>
      <c r="AV3"/>
      <c r="AW3" s="49"/>
      <c r="AX3" s="49"/>
      <c r="AY3" s="49"/>
      <c r="AZ3" s="49"/>
      <c r="BA3" s="49"/>
      <c r="BB3" s="49"/>
      <c r="BC3" s="49"/>
      <c r="BD3" s="49"/>
      <c r="BE3" s="49"/>
      <c r="BF3"/>
      <c r="BG3"/>
      <c r="BH3"/>
    </row>
    <row r="4" spans="1:62" ht="15">
      <c r="F4" s="49"/>
      <c r="G4" s="49"/>
      <c r="H4" s="49"/>
      <c r="I4" s="49"/>
      <c r="J4" s="49"/>
      <c r="K4" s="49"/>
      <c r="L4" s="49"/>
      <c r="M4" s="49"/>
      <c r="N4" s="49"/>
      <c r="O4" s="49"/>
      <c r="P4" s="49"/>
      <c r="Q4" s="49"/>
      <c r="R4" s="49"/>
      <c r="S4" s="49"/>
      <c r="T4" s="49"/>
      <c r="U4" s="49"/>
      <c r="V4" s="49"/>
      <c r="W4" s="49"/>
      <c r="X4" s="49"/>
      <c r="Y4" s="49"/>
      <c r="Z4" s="49"/>
      <c r="AA4" s="49"/>
      <c r="AB4" s="49"/>
      <c r="AC4" s="49"/>
      <c r="AD4" s="49"/>
      <c r="AE4" s="49"/>
      <c r="AF4"/>
      <c r="AG4"/>
      <c r="AH4"/>
      <c r="AI4"/>
      <c r="AJ4" s="49"/>
      <c r="AK4" s="49"/>
      <c r="AL4" s="49"/>
      <c r="AM4" s="49"/>
      <c r="AN4" s="49"/>
      <c r="AO4" s="49"/>
      <c r="AP4" s="49"/>
      <c r="AQ4" s="49"/>
      <c r="AR4" s="49"/>
      <c r="AS4"/>
      <c r="AT4"/>
      <c r="AU4"/>
      <c r="AV4"/>
      <c r="AW4" s="49"/>
      <c r="AX4" s="49"/>
      <c r="AY4" s="49"/>
      <c r="AZ4" s="49"/>
      <c r="BA4" s="49"/>
      <c r="BB4" s="49"/>
      <c r="BC4" s="49"/>
      <c r="BD4" s="49"/>
      <c r="BE4" s="49"/>
      <c r="BF4"/>
      <c r="BG4"/>
      <c r="BH4"/>
    </row>
    <row r="5" spans="1:62" ht="18" customHeight="1">
      <c r="A5"/>
      <c r="B5" s="254"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2" ht="18" customHeight="1">
      <c r="A6"/>
      <c r="B6" s="255" t="str">
        <f>IF(Indice_index!$Z$1=1,"Fevereiro de 2026","February 2026")</f>
        <v>Fevereiro de 2026</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2" ht="48.75" customHeight="1">
      <c r="A7" s="11"/>
      <c r="B7" s="12"/>
      <c r="C7" s="12"/>
      <c r="D7" s="12"/>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0"/>
      <c r="AU7" s="10"/>
      <c r="AV7" s="10"/>
      <c r="AW7" s="11"/>
      <c r="AX7" s="11"/>
      <c r="AY7" s="11"/>
      <c r="AZ7" s="11"/>
      <c r="BA7" s="11"/>
      <c r="BB7" s="11"/>
      <c r="BC7" s="11"/>
      <c r="BD7" s="11"/>
      <c r="BE7" s="11"/>
      <c r="BF7" s="10"/>
      <c r="BG7" s="10"/>
      <c r="BH7" s="10"/>
    </row>
    <row r="8" spans="1:62" ht="15.75">
      <c r="B8" s="114" t="str">
        <f>IF(Indice_index!$Z$1=1,"Quadro 24 - Fatores explicativos com efeito diferenciado em Contas Nacionais","24 - Explanatory Factors with Different Effects in National Accounts")</f>
        <v>Quadro 24 - Fatores explicativos com efeito diferenciado em Contas Nacionais</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2"/>
    </row>
    <row r="9" spans="1:62" ht="15">
      <c r="B9" s="3" t="str">
        <f>+'3 - Conta AC + SS'!B9</f>
        <v>Período: janeiro a fevereiro</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t="str">
        <f>IF(Indice_index!$Z$1=1,"€ Milhões","€ Millions")</f>
        <v>€ Milhões</v>
      </c>
      <c r="BJ9" s="3"/>
    </row>
    <row r="10" spans="1:62" ht="26.25" customHeight="1">
      <c r="B10" s="460"/>
      <c r="C10" s="460" t="str">
        <f>IF(Indice_index!$Z$1=1,"Classificação económica","Economic classification")</f>
        <v>Classificação económica</v>
      </c>
      <c r="D10" s="460" t="str">
        <f>IF(Indice_index!$Z$1=1,"Operação contas nacionais","National accounts transaction")</f>
        <v>Operação contas nacionais</v>
      </c>
      <c r="E10" s="460" t="str">
        <f>IF(Indice_index!$Z$1=1,"Descrição da operação","Transaction Description")</f>
        <v>Descrição da operação</v>
      </c>
      <c r="F10" s="348" t="str">
        <f>IF(Indice_index!$Z$1=1,"Impacto em Contabilidade Pública (CP)","Impact on Public Accounting (PA)")</f>
        <v>Impacto em Contabilidade Pública (CP)</v>
      </c>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50"/>
      <c r="AG10" s="457" t="str">
        <f>IF(Indice_index!$Z$1=1,"Impacto em Contabilidade Nacional (CN)","Impact on National Accounts (NA)")</f>
        <v>Impacto em Contabilidade Nacional (CN)</v>
      </c>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458"/>
      <c r="BD10" s="458"/>
      <c r="BE10" s="458"/>
      <c r="BF10" s="458"/>
      <c r="BG10" s="459"/>
      <c r="BH10" s="234" t="str">
        <f>IF(Indice_index!$Z$1=1,"CN vs CP [*]","NA vs PA [*]")</f>
        <v>CN vs CP [*]</v>
      </c>
    </row>
    <row r="11" spans="1:62" ht="15">
      <c r="B11" s="462"/>
      <c r="C11" s="462"/>
      <c r="D11" s="462"/>
      <c r="E11" s="462"/>
      <c r="F11" s="348">
        <v>2025</v>
      </c>
      <c r="G11" s="349"/>
      <c r="H11" s="349"/>
      <c r="I11" s="349"/>
      <c r="J11" s="349"/>
      <c r="K11" s="349"/>
      <c r="L11" s="349"/>
      <c r="M11" s="349"/>
      <c r="N11" s="349"/>
      <c r="O11" s="349"/>
      <c r="P11" s="349"/>
      <c r="Q11" s="349"/>
      <c r="R11" s="350"/>
      <c r="S11" s="348">
        <v>2026</v>
      </c>
      <c r="T11" s="349"/>
      <c r="U11" s="349"/>
      <c r="V11" s="349"/>
      <c r="W11" s="349"/>
      <c r="X11" s="349"/>
      <c r="Y11" s="349"/>
      <c r="Z11" s="349"/>
      <c r="AA11" s="349"/>
      <c r="AB11" s="349"/>
      <c r="AC11" s="349"/>
      <c r="AD11" s="349"/>
      <c r="AE11" s="350"/>
      <c r="AF11" s="460" t="str">
        <f>IF(Indice_index!$Z$1=1,"VHA","Y-O-Y")</f>
        <v>VHA</v>
      </c>
      <c r="AG11" s="348">
        <v>2025</v>
      </c>
      <c r="AH11" s="349"/>
      <c r="AI11" s="349"/>
      <c r="AJ11" s="349"/>
      <c r="AK11" s="349"/>
      <c r="AL11" s="349"/>
      <c r="AM11" s="349"/>
      <c r="AN11" s="349"/>
      <c r="AO11" s="349"/>
      <c r="AP11" s="349"/>
      <c r="AQ11" s="349"/>
      <c r="AR11" s="349"/>
      <c r="AS11" s="350"/>
      <c r="AT11" s="348">
        <v>2026</v>
      </c>
      <c r="AU11" s="349"/>
      <c r="AV11" s="349"/>
      <c r="AW11" s="349"/>
      <c r="AX11" s="349"/>
      <c r="AY11" s="349"/>
      <c r="AZ11" s="349"/>
      <c r="BA11" s="349"/>
      <c r="BB11" s="349"/>
      <c r="BC11" s="349"/>
      <c r="BD11" s="349"/>
      <c r="BE11" s="349"/>
      <c r="BF11" s="350"/>
      <c r="BG11" s="460" t="str">
        <f>IF(Indice_index!$Z$1=1,"VHA","Y-O-Y")</f>
        <v>VHA</v>
      </c>
      <c r="BH11" s="460" t="str">
        <f>IF(Indice_index!$Z$1=1,"VHA","Y-O-Y")</f>
        <v>VHA</v>
      </c>
    </row>
    <row r="12" spans="1:62" ht="26.1" customHeight="1">
      <c r="B12" s="463"/>
      <c r="C12" s="463"/>
      <c r="D12" s="463"/>
      <c r="E12" s="463"/>
      <c r="F12" s="235" t="str">
        <f>IF(Indice_index!$Z$1=1,"jan","Jan")</f>
        <v>jan</v>
      </c>
      <c r="G12" s="235" t="str">
        <f>IF(Indice_index!$Z$1=1,"fev","Feb")</f>
        <v>fev</v>
      </c>
      <c r="H12" s="235" t="str">
        <f>IF(Indice_index!$Z$1=1,"mar","Mar")</f>
        <v>mar</v>
      </c>
      <c r="I12" s="235" t="str">
        <f>IF(Indice_index!$Z$1=1,"abr","Apr")</f>
        <v>abr</v>
      </c>
      <c r="J12" s="235" t="str">
        <f>IF(Indice_index!$Z$1=1,"mai","May")</f>
        <v>mai</v>
      </c>
      <c r="K12" s="235" t="str">
        <f>IF(Indice_index!$Z$1=1,"jun","Jun")</f>
        <v>jun</v>
      </c>
      <c r="L12" s="235" t="str">
        <f>IF(Indice_index!$Z$1=1,"jul","Jul")</f>
        <v>jul</v>
      </c>
      <c r="M12" s="235" t="str">
        <f>IF(Indice_index!$Z$1=1,"ago","Aug")</f>
        <v>ago</v>
      </c>
      <c r="N12" s="235" t="str">
        <f>IF(Indice_index!$Z$1=1,"set","Sep")</f>
        <v>set</v>
      </c>
      <c r="O12" s="235" t="str">
        <f>IF(Indice_index!$Z$1=1,"out","Oct")</f>
        <v>out</v>
      </c>
      <c r="P12" s="235" t="str">
        <f>IF(Indice_index!$Z$1=1,"nov","Nov")</f>
        <v>nov</v>
      </c>
      <c r="Q12" s="235" t="str">
        <f>IF(Indice_index!$Z$1=1,"dez","Dec")</f>
        <v>dez</v>
      </c>
      <c r="R12" s="235" t="str">
        <f>IF(Indice_index!$Z$1=1,"Acumulado","Accumulated Execution")</f>
        <v>Acumulado</v>
      </c>
      <c r="S12" s="235" t="str">
        <f>IF(Indice_index!$Z$1=1,"jan","Jan")</f>
        <v>jan</v>
      </c>
      <c r="T12" s="235" t="str">
        <f>IF(Indice_index!$Z$1=1,"fev","Feb")</f>
        <v>fev</v>
      </c>
      <c r="U12" s="235" t="str">
        <f>IF(Indice_index!$Z$1=1,"mar","Mar")</f>
        <v>mar</v>
      </c>
      <c r="V12" s="235" t="str">
        <f>IF(Indice_index!$Z$1=1,"abr","Apr")</f>
        <v>abr</v>
      </c>
      <c r="W12" s="235" t="str">
        <f>IF(Indice_index!$Z$1=1,"mai","May")</f>
        <v>mai</v>
      </c>
      <c r="X12" s="235" t="str">
        <f>IF(Indice_index!$Z$1=1,"jun","Jun")</f>
        <v>jun</v>
      </c>
      <c r="Y12" s="235" t="str">
        <f>IF(Indice_index!$Z$1=1,"jul","Jul")</f>
        <v>jul</v>
      </c>
      <c r="Z12" s="235" t="str">
        <f>IF(Indice_index!$Z$1=1,"ago","Aug")</f>
        <v>ago</v>
      </c>
      <c r="AA12" s="235" t="str">
        <f>IF(Indice_index!$Z$1=1,"set","Sep")</f>
        <v>set</v>
      </c>
      <c r="AB12" s="235" t="str">
        <f>IF(Indice_index!$Z$1=1,"out","Oct")</f>
        <v>out</v>
      </c>
      <c r="AC12" s="235" t="str">
        <f>IF(Indice_index!$Z$1=1,"nov","Nov")</f>
        <v>nov</v>
      </c>
      <c r="AD12" s="235" t="str">
        <f>IF(Indice_index!$Z$1=1,"dez","Dec")</f>
        <v>dez</v>
      </c>
      <c r="AE12" s="235" t="str">
        <f>IF(Indice_index!$Z$1=1,"Acumulado","Accumulated Execution")</f>
        <v>Acumulado</v>
      </c>
      <c r="AF12" s="461"/>
      <c r="AG12" s="235" t="str">
        <f>IF(Indice_index!$Z$1=1,"jan","Jan")</f>
        <v>jan</v>
      </c>
      <c r="AH12" s="235" t="str">
        <f>IF(Indice_index!$Z$1=1,"fev","Feb")</f>
        <v>fev</v>
      </c>
      <c r="AI12" s="235" t="str">
        <f>IF(Indice_index!$Z$1=1,"mar","Mar")</f>
        <v>mar</v>
      </c>
      <c r="AJ12" s="235" t="str">
        <f>IF(Indice_index!$Z$1=1,"abr","Apr")</f>
        <v>abr</v>
      </c>
      <c r="AK12" s="235" t="str">
        <f>IF(Indice_index!$Z$1=1,"mai","May")</f>
        <v>mai</v>
      </c>
      <c r="AL12" s="235" t="str">
        <f>IF(Indice_index!$Z$1=1,"jun","Jun")</f>
        <v>jun</v>
      </c>
      <c r="AM12" s="235" t="str">
        <f>IF(Indice_index!$Z$1=1,"jul","Jul")</f>
        <v>jul</v>
      </c>
      <c r="AN12" s="235" t="str">
        <f>IF(Indice_index!$Z$1=1,"ago","Aug")</f>
        <v>ago</v>
      </c>
      <c r="AO12" s="235" t="str">
        <f>IF(Indice_index!$Z$1=1,"set","Sep")</f>
        <v>set</v>
      </c>
      <c r="AP12" s="235" t="str">
        <f>IF(Indice_index!$Z$1=1,"out","Oct")</f>
        <v>out</v>
      </c>
      <c r="AQ12" s="235" t="str">
        <f>IF(Indice_index!$Z$1=1,"nov","Nov")</f>
        <v>nov</v>
      </c>
      <c r="AR12" s="235" t="str">
        <f>IF(Indice_index!$Z$1=1,"dez","Dec")</f>
        <v>dez</v>
      </c>
      <c r="AS12" s="235" t="str">
        <f>IF(Indice_index!$Z$1=1,"Acumulado","Accumulated Execution")</f>
        <v>Acumulado</v>
      </c>
      <c r="AT12" s="235" t="str">
        <f>IF(Indice_index!$Z$1=1,"jan","Jan")</f>
        <v>jan</v>
      </c>
      <c r="AU12" s="235" t="str">
        <f>IF(Indice_index!$Z$1=1,"fev","Feb")</f>
        <v>fev</v>
      </c>
      <c r="AV12" s="235" t="str">
        <f>IF(Indice_index!$Z$1=1,"mar","Mar")</f>
        <v>mar</v>
      </c>
      <c r="AW12" s="235" t="str">
        <f>IF(Indice_index!$Z$1=1,"abr","Apr")</f>
        <v>abr</v>
      </c>
      <c r="AX12" s="235" t="str">
        <f>IF(Indice_index!$Z$1=1,"mai","May")</f>
        <v>mai</v>
      </c>
      <c r="AY12" s="235" t="str">
        <f>IF(Indice_index!$Z$1=1,"jun","Jun")</f>
        <v>jun</v>
      </c>
      <c r="AZ12" s="235" t="str">
        <f>IF(Indice_index!$Z$1=1,"jul","Jul")</f>
        <v>jul</v>
      </c>
      <c r="BA12" s="235" t="str">
        <f>IF(Indice_index!$Z$1=1,"ago","Aug")</f>
        <v>ago</v>
      </c>
      <c r="BB12" s="235" t="str">
        <f>IF(Indice_index!$Z$1=1,"set","Sep")</f>
        <v>set</v>
      </c>
      <c r="BC12" s="235" t="str">
        <f>IF(Indice_index!$Z$1=1,"out","Oct")</f>
        <v>out</v>
      </c>
      <c r="BD12" s="235" t="str">
        <f>IF(Indice_index!$Z$1=1,"nov","Nov")</f>
        <v>nov</v>
      </c>
      <c r="BE12" s="235" t="str">
        <f>IF(Indice_index!$Z$1=1,"dez","Dec")</f>
        <v>dez</v>
      </c>
      <c r="BF12" s="235" t="str">
        <f>IF(Indice_index!$Z$1=1,"Acumulado","Accumulated Execution")</f>
        <v>Acumulado</v>
      </c>
      <c r="BG12" s="461"/>
      <c r="BH12" s="461"/>
    </row>
    <row r="13" spans="1:62" ht="24.75" customHeight="1">
      <c r="B13" s="228" t="str">
        <f>IF(Indice_index!$Z$1=1,"Efeito na Receita","Effect on Revenue")</f>
        <v>Efeito na Receita</v>
      </c>
      <c r="C13" s="229"/>
      <c r="D13" s="229"/>
      <c r="E13" s="229"/>
      <c r="F13" s="236">
        <f>SUM(F14:F17)</f>
        <v>0</v>
      </c>
      <c r="G13" s="236">
        <f t="shared" ref="G13:Q13" si="0">SUM(G14:G17)</f>
        <v>65</v>
      </c>
      <c r="H13" s="236">
        <f t="shared" si="0"/>
        <v>0</v>
      </c>
      <c r="I13" s="236">
        <f t="shared" si="0"/>
        <v>0</v>
      </c>
      <c r="J13" s="236">
        <f t="shared" si="0"/>
        <v>0</v>
      </c>
      <c r="K13" s="236">
        <f t="shared" si="0"/>
        <v>0</v>
      </c>
      <c r="L13" s="236">
        <f t="shared" si="0"/>
        <v>0</v>
      </c>
      <c r="M13" s="236">
        <f t="shared" si="0"/>
        <v>0</v>
      </c>
      <c r="N13" s="236">
        <f t="shared" si="0"/>
        <v>0</v>
      </c>
      <c r="O13" s="236">
        <f t="shared" si="0"/>
        <v>0</v>
      </c>
      <c r="P13" s="236">
        <f t="shared" si="0"/>
        <v>0</v>
      </c>
      <c r="Q13" s="236">
        <f t="shared" si="0"/>
        <v>0</v>
      </c>
      <c r="R13" s="236">
        <f t="shared" ref="R13:R23" si="1">SUM(F13:Q13)</f>
        <v>65</v>
      </c>
      <c r="S13" s="236">
        <f>SUM(S14:S17)</f>
        <v>0</v>
      </c>
      <c r="T13" s="236">
        <f t="shared" ref="T13" si="2">SUM(T14:T17)</f>
        <v>0</v>
      </c>
      <c r="U13" s="236">
        <f t="shared" ref="U13" si="3">SUM(U14:U17)</f>
        <v>0</v>
      </c>
      <c r="V13" s="236">
        <f t="shared" ref="V13" si="4">SUM(V14:V17)</f>
        <v>0</v>
      </c>
      <c r="W13" s="236">
        <f t="shared" ref="W13" si="5">SUM(W14:W17)</f>
        <v>0</v>
      </c>
      <c r="X13" s="236">
        <f t="shared" ref="X13" si="6">SUM(X14:X17)</f>
        <v>0</v>
      </c>
      <c r="Y13" s="236">
        <f t="shared" ref="Y13" si="7">SUM(Y14:Y17)</f>
        <v>0</v>
      </c>
      <c r="Z13" s="236">
        <f t="shared" ref="Z13" si="8">SUM(Z14:Z17)</f>
        <v>0</v>
      </c>
      <c r="AA13" s="236">
        <f t="shared" ref="AA13" si="9">SUM(AA14:AA17)</f>
        <v>0</v>
      </c>
      <c r="AB13" s="236">
        <f t="shared" ref="AB13" si="10">SUM(AB14:AB17)</f>
        <v>0</v>
      </c>
      <c r="AC13" s="236">
        <f t="shared" ref="AC13" si="11">SUM(AC14:AC17)</f>
        <v>0</v>
      </c>
      <c r="AD13" s="236">
        <f t="shared" ref="AD13" si="12">SUM(AD14:AD17)</f>
        <v>0</v>
      </c>
      <c r="AE13" s="236">
        <f t="shared" ref="AE13:AE23" si="13">SUM(S13:AD13)</f>
        <v>0</v>
      </c>
      <c r="AF13" s="236">
        <f>AE13-R13</f>
        <v>-65</v>
      </c>
      <c r="AG13" s="236">
        <f>SUM(AG14:AG17)</f>
        <v>153.53635491000003</v>
      </c>
      <c r="AH13" s="236">
        <f t="shared" ref="AH13" si="14">SUM(AH14:AH17)</f>
        <v>397.24725670999999</v>
      </c>
      <c r="AI13" s="236">
        <f t="shared" ref="AI13" si="15">SUM(AI14:AI17)</f>
        <v>0</v>
      </c>
      <c r="AJ13" s="236">
        <f t="shared" ref="AJ13" si="16">SUM(AJ14:AJ17)</f>
        <v>0</v>
      </c>
      <c r="AK13" s="236">
        <f t="shared" ref="AK13" si="17">SUM(AK14:AK17)</f>
        <v>0</v>
      </c>
      <c r="AL13" s="236">
        <f t="shared" ref="AL13" si="18">SUM(AL14:AL17)</f>
        <v>0</v>
      </c>
      <c r="AM13" s="236">
        <f t="shared" ref="AM13" si="19">SUM(AM14:AM17)</f>
        <v>0</v>
      </c>
      <c r="AN13" s="236">
        <f t="shared" ref="AN13" si="20">SUM(AN14:AN17)</f>
        <v>0</v>
      </c>
      <c r="AO13" s="236">
        <f t="shared" ref="AO13" si="21">SUM(AO14:AO17)</f>
        <v>0</v>
      </c>
      <c r="AP13" s="236">
        <f t="shared" ref="AP13" si="22">SUM(AP14:AP17)</f>
        <v>0</v>
      </c>
      <c r="AQ13" s="236">
        <f t="shared" ref="AQ13" si="23">SUM(AQ14:AQ17)</f>
        <v>0</v>
      </c>
      <c r="AR13" s="236">
        <f t="shared" ref="AR13" si="24">SUM(AR14:AR17)</f>
        <v>0</v>
      </c>
      <c r="AS13" s="236">
        <f t="shared" ref="AS13:AS23" si="25">SUM(AG13:AR13)</f>
        <v>550.78361161999999</v>
      </c>
      <c r="AT13" s="236">
        <f>SUM(AT14:AT17)</f>
        <v>182.47846182333336</v>
      </c>
      <c r="AU13" s="236">
        <f t="shared" ref="AU13" si="26">SUM(AU14:AU17)</f>
        <v>507.72996262500004</v>
      </c>
      <c r="AV13" s="236">
        <f t="shared" ref="AV13" si="27">SUM(AV14:AV17)</f>
        <v>0</v>
      </c>
      <c r="AW13" s="236">
        <f t="shared" ref="AW13" si="28">SUM(AW14:AW17)</f>
        <v>0</v>
      </c>
      <c r="AX13" s="236">
        <f t="shared" ref="AX13" si="29">SUM(AX14:AX17)</f>
        <v>0</v>
      </c>
      <c r="AY13" s="236">
        <f t="shared" ref="AY13" si="30">SUM(AY14:AY17)</f>
        <v>0</v>
      </c>
      <c r="AZ13" s="236">
        <f t="shared" ref="AZ13" si="31">SUM(AZ14:AZ17)</f>
        <v>0</v>
      </c>
      <c r="BA13" s="236">
        <f t="shared" ref="BA13" si="32">SUM(BA14:BA17)</f>
        <v>0</v>
      </c>
      <c r="BB13" s="236">
        <f t="shared" ref="BB13" si="33">SUM(BB14:BB17)</f>
        <v>0</v>
      </c>
      <c r="BC13" s="236">
        <f t="shared" ref="BC13" si="34">SUM(BC14:BC17)</f>
        <v>0</v>
      </c>
      <c r="BD13" s="236">
        <f t="shared" ref="BD13" si="35">SUM(BD14:BD17)</f>
        <v>0</v>
      </c>
      <c r="BE13" s="236">
        <f t="shared" ref="BE13" si="36">SUM(BE14:BE17)</f>
        <v>0</v>
      </c>
      <c r="BF13" s="236">
        <f t="shared" ref="BF13:BF23" si="37">SUM(AT13:BE13)</f>
        <v>690.2084244483334</v>
      </c>
      <c r="BG13" s="236">
        <f t="shared" ref="BG13:BG23" si="38">BF13-AS13</f>
        <v>139.42481282833342</v>
      </c>
      <c r="BH13" s="236">
        <f t="shared" ref="BH13:BH23" si="39">BG13-AF13</f>
        <v>204.42481282833342</v>
      </c>
    </row>
    <row r="14" spans="1:62" ht="24.75" customHeight="1">
      <c r="B14" s="290" t="s">
        <v>398</v>
      </c>
      <c r="C14" s="332" t="str">
        <f>IF(Indice_index!$Z$1=1,"Impostos indiretos","Indirect taxes")</f>
        <v>Impostos indiretos</v>
      </c>
      <c r="D14" s="332" t="str">
        <f>IF(Indice_index!$Z$1=1,"Impostos sobre a produção","Taxes on production")</f>
        <v>Impostos sobre a produção</v>
      </c>
      <c r="E14" s="332" t="str">
        <f>IF(Indice_index!$Z$1=1,"Flexibilização de pagamentos de impostos","Flexibility in tax payments")</f>
        <v>Flexibilização de pagamentos de impostos</v>
      </c>
      <c r="F14" s="292">
        <v>0</v>
      </c>
      <c r="G14" s="292">
        <v>0</v>
      </c>
      <c r="H14" s="292">
        <v>0</v>
      </c>
      <c r="I14" s="292">
        <v>0</v>
      </c>
      <c r="J14" s="292">
        <v>0</v>
      </c>
      <c r="K14" s="292">
        <v>0</v>
      </c>
      <c r="L14" s="292">
        <v>0</v>
      </c>
      <c r="M14" s="292">
        <v>0</v>
      </c>
      <c r="N14" s="292">
        <v>0</v>
      </c>
      <c r="O14" s="292">
        <v>0</v>
      </c>
      <c r="P14" s="292">
        <v>0</v>
      </c>
      <c r="Q14" s="292">
        <v>0</v>
      </c>
      <c r="R14" s="292">
        <f t="shared" si="1"/>
        <v>0</v>
      </c>
      <c r="S14" s="292">
        <v>0</v>
      </c>
      <c r="T14" s="292">
        <v>0</v>
      </c>
      <c r="U14" s="292">
        <v>0</v>
      </c>
      <c r="V14" s="292">
        <v>0</v>
      </c>
      <c r="W14" s="292">
        <v>0</v>
      </c>
      <c r="X14" s="292">
        <v>0</v>
      </c>
      <c r="Y14" s="292">
        <v>0</v>
      </c>
      <c r="Z14" s="292">
        <v>0</v>
      </c>
      <c r="AA14" s="292">
        <v>0</v>
      </c>
      <c r="AB14" s="292">
        <v>0</v>
      </c>
      <c r="AC14" s="292">
        <v>0</v>
      </c>
      <c r="AD14" s="292">
        <v>0</v>
      </c>
      <c r="AE14" s="292">
        <f t="shared" si="13"/>
        <v>0</v>
      </c>
      <c r="AF14" s="292">
        <f t="shared" ref="AF14:AF23" si="40">AE14-R14</f>
        <v>0</v>
      </c>
      <c r="AG14" s="292">
        <v>153.53635491000003</v>
      </c>
      <c r="AH14" s="292">
        <v>397.24725670999999</v>
      </c>
      <c r="AI14" s="292">
        <v>0</v>
      </c>
      <c r="AJ14" s="292">
        <v>0</v>
      </c>
      <c r="AK14" s="292">
        <v>0</v>
      </c>
      <c r="AL14" s="292">
        <v>0</v>
      </c>
      <c r="AM14" s="292">
        <v>0</v>
      </c>
      <c r="AN14" s="292">
        <v>0</v>
      </c>
      <c r="AO14" s="292">
        <v>0</v>
      </c>
      <c r="AP14" s="292">
        <v>0</v>
      </c>
      <c r="AQ14" s="292">
        <v>0</v>
      </c>
      <c r="AR14" s="292">
        <v>0</v>
      </c>
      <c r="AS14" s="292">
        <f t="shared" si="25"/>
        <v>550.78361161999999</v>
      </c>
      <c r="AT14" s="292">
        <v>182.47846182333336</v>
      </c>
      <c r="AU14" s="292">
        <v>507.72996262500004</v>
      </c>
      <c r="AV14" s="292">
        <v>0</v>
      </c>
      <c r="AW14" s="292">
        <v>0</v>
      </c>
      <c r="AX14" s="292">
        <v>0</v>
      </c>
      <c r="AY14" s="292">
        <v>0</v>
      </c>
      <c r="AZ14" s="292">
        <v>0</v>
      </c>
      <c r="BA14" s="292">
        <v>0</v>
      </c>
      <c r="BB14" s="292">
        <v>0</v>
      </c>
      <c r="BC14" s="292">
        <v>0</v>
      </c>
      <c r="BD14" s="292">
        <v>0</v>
      </c>
      <c r="BE14" s="292">
        <v>0</v>
      </c>
      <c r="BF14" s="292">
        <f t="shared" si="37"/>
        <v>690.2084244483334</v>
      </c>
      <c r="BG14" s="292">
        <f t="shared" si="38"/>
        <v>139.42481282833342</v>
      </c>
      <c r="BH14" s="292">
        <f t="shared" si="39"/>
        <v>139.42481282833342</v>
      </c>
    </row>
    <row r="15" spans="1:62" ht="24.75" customHeight="1">
      <c r="B15" s="290" t="s">
        <v>594</v>
      </c>
      <c r="C15" s="332" t="str">
        <f>IF(Indice_index!$Z$1=1,"Reposições não abatidas aos pagamentos","Refunds not deducted from payments")</f>
        <v>Reposições não abatidas aos pagamentos</v>
      </c>
      <c r="D15" s="333" t="s">
        <v>3</v>
      </c>
      <c r="E15" s="332" t="str">
        <f>IF(Indice_index!$Z$1=1,"RNAP - Saldo de gerência","Management Balance")</f>
        <v>RNAP - Saldo de gerência</v>
      </c>
      <c r="F15" s="292">
        <v>0</v>
      </c>
      <c r="G15" s="292">
        <v>65</v>
      </c>
      <c r="H15" s="292">
        <v>0</v>
      </c>
      <c r="I15" s="292">
        <v>0</v>
      </c>
      <c r="J15" s="292">
        <v>0</v>
      </c>
      <c r="K15" s="292">
        <v>0</v>
      </c>
      <c r="L15" s="292">
        <v>0</v>
      </c>
      <c r="M15" s="292">
        <v>0</v>
      </c>
      <c r="N15" s="292">
        <v>0</v>
      </c>
      <c r="O15" s="292">
        <v>0</v>
      </c>
      <c r="P15" s="292">
        <v>0</v>
      </c>
      <c r="Q15" s="292">
        <v>0</v>
      </c>
      <c r="R15" s="292">
        <f t="shared" si="1"/>
        <v>65</v>
      </c>
      <c r="S15" s="292">
        <v>0</v>
      </c>
      <c r="T15" s="292">
        <v>0</v>
      </c>
      <c r="U15" s="292">
        <v>0</v>
      </c>
      <c r="V15" s="292">
        <v>0</v>
      </c>
      <c r="W15" s="292">
        <v>0</v>
      </c>
      <c r="X15" s="292">
        <v>0</v>
      </c>
      <c r="Y15" s="292">
        <v>0</v>
      </c>
      <c r="Z15" s="292">
        <v>0</v>
      </c>
      <c r="AA15" s="292">
        <v>0</v>
      </c>
      <c r="AB15" s="292">
        <v>0</v>
      </c>
      <c r="AC15" s="292">
        <v>0</v>
      </c>
      <c r="AD15" s="292">
        <v>0</v>
      </c>
      <c r="AE15" s="292">
        <f t="shared" si="13"/>
        <v>0</v>
      </c>
      <c r="AF15" s="292">
        <f t="shared" ref="AF15" si="41">AE15-R15</f>
        <v>-65</v>
      </c>
      <c r="AG15" s="292">
        <v>0</v>
      </c>
      <c r="AH15" s="292">
        <v>0</v>
      </c>
      <c r="AI15" s="292">
        <v>0</v>
      </c>
      <c r="AJ15" s="292">
        <v>0</v>
      </c>
      <c r="AK15" s="292">
        <v>0</v>
      </c>
      <c r="AL15" s="292">
        <v>0</v>
      </c>
      <c r="AM15" s="292">
        <v>0</v>
      </c>
      <c r="AN15" s="292">
        <v>0</v>
      </c>
      <c r="AO15" s="292">
        <v>0</v>
      </c>
      <c r="AP15" s="292">
        <v>0</v>
      </c>
      <c r="AQ15" s="292">
        <v>0</v>
      </c>
      <c r="AR15" s="292">
        <v>0</v>
      </c>
      <c r="AS15" s="292">
        <f t="shared" si="25"/>
        <v>0</v>
      </c>
      <c r="AT15" s="292">
        <v>0</v>
      </c>
      <c r="AU15" s="292">
        <v>0</v>
      </c>
      <c r="AV15" s="292">
        <v>0</v>
      </c>
      <c r="AW15" s="292">
        <v>0</v>
      </c>
      <c r="AX15" s="292">
        <v>0</v>
      </c>
      <c r="AY15" s="292">
        <v>0</v>
      </c>
      <c r="AZ15" s="292">
        <v>0</v>
      </c>
      <c r="BA15" s="292">
        <v>0</v>
      </c>
      <c r="BB15" s="292">
        <v>0</v>
      </c>
      <c r="BC15" s="292">
        <v>0</v>
      </c>
      <c r="BD15" s="292">
        <v>0</v>
      </c>
      <c r="BE15" s="292">
        <v>0</v>
      </c>
      <c r="BF15" s="292">
        <f t="shared" si="37"/>
        <v>0</v>
      </c>
      <c r="BG15" s="292">
        <f t="shared" ref="BG15" si="42">BF15-AS15</f>
        <v>0</v>
      </c>
      <c r="BH15" s="292">
        <f t="shared" ref="BH15" si="43">BG15-AF15</f>
        <v>65</v>
      </c>
    </row>
    <row r="16" spans="1:62" ht="24.75" hidden="1" customHeight="1">
      <c r="B16" s="290"/>
      <c r="C16" s="291"/>
      <c r="D16" s="293"/>
      <c r="E16" s="291"/>
      <c r="F16" s="292">
        <v>0</v>
      </c>
      <c r="G16" s="292">
        <v>0</v>
      </c>
      <c r="H16" s="292">
        <v>0</v>
      </c>
      <c r="I16" s="292">
        <v>0</v>
      </c>
      <c r="J16" s="292">
        <v>0</v>
      </c>
      <c r="K16" s="292">
        <v>0</v>
      </c>
      <c r="L16" s="292">
        <v>0</v>
      </c>
      <c r="M16" s="292">
        <v>0</v>
      </c>
      <c r="N16" s="292">
        <v>0</v>
      </c>
      <c r="O16" s="292">
        <v>0</v>
      </c>
      <c r="P16" s="292">
        <v>0</v>
      </c>
      <c r="Q16" s="292">
        <v>0</v>
      </c>
      <c r="R16" s="292">
        <f t="shared" si="1"/>
        <v>0</v>
      </c>
      <c r="S16" s="292">
        <v>0</v>
      </c>
      <c r="T16" s="292">
        <v>0</v>
      </c>
      <c r="U16" s="292">
        <v>0</v>
      </c>
      <c r="V16" s="292">
        <v>0</v>
      </c>
      <c r="W16" s="292">
        <v>0</v>
      </c>
      <c r="X16" s="292">
        <v>0</v>
      </c>
      <c r="Y16" s="292">
        <v>0</v>
      </c>
      <c r="Z16" s="292">
        <v>0</v>
      </c>
      <c r="AA16" s="292">
        <v>0</v>
      </c>
      <c r="AB16" s="292">
        <v>0</v>
      </c>
      <c r="AC16" s="292">
        <v>0</v>
      </c>
      <c r="AD16" s="292">
        <v>0</v>
      </c>
      <c r="AE16" s="292">
        <f t="shared" si="13"/>
        <v>0</v>
      </c>
      <c r="AF16" s="292"/>
      <c r="AG16" s="292">
        <v>0</v>
      </c>
      <c r="AH16" s="292">
        <v>0</v>
      </c>
      <c r="AI16" s="292">
        <v>0</v>
      </c>
      <c r="AJ16" s="292">
        <v>0</v>
      </c>
      <c r="AK16" s="292">
        <v>0</v>
      </c>
      <c r="AL16" s="292">
        <v>0</v>
      </c>
      <c r="AM16" s="292">
        <v>0</v>
      </c>
      <c r="AN16" s="292">
        <v>0</v>
      </c>
      <c r="AO16" s="292">
        <v>0</v>
      </c>
      <c r="AP16" s="292">
        <v>0</v>
      </c>
      <c r="AQ16" s="292">
        <v>0</v>
      </c>
      <c r="AR16" s="292">
        <v>0</v>
      </c>
      <c r="AS16" s="292">
        <f t="shared" si="25"/>
        <v>0</v>
      </c>
      <c r="AT16" s="292">
        <v>0</v>
      </c>
      <c r="AU16" s="292">
        <v>0</v>
      </c>
      <c r="AV16" s="292">
        <v>0</v>
      </c>
      <c r="AW16" s="292">
        <v>0</v>
      </c>
      <c r="AX16" s="292">
        <v>0</v>
      </c>
      <c r="AY16" s="292">
        <v>0</v>
      </c>
      <c r="AZ16" s="292">
        <v>0</v>
      </c>
      <c r="BA16" s="292">
        <v>0</v>
      </c>
      <c r="BB16" s="292">
        <v>0</v>
      </c>
      <c r="BC16" s="292">
        <v>0</v>
      </c>
      <c r="BD16" s="292">
        <v>0</v>
      </c>
      <c r="BE16" s="292">
        <v>0</v>
      </c>
      <c r="BF16" s="292">
        <f t="shared" si="37"/>
        <v>0</v>
      </c>
      <c r="BG16" s="292">
        <f t="shared" ref="BG16:BG17" si="44">BF16-AS16</f>
        <v>0</v>
      </c>
      <c r="BH16" s="292">
        <f t="shared" ref="BH16:BH17" si="45">BG16-AF16</f>
        <v>0</v>
      </c>
    </row>
    <row r="17" spans="2:60" ht="24.75" hidden="1" customHeight="1">
      <c r="B17" s="290"/>
      <c r="C17" s="291"/>
      <c r="D17" s="293"/>
      <c r="E17" s="291"/>
      <c r="F17" s="292">
        <v>0</v>
      </c>
      <c r="G17" s="292">
        <v>0</v>
      </c>
      <c r="H17" s="292">
        <v>0</v>
      </c>
      <c r="I17" s="292">
        <v>0</v>
      </c>
      <c r="J17" s="292">
        <v>0</v>
      </c>
      <c r="K17" s="292">
        <v>0</v>
      </c>
      <c r="L17" s="292">
        <v>0</v>
      </c>
      <c r="M17" s="292">
        <v>0</v>
      </c>
      <c r="N17" s="292">
        <v>0</v>
      </c>
      <c r="O17" s="292">
        <v>0</v>
      </c>
      <c r="P17" s="292">
        <v>0</v>
      </c>
      <c r="Q17" s="292">
        <v>0</v>
      </c>
      <c r="R17" s="292">
        <f t="shared" si="1"/>
        <v>0</v>
      </c>
      <c r="S17" s="292">
        <v>0</v>
      </c>
      <c r="T17" s="292">
        <v>0</v>
      </c>
      <c r="U17" s="292">
        <v>0</v>
      </c>
      <c r="V17" s="292">
        <v>0</v>
      </c>
      <c r="W17" s="292">
        <v>0</v>
      </c>
      <c r="X17" s="292">
        <v>0</v>
      </c>
      <c r="Y17" s="292">
        <v>0</v>
      </c>
      <c r="Z17" s="292">
        <v>0</v>
      </c>
      <c r="AA17" s="292">
        <v>0</v>
      </c>
      <c r="AB17" s="292">
        <v>0</v>
      </c>
      <c r="AC17" s="292">
        <v>0</v>
      </c>
      <c r="AD17" s="292">
        <v>0</v>
      </c>
      <c r="AE17" s="292">
        <f t="shared" si="13"/>
        <v>0</v>
      </c>
      <c r="AF17" s="292"/>
      <c r="AG17" s="292">
        <v>0</v>
      </c>
      <c r="AH17" s="292">
        <v>0</v>
      </c>
      <c r="AI17" s="292">
        <v>0</v>
      </c>
      <c r="AJ17" s="292">
        <v>0</v>
      </c>
      <c r="AK17" s="292">
        <v>0</v>
      </c>
      <c r="AL17" s="292">
        <v>0</v>
      </c>
      <c r="AM17" s="292">
        <v>0</v>
      </c>
      <c r="AN17" s="292">
        <v>0</v>
      </c>
      <c r="AO17" s="292">
        <v>0</v>
      </c>
      <c r="AP17" s="292">
        <v>0</v>
      </c>
      <c r="AQ17" s="292">
        <v>0</v>
      </c>
      <c r="AR17" s="292">
        <v>0</v>
      </c>
      <c r="AS17" s="292">
        <f t="shared" si="25"/>
        <v>0</v>
      </c>
      <c r="AT17" s="292">
        <v>0</v>
      </c>
      <c r="AU17" s="292">
        <v>0</v>
      </c>
      <c r="AV17" s="292">
        <v>0</v>
      </c>
      <c r="AW17" s="292">
        <v>0</v>
      </c>
      <c r="AX17" s="292">
        <v>0</v>
      </c>
      <c r="AY17" s="292">
        <v>0</v>
      </c>
      <c r="AZ17" s="292">
        <v>0</v>
      </c>
      <c r="BA17" s="292">
        <v>0</v>
      </c>
      <c r="BB17" s="292">
        <v>0</v>
      </c>
      <c r="BC17" s="292">
        <v>0</v>
      </c>
      <c r="BD17" s="292">
        <v>0</v>
      </c>
      <c r="BE17" s="292">
        <v>0</v>
      </c>
      <c r="BF17" s="292">
        <f t="shared" si="37"/>
        <v>0</v>
      </c>
      <c r="BG17" s="292">
        <f t="shared" si="44"/>
        <v>0</v>
      </c>
      <c r="BH17" s="292">
        <f t="shared" si="45"/>
        <v>0</v>
      </c>
    </row>
    <row r="18" spans="2:60" ht="24.75" hidden="1" customHeight="1">
      <c r="B18" s="228" t="str">
        <f>IF(Indice_index!$Z$1=1,"Efeito na Despesa","Effect on Expenditure")</f>
        <v>Efeito na Despesa</v>
      </c>
      <c r="C18" s="229"/>
      <c r="D18" s="229"/>
      <c r="E18" s="229"/>
      <c r="F18" s="236">
        <f>SUM(F19:F22)</f>
        <v>0</v>
      </c>
      <c r="G18" s="236">
        <f t="shared" ref="G18:Q18" si="46">SUM(G19:G22)</f>
        <v>0</v>
      </c>
      <c r="H18" s="236">
        <f t="shared" si="46"/>
        <v>0</v>
      </c>
      <c r="I18" s="236">
        <f t="shared" si="46"/>
        <v>0</v>
      </c>
      <c r="J18" s="236">
        <f t="shared" si="46"/>
        <v>0</v>
      </c>
      <c r="K18" s="236">
        <f t="shared" si="46"/>
        <v>0</v>
      </c>
      <c r="L18" s="236">
        <f t="shared" si="46"/>
        <v>0</v>
      </c>
      <c r="M18" s="236">
        <f t="shared" si="46"/>
        <v>0</v>
      </c>
      <c r="N18" s="236">
        <f t="shared" si="46"/>
        <v>0</v>
      </c>
      <c r="O18" s="236">
        <f t="shared" si="46"/>
        <v>0</v>
      </c>
      <c r="P18" s="236">
        <f t="shared" si="46"/>
        <v>0</v>
      </c>
      <c r="Q18" s="236">
        <f t="shared" si="46"/>
        <v>0</v>
      </c>
      <c r="R18" s="236">
        <f t="shared" si="1"/>
        <v>0</v>
      </c>
      <c r="S18" s="236">
        <f>SUM(S19:S22)</f>
        <v>0</v>
      </c>
      <c r="T18" s="236">
        <f t="shared" ref="T18" si="47">SUM(T19:T22)</f>
        <v>0</v>
      </c>
      <c r="U18" s="236">
        <f t="shared" ref="U18" si="48">SUM(U19:U22)</f>
        <v>0</v>
      </c>
      <c r="V18" s="236">
        <f t="shared" ref="V18" si="49">SUM(V19:V22)</f>
        <v>0</v>
      </c>
      <c r="W18" s="236">
        <f t="shared" ref="W18" si="50">SUM(W19:W22)</f>
        <v>0</v>
      </c>
      <c r="X18" s="236">
        <f t="shared" ref="X18" si="51">SUM(X19:X22)</f>
        <v>0</v>
      </c>
      <c r="Y18" s="236">
        <f t="shared" ref="Y18" si="52">SUM(Y19:Y22)</f>
        <v>0</v>
      </c>
      <c r="Z18" s="236">
        <f t="shared" ref="Z18" si="53">SUM(Z19:Z22)</f>
        <v>0</v>
      </c>
      <c r="AA18" s="236">
        <f t="shared" ref="AA18" si="54">SUM(AA19:AA22)</f>
        <v>0</v>
      </c>
      <c r="AB18" s="236">
        <f t="shared" ref="AB18" si="55">SUM(AB19:AB22)</f>
        <v>0</v>
      </c>
      <c r="AC18" s="236">
        <f t="shared" ref="AC18" si="56">SUM(AC19:AC22)</f>
        <v>0</v>
      </c>
      <c r="AD18" s="236">
        <f t="shared" ref="AD18" si="57">SUM(AD19:AD22)</f>
        <v>0</v>
      </c>
      <c r="AE18" s="236">
        <f t="shared" si="13"/>
        <v>0</v>
      </c>
      <c r="AF18" s="236">
        <f>AE18-R18</f>
        <v>0</v>
      </c>
      <c r="AG18" s="236">
        <f>SUM(AG19:AG22)</f>
        <v>0</v>
      </c>
      <c r="AH18" s="236">
        <f t="shared" ref="AH18" si="58">SUM(AH19:AH22)</f>
        <v>0</v>
      </c>
      <c r="AI18" s="236">
        <f t="shared" ref="AI18" si="59">SUM(AI19:AI22)</f>
        <v>0</v>
      </c>
      <c r="AJ18" s="236">
        <f t="shared" ref="AJ18" si="60">SUM(AJ19:AJ22)</f>
        <v>0</v>
      </c>
      <c r="AK18" s="236">
        <f t="shared" ref="AK18" si="61">SUM(AK19:AK22)</f>
        <v>0</v>
      </c>
      <c r="AL18" s="236">
        <f t="shared" ref="AL18" si="62">SUM(AL19:AL22)</f>
        <v>0</v>
      </c>
      <c r="AM18" s="236">
        <f t="shared" ref="AM18" si="63">SUM(AM19:AM22)</f>
        <v>0</v>
      </c>
      <c r="AN18" s="236">
        <f t="shared" ref="AN18" si="64">SUM(AN19:AN22)</f>
        <v>0</v>
      </c>
      <c r="AO18" s="236">
        <f t="shared" ref="AO18" si="65">SUM(AO19:AO22)</f>
        <v>0</v>
      </c>
      <c r="AP18" s="236">
        <f t="shared" ref="AP18" si="66">SUM(AP19:AP22)</f>
        <v>0</v>
      </c>
      <c r="AQ18" s="236">
        <f t="shared" ref="AQ18" si="67">SUM(AQ19:AQ22)</f>
        <v>0</v>
      </c>
      <c r="AR18" s="236">
        <f t="shared" ref="AR18" si="68">SUM(AR19:AR22)</f>
        <v>0</v>
      </c>
      <c r="AS18" s="236">
        <f t="shared" si="25"/>
        <v>0</v>
      </c>
      <c r="AT18" s="236">
        <f>SUM(AT19:AT22)</f>
        <v>0</v>
      </c>
      <c r="AU18" s="236">
        <f t="shared" ref="AU18" si="69">SUM(AU19:AU22)</f>
        <v>0</v>
      </c>
      <c r="AV18" s="236">
        <f t="shared" ref="AV18" si="70">SUM(AV19:AV22)</f>
        <v>0</v>
      </c>
      <c r="AW18" s="236">
        <f t="shared" ref="AW18" si="71">SUM(AW19:AW22)</f>
        <v>0</v>
      </c>
      <c r="AX18" s="236">
        <f t="shared" ref="AX18" si="72">SUM(AX19:AX22)</f>
        <v>0</v>
      </c>
      <c r="AY18" s="236">
        <f t="shared" ref="AY18" si="73">SUM(AY19:AY22)</f>
        <v>0</v>
      </c>
      <c r="AZ18" s="236">
        <f t="shared" ref="AZ18" si="74">SUM(AZ19:AZ22)</f>
        <v>0</v>
      </c>
      <c r="BA18" s="236">
        <f t="shared" ref="BA18" si="75">SUM(BA19:BA22)</f>
        <v>0</v>
      </c>
      <c r="BB18" s="236">
        <f t="shared" ref="BB18" si="76">SUM(BB19:BB22)</f>
        <v>0</v>
      </c>
      <c r="BC18" s="236">
        <f t="shared" ref="BC18" si="77">SUM(BC19:BC22)</f>
        <v>0</v>
      </c>
      <c r="BD18" s="236">
        <f t="shared" ref="BD18" si="78">SUM(BD19:BD22)</f>
        <v>0</v>
      </c>
      <c r="BE18" s="236">
        <f t="shared" ref="BE18" si="79">SUM(BE19:BE22)</f>
        <v>0</v>
      </c>
      <c r="BF18" s="236">
        <f t="shared" si="37"/>
        <v>0</v>
      </c>
      <c r="BG18" s="236">
        <f t="shared" si="38"/>
        <v>0</v>
      </c>
      <c r="BH18" s="236">
        <f t="shared" si="39"/>
        <v>0</v>
      </c>
    </row>
    <row r="19" spans="2:60" ht="24.75" hidden="1" customHeight="1">
      <c r="B19" s="290"/>
      <c r="C19" s="291"/>
      <c r="D19" s="291"/>
      <c r="E19" s="291"/>
      <c r="F19" s="292">
        <v>0</v>
      </c>
      <c r="G19" s="292">
        <v>0</v>
      </c>
      <c r="H19" s="292">
        <v>0</v>
      </c>
      <c r="I19" s="292">
        <v>0</v>
      </c>
      <c r="J19" s="292">
        <v>0</v>
      </c>
      <c r="K19" s="292">
        <v>0</v>
      </c>
      <c r="L19" s="292">
        <v>0</v>
      </c>
      <c r="M19" s="292">
        <v>0</v>
      </c>
      <c r="N19" s="292">
        <v>0</v>
      </c>
      <c r="O19" s="292">
        <v>0</v>
      </c>
      <c r="P19" s="292">
        <v>0</v>
      </c>
      <c r="Q19" s="292">
        <v>0</v>
      </c>
      <c r="R19" s="292">
        <f t="shared" ref="R19:R22" si="80">SUM(F19:Q19)</f>
        <v>0</v>
      </c>
      <c r="S19" s="292">
        <v>0</v>
      </c>
      <c r="T19" s="292">
        <v>0</v>
      </c>
      <c r="U19" s="292">
        <v>0</v>
      </c>
      <c r="V19" s="292">
        <v>0</v>
      </c>
      <c r="W19" s="292">
        <v>0</v>
      </c>
      <c r="X19" s="292">
        <v>0</v>
      </c>
      <c r="Y19" s="292">
        <v>0</v>
      </c>
      <c r="Z19" s="292">
        <v>0</v>
      </c>
      <c r="AA19" s="292">
        <v>0</v>
      </c>
      <c r="AB19" s="292">
        <v>0</v>
      </c>
      <c r="AC19" s="292">
        <v>0</v>
      </c>
      <c r="AD19" s="292">
        <v>0</v>
      </c>
      <c r="AE19" s="292">
        <f t="shared" si="13"/>
        <v>0</v>
      </c>
      <c r="AF19" s="292">
        <f t="shared" ref="AF19" si="81">AE19-R19</f>
        <v>0</v>
      </c>
      <c r="AG19" s="292">
        <v>0</v>
      </c>
      <c r="AH19" s="292">
        <v>0</v>
      </c>
      <c r="AI19" s="292">
        <v>0</v>
      </c>
      <c r="AJ19" s="292">
        <v>0</v>
      </c>
      <c r="AK19" s="292">
        <v>0</v>
      </c>
      <c r="AL19" s="292">
        <v>0</v>
      </c>
      <c r="AM19" s="292">
        <v>0</v>
      </c>
      <c r="AN19" s="292">
        <v>0</v>
      </c>
      <c r="AO19" s="292">
        <v>0</v>
      </c>
      <c r="AP19" s="292">
        <v>0</v>
      </c>
      <c r="AQ19" s="292">
        <v>0</v>
      </c>
      <c r="AR19" s="292">
        <v>0</v>
      </c>
      <c r="AS19" s="292">
        <f t="shared" si="25"/>
        <v>0</v>
      </c>
      <c r="AT19" s="292">
        <v>0</v>
      </c>
      <c r="AU19" s="292">
        <v>0</v>
      </c>
      <c r="AV19" s="292">
        <v>0</v>
      </c>
      <c r="AW19" s="292">
        <v>0</v>
      </c>
      <c r="AX19" s="292">
        <v>0</v>
      </c>
      <c r="AY19" s="292">
        <v>0</v>
      </c>
      <c r="AZ19" s="292">
        <v>0</v>
      </c>
      <c r="BA19" s="292">
        <v>0</v>
      </c>
      <c r="BB19" s="292">
        <v>0</v>
      </c>
      <c r="BC19" s="292">
        <v>0</v>
      </c>
      <c r="BD19" s="292">
        <v>0</v>
      </c>
      <c r="BE19" s="292">
        <v>0</v>
      </c>
      <c r="BF19" s="292">
        <f t="shared" si="37"/>
        <v>0</v>
      </c>
      <c r="BG19" s="292">
        <f t="shared" ref="BG19:BG22" si="82">BF19-AS19</f>
        <v>0</v>
      </c>
      <c r="BH19" s="292">
        <f t="shared" ref="BH19:BH22" si="83">BG19-AF19</f>
        <v>0</v>
      </c>
    </row>
    <row r="20" spans="2:60" ht="24.75" hidden="1" customHeight="1">
      <c r="B20" s="290"/>
      <c r="C20" s="291"/>
      <c r="D20" s="291"/>
      <c r="E20" s="291"/>
      <c r="F20" s="292">
        <v>0</v>
      </c>
      <c r="G20" s="292">
        <v>0</v>
      </c>
      <c r="H20" s="292">
        <v>0</v>
      </c>
      <c r="I20" s="292">
        <v>0</v>
      </c>
      <c r="J20" s="292">
        <v>0</v>
      </c>
      <c r="K20" s="292">
        <v>0</v>
      </c>
      <c r="L20" s="292">
        <v>0</v>
      </c>
      <c r="M20" s="292">
        <v>0</v>
      </c>
      <c r="N20" s="292">
        <v>0</v>
      </c>
      <c r="O20" s="292">
        <v>0</v>
      </c>
      <c r="P20" s="292">
        <v>0</v>
      </c>
      <c r="Q20" s="292">
        <v>0</v>
      </c>
      <c r="R20" s="292">
        <f t="shared" si="80"/>
        <v>0</v>
      </c>
      <c r="S20" s="292">
        <v>0</v>
      </c>
      <c r="T20" s="292">
        <v>0</v>
      </c>
      <c r="U20" s="292">
        <v>0</v>
      </c>
      <c r="V20" s="292">
        <v>0</v>
      </c>
      <c r="W20" s="292">
        <v>0</v>
      </c>
      <c r="X20" s="292">
        <v>0</v>
      </c>
      <c r="Y20" s="292">
        <v>0</v>
      </c>
      <c r="Z20" s="292">
        <v>0</v>
      </c>
      <c r="AA20" s="292">
        <v>0</v>
      </c>
      <c r="AB20" s="292">
        <v>0</v>
      </c>
      <c r="AC20" s="292">
        <v>0</v>
      </c>
      <c r="AD20" s="292">
        <v>0</v>
      </c>
      <c r="AE20" s="292">
        <f t="shared" si="13"/>
        <v>0</v>
      </c>
      <c r="AF20" s="292"/>
      <c r="AG20" s="292">
        <v>0</v>
      </c>
      <c r="AH20" s="292">
        <v>0</v>
      </c>
      <c r="AI20" s="292">
        <v>0</v>
      </c>
      <c r="AJ20" s="292">
        <v>0</v>
      </c>
      <c r="AK20" s="292">
        <v>0</v>
      </c>
      <c r="AL20" s="292">
        <v>0</v>
      </c>
      <c r="AM20" s="292">
        <v>0</v>
      </c>
      <c r="AN20" s="292">
        <v>0</v>
      </c>
      <c r="AO20" s="292">
        <v>0</v>
      </c>
      <c r="AP20" s="292">
        <v>0</v>
      </c>
      <c r="AQ20" s="292">
        <v>0</v>
      </c>
      <c r="AR20" s="292">
        <v>0</v>
      </c>
      <c r="AS20" s="292">
        <f t="shared" si="25"/>
        <v>0</v>
      </c>
      <c r="AT20" s="292">
        <v>0</v>
      </c>
      <c r="AU20" s="292">
        <v>0</v>
      </c>
      <c r="AV20" s="292">
        <v>0</v>
      </c>
      <c r="AW20" s="292">
        <v>0</v>
      </c>
      <c r="AX20" s="292">
        <v>0</v>
      </c>
      <c r="AY20" s="292">
        <v>0</v>
      </c>
      <c r="AZ20" s="292">
        <v>0</v>
      </c>
      <c r="BA20" s="292">
        <v>0</v>
      </c>
      <c r="BB20" s="292">
        <v>0</v>
      </c>
      <c r="BC20" s="292">
        <v>0</v>
      </c>
      <c r="BD20" s="292">
        <v>0</v>
      </c>
      <c r="BE20" s="292">
        <v>0</v>
      </c>
      <c r="BF20" s="292">
        <f t="shared" si="37"/>
        <v>0</v>
      </c>
      <c r="BG20" s="292">
        <f t="shared" si="82"/>
        <v>0</v>
      </c>
      <c r="BH20" s="292">
        <f t="shared" si="83"/>
        <v>0</v>
      </c>
    </row>
    <row r="21" spans="2:60" ht="24.75" hidden="1" customHeight="1">
      <c r="B21" s="290"/>
      <c r="C21" s="291"/>
      <c r="D21" s="291"/>
      <c r="E21" s="291"/>
      <c r="F21" s="292">
        <v>0</v>
      </c>
      <c r="G21" s="292">
        <v>0</v>
      </c>
      <c r="H21" s="292">
        <v>0</v>
      </c>
      <c r="I21" s="292">
        <v>0</v>
      </c>
      <c r="J21" s="292">
        <v>0</v>
      </c>
      <c r="K21" s="292">
        <v>0</v>
      </c>
      <c r="L21" s="292">
        <v>0</v>
      </c>
      <c r="M21" s="292">
        <v>0</v>
      </c>
      <c r="N21" s="292">
        <v>0</v>
      </c>
      <c r="O21" s="292">
        <v>0</v>
      </c>
      <c r="P21" s="292">
        <v>0</v>
      </c>
      <c r="Q21" s="292">
        <v>0</v>
      </c>
      <c r="R21" s="292">
        <f t="shared" si="80"/>
        <v>0</v>
      </c>
      <c r="S21" s="292">
        <v>0</v>
      </c>
      <c r="T21" s="292">
        <v>0</v>
      </c>
      <c r="U21" s="292">
        <v>0</v>
      </c>
      <c r="V21" s="292">
        <v>0</v>
      </c>
      <c r="W21" s="292">
        <v>0</v>
      </c>
      <c r="X21" s="292">
        <v>0</v>
      </c>
      <c r="Y21" s="292">
        <v>0</v>
      </c>
      <c r="Z21" s="292">
        <v>0</v>
      </c>
      <c r="AA21" s="292">
        <v>0</v>
      </c>
      <c r="AB21" s="292">
        <v>0</v>
      </c>
      <c r="AC21" s="292">
        <v>0</v>
      </c>
      <c r="AD21" s="292">
        <v>0</v>
      </c>
      <c r="AE21" s="292">
        <f t="shared" si="13"/>
        <v>0</v>
      </c>
      <c r="AF21" s="292"/>
      <c r="AG21" s="292">
        <v>0</v>
      </c>
      <c r="AH21" s="292">
        <v>0</v>
      </c>
      <c r="AI21" s="292">
        <v>0</v>
      </c>
      <c r="AJ21" s="292">
        <v>0</v>
      </c>
      <c r="AK21" s="292">
        <v>0</v>
      </c>
      <c r="AL21" s="292">
        <v>0</v>
      </c>
      <c r="AM21" s="292">
        <v>0</v>
      </c>
      <c r="AN21" s="292">
        <v>0</v>
      </c>
      <c r="AO21" s="292">
        <v>0</v>
      </c>
      <c r="AP21" s="292">
        <v>0</v>
      </c>
      <c r="AQ21" s="292">
        <v>0</v>
      </c>
      <c r="AR21" s="292">
        <v>0</v>
      </c>
      <c r="AS21" s="292">
        <f t="shared" si="25"/>
        <v>0</v>
      </c>
      <c r="AT21" s="292">
        <v>0</v>
      </c>
      <c r="AU21" s="292">
        <v>0</v>
      </c>
      <c r="AV21" s="292">
        <v>0</v>
      </c>
      <c r="AW21" s="292">
        <v>0</v>
      </c>
      <c r="AX21" s="292">
        <v>0</v>
      </c>
      <c r="AY21" s="292">
        <v>0</v>
      </c>
      <c r="AZ21" s="292">
        <v>0</v>
      </c>
      <c r="BA21" s="292">
        <v>0</v>
      </c>
      <c r="BB21" s="292">
        <v>0</v>
      </c>
      <c r="BC21" s="292">
        <v>0</v>
      </c>
      <c r="BD21" s="292">
        <v>0</v>
      </c>
      <c r="BE21" s="292">
        <v>0</v>
      </c>
      <c r="BF21" s="292">
        <f t="shared" si="37"/>
        <v>0</v>
      </c>
      <c r="BG21" s="292">
        <f t="shared" si="82"/>
        <v>0</v>
      </c>
      <c r="BH21" s="292">
        <f t="shared" si="83"/>
        <v>0</v>
      </c>
    </row>
    <row r="22" spans="2:60" ht="24.75" hidden="1" customHeight="1">
      <c r="B22" s="290"/>
      <c r="C22" s="291"/>
      <c r="D22" s="291"/>
      <c r="E22" s="291"/>
      <c r="F22" s="292">
        <v>0</v>
      </c>
      <c r="G22" s="292">
        <v>0</v>
      </c>
      <c r="H22" s="292">
        <v>0</v>
      </c>
      <c r="I22" s="292">
        <v>0</v>
      </c>
      <c r="J22" s="292">
        <v>0</v>
      </c>
      <c r="K22" s="292">
        <v>0</v>
      </c>
      <c r="L22" s="292">
        <v>0</v>
      </c>
      <c r="M22" s="292">
        <v>0</v>
      </c>
      <c r="N22" s="292">
        <v>0</v>
      </c>
      <c r="O22" s="292">
        <v>0</v>
      </c>
      <c r="P22" s="292">
        <v>0</v>
      </c>
      <c r="Q22" s="292">
        <v>0</v>
      </c>
      <c r="R22" s="292">
        <f t="shared" si="80"/>
        <v>0</v>
      </c>
      <c r="S22" s="292">
        <v>0</v>
      </c>
      <c r="T22" s="292">
        <v>0</v>
      </c>
      <c r="U22" s="292">
        <v>0</v>
      </c>
      <c r="V22" s="292">
        <v>0</v>
      </c>
      <c r="W22" s="292">
        <v>0</v>
      </c>
      <c r="X22" s="292">
        <v>0</v>
      </c>
      <c r="Y22" s="292">
        <v>0</v>
      </c>
      <c r="Z22" s="292">
        <v>0</v>
      </c>
      <c r="AA22" s="292">
        <v>0</v>
      </c>
      <c r="AB22" s="292">
        <v>0</v>
      </c>
      <c r="AC22" s="292">
        <v>0</v>
      </c>
      <c r="AD22" s="292">
        <v>0</v>
      </c>
      <c r="AE22" s="292">
        <f t="shared" si="13"/>
        <v>0</v>
      </c>
      <c r="AF22" s="292"/>
      <c r="AG22" s="292">
        <v>0</v>
      </c>
      <c r="AH22" s="292">
        <v>0</v>
      </c>
      <c r="AI22" s="292">
        <v>0</v>
      </c>
      <c r="AJ22" s="292">
        <v>0</v>
      </c>
      <c r="AK22" s="292">
        <v>0</v>
      </c>
      <c r="AL22" s="292">
        <v>0</v>
      </c>
      <c r="AM22" s="292">
        <v>0</v>
      </c>
      <c r="AN22" s="292">
        <v>0</v>
      </c>
      <c r="AO22" s="292">
        <v>0</v>
      </c>
      <c r="AP22" s="292">
        <v>0</v>
      </c>
      <c r="AQ22" s="292">
        <v>0</v>
      </c>
      <c r="AR22" s="292">
        <v>0</v>
      </c>
      <c r="AS22" s="292">
        <f t="shared" si="25"/>
        <v>0</v>
      </c>
      <c r="AT22" s="292">
        <v>0</v>
      </c>
      <c r="AU22" s="292">
        <v>0</v>
      </c>
      <c r="AV22" s="292">
        <v>0</v>
      </c>
      <c r="AW22" s="292">
        <v>0</v>
      </c>
      <c r="AX22" s="292">
        <v>0</v>
      </c>
      <c r="AY22" s="292">
        <v>0</v>
      </c>
      <c r="AZ22" s="292">
        <v>0</v>
      </c>
      <c r="BA22" s="292">
        <v>0</v>
      </c>
      <c r="BB22" s="292">
        <v>0</v>
      </c>
      <c r="BC22" s="292">
        <v>0</v>
      </c>
      <c r="BD22" s="292">
        <v>0</v>
      </c>
      <c r="BE22" s="292">
        <v>0</v>
      </c>
      <c r="BF22" s="292">
        <f t="shared" si="37"/>
        <v>0</v>
      </c>
      <c r="BG22" s="292">
        <f t="shared" si="82"/>
        <v>0</v>
      </c>
      <c r="BH22" s="292">
        <f t="shared" si="83"/>
        <v>0</v>
      </c>
    </row>
    <row r="23" spans="2:60" ht="24.75" customHeight="1">
      <c r="B23" s="230" t="str">
        <f>IF(Indice_index!$Z$1=1,"Impacto no Saldo","Balance Impact")</f>
        <v>Impacto no Saldo</v>
      </c>
      <c r="C23" s="231"/>
      <c r="D23" s="231"/>
      <c r="E23" s="231"/>
      <c r="F23" s="237">
        <f t="shared" ref="F23:Q23" si="84">F13-F18</f>
        <v>0</v>
      </c>
      <c r="G23" s="237">
        <f t="shared" si="84"/>
        <v>65</v>
      </c>
      <c r="H23" s="237">
        <f t="shared" si="84"/>
        <v>0</v>
      </c>
      <c r="I23" s="237">
        <f t="shared" si="84"/>
        <v>0</v>
      </c>
      <c r="J23" s="237">
        <f t="shared" si="84"/>
        <v>0</v>
      </c>
      <c r="K23" s="237">
        <f t="shared" si="84"/>
        <v>0</v>
      </c>
      <c r="L23" s="237">
        <f t="shared" si="84"/>
        <v>0</v>
      </c>
      <c r="M23" s="237">
        <f t="shared" si="84"/>
        <v>0</v>
      </c>
      <c r="N23" s="237">
        <f t="shared" si="84"/>
        <v>0</v>
      </c>
      <c r="O23" s="237">
        <f t="shared" si="84"/>
        <v>0</v>
      </c>
      <c r="P23" s="237">
        <f t="shared" si="84"/>
        <v>0</v>
      </c>
      <c r="Q23" s="237">
        <f t="shared" si="84"/>
        <v>0</v>
      </c>
      <c r="R23" s="237">
        <f t="shared" si="1"/>
        <v>65</v>
      </c>
      <c r="S23" s="237">
        <f t="shared" ref="S23:AD23" si="85">S13-S18</f>
        <v>0</v>
      </c>
      <c r="T23" s="237">
        <f t="shared" si="85"/>
        <v>0</v>
      </c>
      <c r="U23" s="237">
        <f t="shared" si="85"/>
        <v>0</v>
      </c>
      <c r="V23" s="237">
        <f t="shared" si="85"/>
        <v>0</v>
      </c>
      <c r="W23" s="237">
        <f t="shared" si="85"/>
        <v>0</v>
      </c>
      <c r="X23" s="237">
        <f t="shared" si="85"/>
        <v>0</v>
      </c>
      <c r="Y23" s="237">
        <f t="shared" si="85"/>
        <v>0</v>
      </c>
      <c r="Z23" s="237">
        <f t="shared" si="85"/>
        <v>0</v>
      </c>
      <c r="AA23" s="237">
        <f t="shared" si="85"/>
        <v>0</v>
      </c>
      <c r="AB23" s="237">
        <f t="shared" si="85"/>
        <v>0</v>
      </c>
      <c r="AC23" s="237">
        <f t="shared" si="85"/>
        <v>0</v>
      </c>
      <c r="AD23" s="237">
        <f t="shared" si="85"/>
        <v>0</v>
      </c>
      <c r="AE23" s="237">
        <f t="shared" si="13"/>
        <v>0</v>
      </c>
      <c r="AF23" s="237">
        <f t="shared" si="40"/>
        <v>-65</v>
      </c>
      <c r="AG23" s="237">
        <f t="shared" ref="AG23:AR23" si="86">AG13-AG18</f>
        <v>153.53635491000003</v>
      </c>
      <c r="AH23" s="237">
        <f t="shared" si="86"/>
        <v>397.24725670999999</v>
      </c>
      <c r="AI23" s="237">
        <f t="shared" si="86"/>
        <v>0</v>
      </c>
      <c r="AJ23" s="237">
        <f t="shared" si="86"/>
        <v>0</v>
      </c>
      <c r="AK23" s="237">
        <f t="shared" si="86"/>
        <v>0</v>
      </c>
      <c r="AL23" s="237">
        <f t="shared" si="86"/>
        <v>0</v>
      </c>
      <c r="AM23" s="237">
        <f t="shared" si="86"/>
        <v>0</v>
      </c>
      <c r="AN23" s="237">
        <f t="shared" si="86"/>
        <v>0</v>
      </c>
      <c r="AO23" s="237">
        <f t="shared" si="86"/>
        <v>0</v>
      </c>
      <c r="AP23" s="237">
        <f t="shared" si="86"/>
        <v>0</v>
      </c>
      <c r="AQ23" s="237">
        <f t="shared" si="86"/>
        <v>0</v>
      </c>
      <c r="AR23" s="237">
        <f t="shared" si="86"/>
        <v>0</v>
      </c>
      <c r="AS23" s="237">
        <f t="shared" si="25"/>
        <v>550.78361161999999</v>
      </c>
      <c r="AT23" s="237">
        <f t="shared" ref="AT23:BE23" si="87">AT13-AT18</f>
        <v>182.47846182333336</v>
      </c>
      <c r="AU23" s="237">
        <f t="shared" si="87"/>
        <v>507.72996262500004</v>
      </c>
      <c r="AV23" s="237">
        <f t="shared" si="87"/>
        <v>0</v>
      </c>
      <c r="AW23" s="237">
        <f t="shared" si="87"/>
        <v>0</v>
      </c>
      <c r="AX23" s="237">
        <f t="shared" si="87"/>
        <v>0</v>
      </c>
      <c r="AY23" s="237">
        <f t="shared" si="87"/>
        <v>0</v>
      </c>
      <c r="AZ23" s="237">
        <f t="shared" si="87"/>
        <v>0</v>
      </c>
      <c r="BA23" s="237">
        <f t="shared" si="87"/>
        <v>0</v>
      </c>
      <c r="BB23" s="237">
        <f t="shared" si="87"/>
        <v>0</v>
      </c>
      <c r="BC23" s="237">
        <f t="shared" si="87"/>
        <v>0</v>
      </c>
      <c r="BD23" s="237">
        <f t="shared" si="87"/>
        <v>0</v>
      </c>
      <c r="BE23" s="237">
        <f t="shared" si="87"/>
        <v>0</v>
      </c>
      <c r="BF23" s="237">
        <f t="shared" si="37"/>
        <v>690.2084244483334</v>
      </c>
      <c r="BG23" s="237">
        <f t="shared" si="38"/>
        <v>139.42481282833342</v>
      </c>
      <c r="BH23" s="237">
        <f t="shared" si="39"/>
        <v>204.42481282833342</v>
      </c>
    </row>
    <row r="24" spans="2:60" s="3" customFormat="1" ht="15" customHeight="1">
      <c r="B24" s="9" t="str">
        <f>IF(Indice_index!$Z$1=1,"Notas:","Notes:")</f>
        <v>Notas:</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2:60" ht="13.5" customHeight="1">
      <c r="B25" s="378" t="str">
        <f>IF(Indice_index!$Z$1=1,"[*] O efeito em contas nacionais deve ser analisado como comparação entre variações, e não como impacto no saldo nesta ótica.","[*] The effect on national accounts should be analysed as a comparison of changes, not just as an impact on the balance.")</f>
        <v>[*] O efeito em contas nacionais deve ser analisado como comparação entre variações, e não como impacto no saldo nesta ótica.</v>
      </c>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row>
    <row r="26" spans="2:60" ht="36.75" customHeight="1">
      <c r="B26" s="378" t="str">
        <f>IF(Indice_index!$Z$1=1,B99,B100)</f>
        <v>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v>
      </c>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row>
    <row r="27" spans="2:60" ht="25.5" customHeight="1">
      <c r="B27" s="378" t="str">
        <f>IF(Indice_index!$Z$1=1,"O quadro apresentado explicita operações específicas, "&amp;"nos períodos orçamentais em análise, que implicam um registo distinto e têm um impacto diferente em contabilidade pública e em contabilidade nacional em função dos princípios preconizados por cada ótica.","The presented table outlines various transactions within the analysed budget periods that involve different recording methods and have distinct impacts on public accounting and national accounts based on their respective principles.")</f>
        <v>O quadro apresentado explicita operações específicas, nos períodos orçamentais em análise, que implicam um registo distinto e têm um impacto diferente em contabilidade pública e em contabilidade nacional em função dos princípios preconizados por cada ótica.</v>
      </c>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row>
    <row r="28" spans="2:60" ht="15" customHeight="1">
      <c r="B28" s="464" t="str">
        <f>IF(Indice_index!$Z$1=1,"Fonte: Entidade Orçamental.","Source: Budgetary Entity.")</f>
        <v>Fonte: Entidade Orçamental.</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4"/>
      <c r="AZ28" s="464"/>
      <c r="BA28" s="464"/>
      <c r="BB28" s="464"/>
      <c r="BC28" s="464"/>
      <c r="BD28" s="464"/>
      <c r="BE28" s="464"/>
      <c r="BF28" s="464"/>
      <c r="BG28" s="464"/>
      <c r="BH28" s="464"/>
    </row>
    <row r="29" spans="2:60" ht="14.1" customHeight="1">
      <c r="B29" s="227"/>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row>
    <row r="30" spans="2:60" ht="14.1" customHeight="1">
      <c r="B30" s="227"/>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row>
    <row r="31" spans="2:60" ht="14.1" hidden="1" customHeight="1">
      <c r="B31" s="227"/>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row>
    <row r="32" spans="2:60" ht="14.1" hidden="1" customHeight="1">
      <c r="B32" s="227"/>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row>
    <row r="33" spans="2:63" ht="14.1" hidden="1" customHeight="1">
      <c r="B33" s="227"/>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row>
    <row r="34" spans="2:63" ht="14.1" hidden="1" customHeight="1">
      <c r="B34" s="227"/>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row>
    <row r="35" spans="2:63" ht="14.1" hidden="1" customHeight="1">
      <c r="B35" s="227"/>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row>
    <row r="36" spans="2:63" ht="14.1" hidden="1" customHeight="1">
      <c r="B36" s="227"/>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row>
    <row r="37" spans="2:63" ht="24" hidden="1" customHeight="1">
      <c r="B37" s="23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row>
    <row r="38" spans="2:63" ht="14.1" hidden="1" customHeight="1">
      <c r="B38" s="227"/>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row>
    <row r="39" spans="2:63" ht="14.1" hidden="1" customHeight="1">
      <c r="B39" s="232"/>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row>
    <row r="40" spans="2:63" ht="14.1" hidden="1" customHeight="1">
      <c r="B40" s="232"/>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row>
    <row r="41" spans="2:63" ht="15" hidden="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2:63" ht="24.75" hidden="1" customHeight="1">
      <c r="BI42" s="226"/>
      <c r="BJ42" s="226"/>
      <c r="BK42" s="30"/>
    </row>
    <row r="43" spans="2:63" ht="15" hidden="1">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27"/>
      <c r="BJ43" s="27"/>
      <c r="BK43" s="147"/>
    </row>
    <row r="44" spans="2:63" ht="15" hidden="1">
      <c r="B44" s="383"/>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c r="AQ44" s="383"/>
      <c r="AR44" s="383"/>
      <c r="AS44" s="383"/>
      <c r="AT44" s="383"/>
      <c r="AU44" s="383"/>
      <c r="AV44" s="383"/>
      <c r="AW44" s="383"/>
      <c r="AX44" s="383"/>
      <c r="AY44" s="383"/>
      <c r="AZ44" s="383"/>
      <c r="BA44" s="383"/>
      <c r="BB44" s="383"/>
      <c r="BC44" s="383"/>
      <c r="BD44" s="383"/>
      <c r="BE44" s="383"/>
      <c r="BF44" s="383"/>
      <c r="BG44" s="383"/>
      <c r="BH44" s="383"/>
    </row>
    <row r="45" spans="2:63" ht="15" hidden="1">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row>
    <row r="46" spans="2:63" ht="15" hidden="1">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row>
    <row r="47" spans="2:63" ht="15" hidden="1">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A47" s="383"/>
      <c r="BB47" s="383"/>
      <c r="BC47" s="383"/>
      <c r="BD47" s="383"/>
      <c r="BE47" s="383"/>
      <c r="BF47" s="383"/>
      <c r="BG47" s="383"/>
      <c r="BH47" s="383"/>
    </row>
    <row r="48" spans="2:63" ht="14.85" customHeight="1"/>
    <row r="49" ht="14.85" customHeight="1"/>
    <row r="50" ht="14.85" customHeight="1"/>
    <row r="51" ht="14.85" customHeight="1"/>
    <row r="52" ht="14.85" customHeight="1"/>
    <row r="53" ht="14.85" customHeight="1"/>
    <row r="64" ht="14.85" customHeight="1"/>
    <row r="65" ht="14.85" customHeight="1"/>
    <row r="66" ht="14.85" customHeight="1"/>
    <row r="67" ht="14.85" customHeight="1"/>
    <row r="68" ht="14.85" customHeight="1"/>
    <row r="69" ht="14.85" customHeight="1"/>
    <row r="80" ht="14.85" customHeight="1"/>
    <row r="81" ht="14.85" customHeight="1"/>
    <row r="82" ht="14.85" customHeight="1"/>
    <row r="83" ht="14.85" customHeight="1"/>
    <row r="84" ht="14.85" customHeight="1"/>
    <row r="85" ht="14.85" customHeight="1"/>
    <row r="87" ht="14.85" customHeight="1"/>
    <row r="96" ht="14.85" customHeight="1"/>
    <row r="97" spans="2:60" ht="14.85" customHeight="1"/>
    <row r="98" spans="2:60" ht="14.85" customHeight="1"/>
    <row r="99" spans="2:60" ht="34.35" hidden="1" customHeight="1">
      <c r="B99" s="378" t="s">
        <v>399</v>
      </c>
      <c r="C99" s="378"/>
      <c r="D99" s="378"/>
      <c r="E99" s="378"/>
      <c r="F99" s="378"/>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78"/>
      <c r="AU99" s="378"/>
      <c r="AV99" s="378"/>
      <c r="AW99" s="378"/>
      <c r="AX99" s="378"/>
      <c r="AY99" s="378"/>
      <c r="AZ99" s="378"/>
      <c r="BA99" s="378"/>
      <c r="BB99" s="378"/>
      <c r="BC99" s="378"/>
      <c r="BD99" s="378"/>
      <c r="BE99" s="378"/>
      <c r="BF99" s="378"/>
      <c r="BG99" s="378"/>
      <c r="BH99" s="378"/>
    </row>
    <row r="100" spans="2:60" ht="24.6" hidden="1" customHeight="1">
      <c r="B100" s="378" t="s">
        <v>412</v>
      </c>
      <c r="C100" s="378"/>
      <c r="D100" s="378"/>
      <c r="E100" s="378"/>
      <c r="F100" s="378"/>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8"/>
      <c r="AL100" s="378"/>
      <c r="AM100" s="378"/>
      <c r="AN100" s="378"/>
      <c r="AO100" s="378"/>
      <c r="AP100" s="378"/>
      <c r="AQ100" s="378"/>
      <c r="AR100" s="378"/>
      <c r="AS100" s="378"/>
      <c r="AT100" s="378"/>
      <c r="AU100" s="378"/>
      <c r="AV100" s="378"/>
      <c r="AW100" s="378"/>
      <c r="AX100" s="378"/>
      <c r="AY100" s="378"/>
      <c r="AZ100" s="378"/>
      <c r="BA100" s="378"/>
      <c r="BB100" s="378"/>
      <c r="BC100" s="378"/>
      <c r="BD100" s="378"/>
      <c r="BE100" s="378"/>
      <c r="BF100" s="378"/>
      <c r="BG100" s="378"/>
      <c r="BH100" s="378"/>
    </row>
    <row r="101" spans="2:60" ht="14.85" customHeight="1"/>
    <row r="102" spans="2:60" ht="14.85" customHeight="1"/>
    <row r="103" spans="2:60" ht="14.85" customHeight="1"/>
    <row r="104" spans="2:60" ht="14.85" customHeight="1"/>
    <row r="105" spans="2:60" ht="14.85" customHeight="1"/>
    <row r="106" spans="2:60" ht="14.85" customHeight="1"/>
    <row r="107" spans="2:60" ht="14.85" customHeight="1"/>
    <row r="108" spans="2:60" ht="14.85" customHeight="1"/>
    <row r="109" spans="2:60" ht="14.85" customHeight="1"/>
    <row r="110" spans="2:60" ht="14.85" customHeight="1"/>
    <row r="111" spans="2:60" ht="14.85" customHeight="1"/>
    <row r="112" spans="2:60" ht="14.85" customHeight="1"/>
    <row r="113" ht="14.85" customHeight="1"/>
  </sheetData>
  <mergeCells count="23">
    <mergeCell ref="F10:AF10"/>
    <mergeCell ref="AG10:BG10"/>
    <mergeCell ref="AF11:AF12"/>
    <mergeCell ref="BH11:BH12"/>
    <mergeCell ref="B46:BH46"/>
    <mergeCell ref="E10:E12"/>
    <mergeCell ref="D10:D12"/>
    <mergeCell ref="C10:C12"/>
    <mergeCell ref="B10:B12"/>
    <mergeCell ref="BG11:BG12"/>
    <mergeCell ref="B25:BH25"/>
    <mergeCell ref="B44:BH44"/>
    <mergeCell ref="B45:BH45"/>
    <mergeCell ref="B28:BH28"/>
    <mergeCell ref="B26:BH26"/>
    <mergeCell ref="B27:BH27"/>
    <mergeCell ref="B99:BH99"/>
    <mergeCell ref="B100:BH100"/>
    <mergeCell ref="B47:BH47"/>
    <mergeCell ref="F11:R11"/>
    <mergeCell ref="S11:AE11"/>
    <mergeCell ref="AG11:AS11"/>
    <mergeCell ref="AT11:BF11"/>
  </mergeCells>
  <conditionalFormatting sqref="C10:E10 F12:BH12 F14:BH17 F19:BH22 C24:BH24 C29:BH38">
    <cfRule type="cellIs" dxfId="1" priority="29" operator="equal">
      <formula>0</formula>
    </cfRule>
  </conditionalFormatting>
  <conditionalFormatting sqref="C13:E23">
    <cfRule type="cellIs" dxfId="0"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R13 AS13 AS23 R18 R23"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92"/>
  <sheetViews>
    <sheetView showGridLines="0" zoomScaleNormal="100" workbookViewId="0"/>
  </sheetViews>
  <sheetFormatPr defaultColWidth="0" defaultRowHeight="15" zeroHeight="1"/>
  <cols>
    <col min="1" max="1" width="8.5703125" style="92" customWidth="1"/>
    <col min="2" max="2" width="94" customWidth="1"/>
    <col min="3" max="3" width="9.42578125" customWidth="1"/>
    <col min="4" max="33" width="0" hidden="1" customWidth="1"/>
    <col min="34" max="16384" width="9.42578125" hidden="1"/>
  </cols>
  <sheetData>
    <row r="1" spans="1:2"/>
    <row r="2" spans="1:2"/>
    <row r="3" spans="1:2"/>
    <row r="4" spans="1:2"/>
    <row r="5" spans="1:2" ht="18" customHeight="1">
      <c r="A5"/>
      <c r="B5" s="254" t="str">
        <f>IF(Indice_index!$Z$1=1,"ANEXOS ESTATÍSTICOS","STATISTICAL ANNEXES")</f>
        <v>ANEXOS ESTATÍSTICOS</v>
      </c>
    </row>
    <row r="6" spans="1:2" ht="18" customHeight="1">
      <c r="A6"/>
      <c r="B6" s="255" t="str">
        <f>IF(Indice_index!$Z$1=1,"Fevereiro de 2026","February 2026")</f>
        <v>Fevereiro de 2026</v>
      </c>
    </row>
    <row r="7" spans="1:2" ht="48.75" customHeight="1">
      <c r="B7" s="12"/>
    </row>
    <row r="8" spans="1:2" ht="15.75">
      <c r="B8" s="114" t="str">
        <f>IF(Indice_index!$Z$1=1,"Quadro 25 - Lista de entidades da Administração Central em 2026","25 - Central Administration's list of entities in 2026")</f>
        <v>Quadro 25 - Lista de entidades da Administração Central em 2026</v>
      </c>
    </row>
    <row r="9" spans="1:2">
      <c r="B9" s="3"/>
    </row>
    <row r="10" spans="1:2" s="119" customFormat="1" ht="18" customHeight="1">
      <c r="B10" s="195" t="s">
        <v>388</v>
      </c>
    </row>
    <row r="11" spans="1:2" ht="13.5" customHeight="1">
      <c r="B11" s="196" t="s">
        <v>54</v>
      </c>
    </row>
    <row r="12" spans="1:2" ht="13.5" customHeight="1">
      <c r="B12" s="196" t="s">
        <v>419</v>
      </c>
    </row>
    <row r="13" spans="1:2" ht="13.5" customHeight="1">
      <c r="B13" s="196" t="s">
        <v>420</v>
      </c>
    </row>
    <row r="14" spans="1:2" ht="13.5" customHeight="1">
      <c r="B14" s="196" t="s">
        <v>421</v>
      </c>
    </row>
    <row r="15" spans="1:2" ht="13.5" customHeight="1">
      <c r="B15" s="196" t="s">
        <v>55</v>
      </c>
    </row>
    <row r="16" spans="1:2" ht="13.5" customHeight="1">
      <c r="B16" s="196" t="s">
        <v>56</v>
      </c>
    </row>
    <row r="17" spans="2:2" ht="13.5" customHeight="1">
      <c r="B17" s="196" t="s">
        <v>57</v>
      </c>
    </row>
    <row r="18" spans="2:2" ht="13.5" customHeight="1">
      <c r="B18" s="196" t="s">
        <v>400</v>
      </c>
    </row>
    <row r="19" spans="2:2" ht="13.5" customHeight="1">
      <c r="B19" s="196" t="s">
        <v>58</v>
      </c>
    </row>
    <row r="20" spans="2:2" ht="13.5" customHeight="1">
      <c r="B20" s="196" t="s">
        <v>59</v>
      </c>
    </row>
    <row r="21" spans="2:2" ht="13.5" customHeight="1">
      <c r="B21" s="196" t="s">
        <v>60</v>
      </c>
    </row>
    <row r="22" spans="2:2" ht="13.5" customHeight="1">
      <c r="B22" s="196" t="s">
        <v>367</v>
      </c>
    </row>
    <row r="23" spans="2:2" ht="13.5" customHeight="1">
      <c r="B23" s="196" t="s">
        <v>61</v>
      </c>
    </row>
    <row r="24" spans="2:2" ht="13.5" customHeight="1">
      <c r="B24" s="196" t="s">
        <v>331</v>
      </c>
    </row>
    <row r="25" spans="2:2" ht="13.5" customHeight="1">
      <c r="B25" s="196" t="s">
        <v>62</v>
      </c>
    </row>
    <row r="26" spans="2:2" ht="13.5" customHeight="1">
      <c r="B26" s="196" t="s">
        <v>422</v>
      </c>
    </row>
    <row r="27" spans="2:2" ht="13.5" customHeight="1">
      <c r="B27" s="196" t="s">
        <v>423</v>
      </c>
    </row>
    <row r="28" spans="2:2" ht="13.5" customHeight="1">
      <c r="B28" s="196" t="s">
        <v>545</v>
      </c>
    </row>
    <row r="29" spans="2:2" ht="13.5" customHeight="1">
      <c r="B29" s="196" t="s">
        <v>63</v>
      </c>
    </row>
    <row r="30" spans="2:2" ht="13.5" customHeight="1">
      <c r="B30" s="196" t="s">
        <v>64</v>
      </c>
    </row>
    <row r="31" spans="2:2" ht="13.5" customHeight="1">
      <c r="B31" s="196" t="s">
        <v>389</v>
      </c>
    </row>
    <row r="32" spans="2:2" ht="13.5" customHeight="1">
      <c r="B32" s="196" t="s">
        <v>65</v>
      </c>
    </row>
    <row r="33" spans="2:2" ht="13.5" customHeight="1">
      <c r="B33" s="196" t="s">
        <v>66</v>
      </c>
    </row>
    <row r="34" spans="2:2" ht="13.5" customHeight="1">
      <c r="B34" s="196" t="s">
        <v>67</v>
      </c>
    </row>
    <row r="35" spans="2:2" ht="13.5" customHeight="1">
      <c r="B35" s="196" t="s">
        <v>68</v>
      </c>
    </row>
    <row r="36" spans="2:2" ht="13.5" customHeight="1">
      <c r="B36" s="196" t="s">
        <v>424</v>
      </c>
    </row>
    <row r="37" spans="2:2" ht="13.5" customHeight="1">
      <c r="B37" s="196" t="s">
        <v>425</v>
      </c>
    </row>
    <row r="38" spans="2:2" s="119" customFormat="1" ht="13.5" customHeight="1">
      <c r="B38" s="196" t="s">
        <v>426</v>
      </c>
    </row>
    <row r="39" spans="2:2" ht="18" customHeight="1">
      <c r="B39" s="195" t="s">
        <v>575</v>
      </c>
    </row>
    <row r="40" spans="2:2" ht="13.5" customHeight="1">
      <c r="B40" s="196" t="s">
        <v>328</v>
      </c>
    </row>
    <row r="41" spans="2:2" ht="13.5" customHeight="1">
      <c r="B41" s="196" t="s">
        <v>427</v>
      </c>
    </row>
    <row r="42" spans="2:2" ht="13.5" customHeight="1">
      <c r="B42" s="196" t="s">
        <v>80</v>
      </c>
    </row>
    <row r="43" spans="2:2" ht="13.5" customHeight="1">
      <c r="B43" s="196" t="s">
        <v>83</v>
      </c>
    </row>
    <row r="44" spans="2:2" ht="13.5" customHeight="1">
      <c r="B44" s="196" t="s">
        <v>84</v>
      </c>
    </row>
    <row r="45" spans="2:2" ht="13.5" customHeight="1">
      <c r="B45" s="196" t="s">
        <v>85</v>
      </c>
    </row>
    <row r="46" spans="2:2" ht="13.5" customHeight="1">
      <c r="B46" s="196" t="s">
        <v>88</v>
      </c>
    </row>
    <row r="47" spans="2:2" ht="13.5" customHeight="1">
      <c r="B47" s="196" t="s">
        <v>184</v>
      </c>
    </row>
    <row r="48" spans="2:2" ht="13.5" customHeight="1">
      <c r="B48" s="196" t="s">
        <v>90</v>
      </c>
    </row>
    <row r="49" spans="2:2" ht="13.5" customHeight="1">
      <c r="B49" s="196" t="s">
        <v>91</v>
      </c>
    </row>
    <row r="50" spans="2:2" s="119" customFormat="1" ht="18" customHeight="1">
      <c r="B50" s="195" t="s">
        <v>576</v>
      </c>
    </row>
    <row r="51" spans="2:2" ht="13.5" customHeight="1">
      <c r="B51" s="196" t="s">
        <v>428</v>
      </c>
    </row>
    <row r="52" spans="2:2" ht="13.5" customHeight="1">
      <c r="B52" s="196" t="s">
        <v>429</v>
      </c>
    </row>
    <row r="53" spans="2:2" ht="13.5" customHeight="1">
      <c r="B53" s="196" t="s">
        <v>94</v>
      </c>
    </row>
    <row r="54" spans="2:2" ht="13.5" customHeight="1">
      <c r="B54" s="196" t="s">
        <v>95</v>
      </c>
    </row>
    <row r="55" spans="2:2" ht="13.5" customHeight="1">
      <c r="B55" s="196" t="s">
        <v>96</v>
      </c>
    </row>
    <row r="56" spans="2:2" ht="18" customHeight="1">
      <c r="B56" s="195" t="s">
        <v>577</v>
      </c>
    </row>
    <row r="57" spans="2:2" ht="13.5" customHeight="1">
      <c r="B57" s="196" t="s">
        <v>430</v>
      </c>
    </row>
    <row r="58" spans="2:2" ht="13.5" customHeight="1">
      <c r="B58" s="196" t="s">
        <v>431</v>
      </c>
    </row>
    <row r="59" spans="2:2" ht="13.5" customHeight="1">
      <c r="B59" s="196" t="s">
        <v>138</v>
      </c>
    </row>
    <row r="60" spans="2:2" ht="13.5" customHeight="1">
      <c r="B60" s="196" t="s">
        <v>139</v>
      </c>
    </row>
    <row r="61" spans="2:2" ht="13.5" customHeight="1">
      <c r="B61" s="196" t="s">
        <v>140</v>
      </c>
    </row>
    <row r="62" spans="2:2" ht="13.5" customHeight="1">
      <c r="B62" s="196" t="s">
        <v>141</v>
      </c>
    </row>
    <row r="63" spans="2:2" ht="13.5" customHeight="1">
      <c r="B63" s="196" t="s">
        <v>142</v>
      </c>
    </row>
    <row r="64" spans="2:2" ht="13.5" customHeight="1">
      <c r="B64" s="196" t="s">
        <v>143</v>
      </c>
    </row>
    <row r="65" spans="2:2" ht="13.5" customHeight="1">
      <c r="B65" s="196" t="s">
        <v>432</v>
      </c>
    </row>
    <row r="66" spans="2:2" ht="13.5" customHeight="1">
      <c r="B66" s="196" t="s">
        <v>402</v>
      </c>
    </row>
    <row r="67" spans="2:2" ht="13.5" customHeight="1">
      <c r="B67" s="196" t="s">
        <v>546</v>
      </c>
    </row>
    <row r="68" spans="2:2" ht="13.5" customHeight="1">
      <c r="B68" s="196" t="s">
        <v>547</v>
      </c>
    </row>
    <row r="69" spans="2:2" ht="13.5" customHeight="1">
      <c r="B69" s="196" t="s">
        <v>78</v>
      </c>
    </row>
    <row r="70" spans="2:2" ht="13.5" customHeight="1">
      <c r="B70" s="196" t="s">
        <v>433</v>
      </c>
    </row>
    <row r="71" spans="2:2" ht="13.5" customHeight="1">
      <c r="B71" s="196" t="s">
        <v>434</v>
      </c>
    </row>
    <row r="72" spans="2:2" ht="13.5" customHeight="1">
      <c r="B72" s="196" t="s">
        <v>144</v>
      </c>
    </row>
    <row r="73" spans="2:2" ht="13.5" customHeight="1">
      <c r="B73" s="196" t="s">
        <v>145</v>
      </c>
    </row>
    <row r="74" spans="2:2" ht="13.5" customHeight="1">
      <c r="B74" s="196" t="s">
        <v>146</v>
      </c>
    </row>
    <row r="75" spans="2:2" s="119" customFormat="1" ht="13.5" customHeight="1">
      <c r="B75" s="196" t="s">
        <v>147</v>
      </c>
    </row>
    <row r="76" spans="2:2" ht="13.5" customHeight="1">
      <c r="B76" s="196" t="s">
        <v>148</v>
      </c>
    </row>
    <row r="77" spans="2:2" ht="13.5" customHeight="1">
      <c r="B77" s="196" t="s">
        <v>149</v>
      </c>
    </row>
    <row r="78" spans="2:2" ht="13.5" customHeight="1">
      <c r="B78" s="196" t="s">
        <v>150</v>
      </c>
    </row>
    <row r="79" spans="2:2" ht="13.5" customHeight="1">
      <c r="B79" s="196" t="s">
        <v>151</v>
      </c>
    </row>
    <row r="80" spans="2:2" ht="13.5" customHeight="1">
      <c r="B80" s="196" t="s">
        <v>86</v>
      </c>
    </row>
    <row r="81" spans="2:2" ht="13.5" customHeight="1">
      <c r="B81" s="196" t="s">
        <v>152</v>
      </c>
    </row>
    <row r="82" spans="2:2" ht="13.5" customHeight="1">
      <c r="B82" s="196" t="s">
        <v>435</v>
      </c>
    </row>
    <row r="83" spans="2:2" ht="13.5" customHeight="1">
      <c r="B83" s="196" t="s">
        <v>153</v>
      </c>
    </row>
    <row r="84" spans="2:2" ht="13.5" customHeight="1">
      <c r="B84" s="196" t="s">
        <v>436</v>
      </c>
    </row>
    <row r="85" spans="2:2" ht="13.5" customHeight="1">
      <c r="B85" s="196" t="s">
        <v>154</v>
      </c>
    </row>
    <row r="86" spans="2:2" ht="13.5" customHeight="1">
      <c r="B86" s="196" t="s">
        <v>92</v>
      </c>
    </row>
    <row r="87" spans="2:2" ht="13.5" customHeight="1">
      <c r="B87" s="196" t="s">
        <v>155</v>
      </c>
    </row>
    <row r="88" spans="2:2" ht="13.5" customHeight="1">
      <c r="B88" s="196" t="s">
        <v>562</v>
      </c>
    </row>
    <row r="89" spans="2:2" ht="18" customHeight="1">
      <c r="B89" s="195" t="s">
        <v>578</v>
      </c>
    </row>
    <row r="90" spans="2:2" ht="13.5" customHeight="1">
      <c r="B90" s="196" t="s">
        <v>156</v>
      </c>
    </row>
    <row r="91" spans="2:2" ht="18" customHeight="1">
      <c r="B91" s="195" t="s">
        <v>579</v>
      </c>
    </row>
    <row r="92" spans="2:2" ht="13.5" customHeight="1">
      <c r="B92" s="196" t="s">
        <v>519</v>
      </c>
    </row>
    <row r="93" spans="2:2" s="119" customFormat="1" ht="13.5" customHeight="1">
      <c r="B93" s="196" t="s">
        <v>157</v>
      </c>
    </row>
    <row r="94" spans="2:2" ht="13.5" customHeight="1">
      <c r="B94" s="196" t="s">
        <v>520</v>
      </c>
    </row>
    <row r="95" spans="2:2" ht="13.5" customHeight="1">
      <c r="B95" s="196" t="s">
        <v>406</v>
      </c>
    </row>
    <row r="96" spans="2:2" ht="13.5" customHeight="1">
      <c r="B96" s="196" t="s">
        <v>563</v>
      </c>
    </row>
    <row r="97" spans="2:2" ht="13.5" customHeight="1">
      <c r="B97" s="196" t="s">
        <v>564</v>
      </c>
    </row>
    <row r="98" spans="2:2" ht="13.5" customHeight="1">
      <c r="B98" s="196" t="s">
        <v>565</v>
      </c>
    </row>
    <row r="99" spans="2:2" ht="13.5" customHeight="1">
      <c r="B99" s="196" t="s">
        <v>521</v>
      </c>
    </row>
    <row r="100" spans="2:2" ht="13.5" customHeight="1">
      <c r="B100" s="196" t="s">
        <v>159</v>
      </c>
    </row>
    <row r="101" spans="2:2" ht="13.5" customHeight="1">
      <c r="B101" s="196" t="s">
        <v>548</v>
      </c>
    </row>
    <row r="102" spans="2:2" ht="13.5" customHeight="1">
      <c r="B102" s="196" t="s">
        <v>522</v>
      </c>
    </row>
    <row r="103" spans="2:2" ht="13.5" customHeight="1">
      <c r="B103" s="196" t="s">
        <v>162</v>
      </c>
    </row>
    <row r="104" spans="2:2" ht="13.5" customHeight="1">
      <c r="B104" s="196" t="s">
        <v>163</v>
      </c>
    </row>
    <row r="105" spans="2:2" ht="13.5" customHeight="1">
      <c r="B105" s="196" t="s">
        <v>164</v>
      </c>
    </row>
    <row r="106" spans="2:2" ht="13.5" customHeight="1">
      <c r="B106" s="196" t="s">
        <v>165</v>
      </c>
    </row>
    <row r="107" spans="2:2" ht="13.5" customHeight="1">
      <c r="B107" s="196" t="s">
        <v>166</v>
      </c>
    </row>
    <row r="108" spans="2:2" ht="13.5" customHeight="1">
      <c r="B108" s="196" t="s">
        <v>413</v>
      </c>
    </row>
    <row r="109" spans="2:2" ht="13.5" customHeight="1">
      <c r="B109" s="196" t="s">
        <v>167</v>
      </c>
    </row>
    <row r="110" spans="2:2" s="119" customFormat="1" ht="13.5" customHeight="1">
      <c r="B110" s="196" t="s">
        <v>168</v>
      </c>
    </row>
    <row r="111" spans="2:2" ht="13.5" customHeight="1">
      <c r="B111" s="196" t="s">
        <v>169</v>
      </c>
    </row>
    <row r="112" spans="2:2" ht="13.5" customHeight="1">
      <c r="B112" s="196" t="s">
        <v>170</v>
      </c>
    </row>
    <row r="113" spans="2:2" ht="13.5" customHeight="1">
      <c r="B113" s="196" t="s">
        <v>171</v>
      </c>
    </row>
    <row r="114" spans="2:2" ht="13.5" customHeight="1">
      <c r="B114" s="196" t="s">
        <v>172</v>
      </c>
    </row>
    <row r="115" spans="2:2" ht="13.5" customHeight="1">
      <c r="B115" s="196" t="s">
        <v>566</v>
      </c>
    </row>
    <row r="116" spans="2:2" ht="13.5" customHeight="1">
      <c r="B116" s="196" t="s">
        <v>523</v>
      </c>
    </row>
    <row r="117" spans="2:2" ht="13.5" customHeight="1">
      <c r="B117" s="196" t="s">
        <v>173</v>
      </c>
    </row>
    <row r="118" spans="2:2" ht="13.5" customHeight="1">
      <c r="B118" s="196" t="s">
        <v>174</v>
      </c>
    </row>
    <row r="119" spans="2:2" ht="13.5" customHeight="1">
      <c r="B119" s="196" t="s">
        <v>175</v>
      </c>
    </row>
    <row r="120" spans="2:2" ht="13.5" customHeight="1">
      <c r="B120" s="196" t="s">
        <v>176</v>
      </c>
    </row>
    <row r="121" spans="2:2" ht="13.5" customHeight="1">
      <c r="B121" s="196" t="s">
        <v>177</v>
      </c>
    </row>
    <row r="122" spans="2:2" ht="13.5" customHeight="1">
      <c r="B122" s="196" t="s">
        <v>178</v>
      </c>
    </row>
    <row r="123" spans="2:2" ht="13.5" customHeight="1">
      <c r="B123" s="196" t="s">
        <v>408</v>
      </c>
    </row>
    <row r="124" spans="2:2" ht="18" customHeight="1">
      <c r="B124" s="195" t="s">
        <v>580</v>
      </c>
    </row>
    <row r="125" spans="2:2" ht="13.5" customHeight="1">
      <c r="B125" s="196" t="s">
        <v>70</v>
      </c>
    </row>
    <row r="126" spans="2:2" ht="13.5" customHeight="1">
      <c r="B126" s="196" t="s">
        <v>72</v>
      </c>
    </row>
    <row r="127" spans="2:2" ht="13.5" customHeight="1">
      <c r="B127" s="196" t="s">
        <v>73</v>
      </c>
    </row>
    <row r="128" spans="2:2" ht="13.5" customHeight="1">
      <c r="B128" s="196" t="s">
        <v>74</v>
      </c>
    </row>
    <row r="129" spans="2:2" ht="13.5" customHeight="1">
      <c r="B129" s="196" t="s">
        <v>75</v>
      </c>
    </row>
    <row r="130" spans="2:2" ht="13.5" customHeight="1">
      <c r="B130" s="196" t="s">
        <v>76</v>
      </c>
    </row>
    <row r="131" spans="2:2" ht="13.5" customHeight="1">
      <c r="B131" s="196" t="s">
        <v>537</v>
      </c>
    </row>
    <row r="132" spans="2:2" ht="13.5" customHeight="1">
      <c r="B132" s="196" t="s">
        <v>77</v>
      </c>
    </row>
    <row r="133" spans="2:2" ht="13.5" customHeight="1">
      <c r="B133" s="196" t="s">
        <v>401</v>
      </c>
    </row>
    <row r="134" spans="2:2" ht="13.5" customHeight="1">
      <c r="B134" s="196" t="s">
        <v>393</v>
      </c>
    </row>
    <row r="135" spans="2:2" ht="13.5" customHeight="1">
      <c r="B135" s="196" t="s">
        <v>81</v>
      </c>
    </row>
    <row r="136" spans="2:2" ht="13.5" customHeight="1">
      <c r="B136" s="196" t="s">
        <v>82</v>
      </c>
    </row>
    <row r="137" spans="2:2" ht="13.5" customHeight="1">
      <c r="B137" s="196" t="s">
        <v>538</v>
      </c>
    </row>
    <row r="138" spans="2:2" ht="13.5" customHeight="1">
      <c r="B138" s="196" t="s">
        <v>93</v>
      </c>
    </row>
    <row r="139" spans="2:2" ht="18" customHeight="1">
      <c r="B139" s="195" t="s">
        <v>581</v>
      </c>
    </row>
    <row r="140" spans="2:2" ht="13.5" customHeight="1">
      <c r="B140" s="196" t="s">
        <v>549</v>
      </c>
    </row>
    <row r="141" spans="2:2" ht="13.5" customHeight="1">
      <c r="B141" s="196" t="s">
        <v>550</v>
      </c>
    </row>
    <row r="142" spans="2:2" ht="13.5" customHeight="1">
      <c r="B142" s="196" t="s">
        <v>87</v>
      </c>
    </row>
    <row r="143" spans="2:2" ht="18" customHeight="1">
      <c r="B143" s="195" t="s">
        <v>582</v>
      </c>
    </row>
    <row r="144" spans="2:2" ht="13.5" customHeight="1">
      <c r="B144" s="196" t="s">
        <v>97</v>
      </c>
    </row>
    <row r="145" spans="2:2" ht="13.5" customHeight="1">
      <c r="B145" s="196" t="s">
        <v>390</v>
      </c>
    </row>
    <row r="146" spans="2:2" ht="13.5" customHeight="1">
      <c r="B146" s="196" t="s">
        <v>98</v>
      </c>
    </row>
    <row r="147" spans="2:2" ht="13.5" customHeight="1">
      <c r="B147" s="196" t="s">
        <v>567</v>
      </c>
    </row>
    <row r="148" spans="2:2" ht="13.5" customHeight="1">
      <c r="B148" s="196" t="s">
        <v>99</v>
      </c>
    </row>
    <row r="149" spans="2:2" ht="13.5" customHeight="1">
      <c r="B149" s="196" t="s">
        <v>100</v>
      </c>
    </row>
    <row r="150" spans="2:2" ht="13.5" customHeight="1">
      <c r="B150" s="196" t="s">
        <v>437</v>
      </c>
    </row>
    <row r="151" spans="2:2" ht="13.5" customHeight="1">
      <c r="B151" s="196" t="s">
        <v>101</v>
      </c>
    </row>
    <row r="152" spans="2:2" ht="13.5" customHeight="1">
      <c r="B152" s="196" t="s">
        <v>102</v>
      </c>
    </row>
    <row r="153" spans="2:2" ht="13.5" customHeight="1">
      <c r="B153" s="196" t="s">
        <v>438</v>
      </c>
    </row>
    <row r="154" spans="2:2" ht="13.5" customHeight="1">
      <c r="B154" s="196" t="s">
        <v>439</v>
      </c>
    </row>
    <row r="155" spans="2:2" ht="13.5" customHeight="1">
      <c r="B155" s="196" t="s">
        <v>103</v>
      </c>
    </row>
    <row r="156" spans="2:2" ht="13.5" customHeight="1">
      <c r="B156" s="196" t="s">
        <v>104</v>
      </c>
    </row>
    <row r="157" spans="2:2" ht="13.5" customHeight="1">
      <c r="B157" s="196" t="s">
        <v>105</v>
      </c>
    </row>
    <row r="158" spans="2:2" s="119" customFormat="1" ht="13.5" customHeight="1">
      <c r="B158" s="196" t="s">
        <v>106</v>
      </c>
    </row>
    <row r="159" spans="2:2" ht="13.5" customHeight="1">
      <c r="B159" s="196" t="s">
        <v>107</v>
      </c>
    </row>
    <row r="160" spans="2:2" ht="13.5" customHeight="1">
      <c r="B160" s="196" t="s">
        <v>108</v>
      </c>
    </row>
    <row r="161" spans="2:2" ht="13.5" customHeight="1">
      <c r="B161" s="196" t="s">
        <v>403</v>
      </c>
    </row>
    <row r="162" spans="2:2" ht="18" customHeight="1">
      <c r="B162" s="195" t="s">
        <v>583</v>
      </c>
    </row>
    <row r="163" spans="2:2" ht="13.5" customHeight="1">
      <c r="B163" s="196" t="s">
        <v>51</v>
      </c>
    </row>
    <row r="164" spans="2:2" ht="13.5" customHeight="1">
      <c r="B164" s="196" t="s">
        <v>365</v>
      </c>
    </row>
    <row r="165" spans="2:2" ht="13.5" customHeight="1">
      <c r="B165" s="196" t="s">
        <v>294</v>
      </c>
    </row>
    <row r="166" spans="2:2" ht="13.5" customHeight="1">
      <c r="B166" s="196" t="s">
        <v>295</v>
      </c>
    </row>
    <row r="167" spans="2:2" ht="13.5" customHeight="1">
      <c r="B167" s="196" t="s">
        <v>416</v>
      </c>
    </row>
    <row r="168" spans="2:2" ht="13.5" customHeight="1">
      <c r="B168" s="196" t="s">
        <v>296</v>
      </c>
    </row>
    <row r="169" spans="2:2" ht="13.5" customHeight="1">
      <c r="B169" s="196" t="s">
        <v>329</v>
      </c>
    </row>
    <row r="170" spans="2:2" ht="13.5" customHeight="1">
      <c r="B170" s="196" t="s">
        <v>512</v>
      </c>
    </row>
    <row r="171" spans="2:2" ht="13.5" customHeight="1">
      <c r="B171" s="196" t="s">
        <v>551</v>
      </c>
    </row>
    <row r="172" spans="2:2" ht="13.5" customHeight="1">
      <c r="B172" s="196" t="s">
        <v>297</v>
      </c>
    </row>
    <row r="173" spans="2:2" ht="13.5" customHeight="1">
      <c r="B173" s="196" t="s">
        <v>552</v>
      </c>
    </row>
    <row r="174" spans="2:2" ht="13.5" customHeight="1">
      <c r="B174" s="196" t="s">
        <v>330</v>
      </c>
    </row>
    <row r="175" spans="2:2" ht="13.5" customHeight="1">
      <c r="B175" s="196" t="s">
        <v>298</v>
      </c>
    </row>
    <row r="176" spans="2:2" ht="13.5" customHeight="1">
      <c r="B176" s="196" t="s">
        <v>299</v>
      </c>
    </row>
    <row r="177" spans="2:2" ht="13.5" customHeight="1">
      <c r="B177" s="196" t="s">
        <v>405</v>
      </c>
    </row>
    <row r="178" spans="2:2" ht="13.5" customHeight="1">
      <c r="B178" s="196" t="s">
        <v>0</v>
      </c>
    </row>
    <row r="179" spans="2:2" ht="13.5" customHeight="1">
      <c r="B179" s="196" t="s">
        <v>513</v>
      </c>
    </row>
    <row r="180" spans="2:2" ht="13.5" customHeight="1">
      <c r="B180" s="196" t="s">
        <v>300</v>
      </c>
    </row>
    <row r="181" spans="2:2" ht="13.5" customHeight="1">
      <c r="B181" s="196" t="s">
        <v>514</v>
      </c>
    </row>
    <row r="182" spans="2:2" ht="13.5" customHeight="1">
      <c r="B182" s="196" t="s">
        <v>301</v>
      </c>
    </row>
    <row r="183" spans="2:2" ht="13.5" customHeight="1">
      <c r="B183" s="196" t="s">
        <v>515</v>
      </c>
    </row>
    <row r="184" spans="2:2" ht="13.5" customHeight="1">
      <c r="B184" s="196" t="s">
        <v>1</v>
      </c>
    </row>
    <row r="185" spans="2:2" ht="13.5" customHeight="1">
      <c r="B185" s="196" t="s">
        <v>292</v>
      </c>
    </row>
    <row r="186" spans="2:2" ht="13.5" customHeight="1">
      <c r="B186" s="196" t="s">
        <v>516</v>
      </c>
    </row>
    <row r="187" spans="2:2" ht="13.5" customHeight="1">
      <c r="B187" s="196" t="s">
        <v>517</v>
      </c>
    </row>
    <row r="188" spans="2:2" ht="13.5" customHeight="1">
      <c r="B188" s="196" t="s">
        <v>518</v>
      </c>
    </row>
    <row r="189" spans="2:2" ht="18" customHeight="1">
      <c r="B189" s="195" t="s">
        <v>584</v>
      </c>
    </row>
    <row r="190" spans="2:2" ht="13.5" customHeight="1">
      <c r="B190" s="196" t="s">
        <v>119</v>
      </c>
    </row>
    <row r="191" spans="2:2" ht="13.5" customHeight="1">
      <c r="B191" s="196" t="s">
        <v>120</v>
      </c>
    </row>
    <row r="192" spans="2:2" ht="13.5" customHeight="1">
      <c r="B192" s="196" t="s">
        <v>121</v>
      </c>
    </row>
    <row r="193" spans="2:2" ht="13.5" customHeight="1">
      <c r="B193" s="196" t="s">
        <v>122</v>
      </c>
    </row>
    <row r="194" spans="2:2" ht="13.5" customHeight="1">
      <c r="B194" s="196" t="s">
        <v>123</v>
      </c>
    </row>
    <row r="195" spans="2:2" ht="13.5" customHeight="1">
      <c r="B195" s="196" t="s">
        <v>124</v>
      </c>
    </row>
    <row r="196" spans="2:2" ht="13.5" customHeight="1">
      <c r="B196" s="196" t="s">
        <v>440</v>
      </c>
    </row>
    <row r="197" spans="2:2" ht="13.5" customHeight="1">
      <c r="B197" s="196" t="s">
        <v>125</v>
      </c>
    </row>
    <row r="198" spans="2:2" ht="13.5" customHeight="1">
      <c r="B198" s="196" t="s">
        <v>126</v>
      </c>
    </row>
    <row r="199" spans="2:2" ht="13.5" customHeight="1">
      <c r="B199" s="196" t="s">
        <v>127</v>
      </c>
    </row>
    <row r="200" spans="2:2" ht="13.5" customHeight="1">
      <c r="B200" s="196" t="s">
        <v>128</v>
      </c>
    </row>
    <row r="201" spans="2:2" ht="13.5" customHeight="1">
      <c r="B201" s="196" t="s">
        <v>129</v>
      </c>
    </row>
    <row r="202" spans="2:2" ht="13.5" customHeight="1">
      <c r="B202" s="196" t="s">
        <v>130</v>
      </c>
    </row>
    <row r="203" spans="2:2" ht="13.5" customHeight="1">
      <c r="B203" s="196" t="s">
        <v>131</v>
      </c>
    </row>
    <row r="204" spans="2:2" ht="13.5" customHeight="1">
      <c r="B204" s="196" t="s">
        <v>132</v>
      </c>
    </row>
    <row r="205" spans="2:2" ht="13.5" customHeight="1">
      <c r="B205" s="196" t="s">
        <v>441</v>
      </c>
    </row>
    <row r="206" spans="2:2" ht="13.5" customHeight="1">
      <c r="B206" s="196" t="s">
        <v>442</v>
      </c>
    </row>
    <row r="207" spans="2:2" ht="13.5" customHeight="1">
      <c r="B207" s="196" t="s">
        <v>443</v>
      </c>
    </row>
    <row r="208" spans="2:2" ht="13.5" customHeight="1">
      <c r="B208" s="196" t="s">
        <v>133</v>
      </c>
    </row>
    <row r="209" spans="2:2" ht="13.5" customHeight="1">
      <c r="B209" s="196" t="s">
        <v>134</v>
      </c>
    </row>
    <row r="210" spans="2:2" ht="13.5" customHeight="1">
      <c r="B210" s="196" t="s">
        <v>135</v>
      </c>
    </row>
    <row r="211" spans="2:2" ht="13.5" customHeight="1">
      <c r="B211" s="196" t="s">
        <v>136</v>
      </c>
    </row>
    <row r="212" spans="2:2" ht="13.5" customHeight="1">
      <c r="B212" s="196" t="s">
        <v>137</v>
      </c>
    </row>
    <row r="213" spans="2:2" ht="18" customHeight="1">
      <c r="B213" s="195" t="s">
        <v>585</v>
      </c>
    </row>
    <row r="214" spans="2:2" ht="13.5" customHeight="1">
      <c r="B214" s="196" t="s">
        <v>444</v>
      </c>
    </row>
    <row r="215" spans="2:2" ht="13.5" customHeight="1">
      <c r="B215" s="196" t="s">
        <v>109</v>
      </c>
    </row>
    <row r="216" spans="2:2" ht="13.5" customHeight="1">
      <c r="B216" s="196" t="s">
        <v>110</v>
      </c>
    </row>
    <row r="217" spans="2:2" ht="13.5" customHeight="1">
      <c r="B217" s="196" t="s">
        <v>111</v>
      </c>
    </row>
    <row r="218" spans="2:2" ht="13.5" customHeight="1">
      <c r="B218" s="196" t="s">
        <v>112</v>
      </c>
    </row>
    <row r="219" spans="2:2" ht="13.5" customHeight="1">
      <c r="B219" s="196" t="s">
        <v>113</v>
      </c>
    </row>
    <row r="220" spans="2:2" ht="13.5" customHeight="1">
      <c r="B220" s="196" t="s">
        <v>114</v>
      </c>
    </row>
    <row r="221" spans="2:2" ht="13.5" customHeight="1">
      <c r="B221" s="196" t="s">
        <v>115</v>
      </c>
    </row>
    <row r="222" spans="2:2" ht="13.5" customHeight="1">
      <c r="B222" s="196" t="s">
        <v>116</v>
      </c>
    </row>
    <row r="223" spans="2:2" ht="13.5" customHeight="1">
      <c r="B223" s="196" t="s">
        <v>117</v>
      </c>
    </row>
    <row r="224" spans="2:2" ht="13.5" customHeight="1">
      <c r="B224" s="196" t="s">
        <v>118</v>
      </c>
    </row>
    <row r="225" spans="2:2" ht="13.5" customHeight="1">
      <c r="B225" s="196" t="s">
        <v>445</v>
      </c>
    </row>
    <row r="226" spans="2:2" ht="18" customHeight="1">
      <c r="B226" s="195" t="s">
        <v>586</v>
      </c>
    </row>
    <row r="227" spans="2:2" ht="13.5" customHeight="1">
      <c r="B227" s="196" t="s">
        <v>219</v>
      </c>
    </row>
    <row r="228" spans="2:2" ht="13.5" customHeight="1">
      <c r="B228" s="196" t="s">
        <v>568</v>
      </c>
    </row>
    <row r="229" spans="2:2" ht="13.5" customHeight="1">
      <c r="B229" s="196" t="s">
        <v>220</v>
      </c>
    </row>
    <row r="230" spans="2:2" ht="13.5" customHeight="1">
      <c r="B230" s="196" t="s">
        <v>221</v>
      </c>
    </row>
    <row r="231" spans="2:2" ht="13.5" customHeight="1">
      <c r="B231" s="196" t="s">
        <v>222</v>
      </c>
    </row>
    <row r="232" spans="2:2" ht="13.5" customHeight="1">
      <c r="B232" s="196" t="s">
        <v>223</v>
      </c>
    </row>
    <row r="233" spans="2:2" ht="13.5" customHeight="1">
      <c r="B233" s="196" t="s">
        <v>569</v>
      </c>
    </row>
    <row r="234" spans="2:2" ht="13.5" customHeight="1">
      <c r="B234" s="196" t="s">
        <v>224</v>
      </c>
    </row>
    <row r="235" spans="2:2" ht="13.5" customHeight="1">
      <c r="B235" s="196" t="s">
        <v>225</v>
      </c>
    </row>
    <row r="236" spans="2:2" ht="13.5" customHeight="1">
      <c r="B236" s="196" t="s">
        <v>446</v>
      </c>
    </row>
    <row r="237" spans="2:2" ht="13.5" customHeight="1">
      <c r="B237" s="196" t="s">
        <v>447</v>
      </c>
    </row>
    <row r="238" spans="2:2" ht="13.5" customHeight="1">
      <c r="B238" s="196" t="s">
        <v>448</v>
      </c>
    </row>
    <row r="239" spans="2:2" ht="13.5" customHeight="1">
      <c r="B239" s="196" t="s">
        <v>226</v>
      </c>
    </row>
    <row r="240" spans="2:2" ht="13.5" customHeight="1">
      <c r="B240" s="196" t="s">
        <v>449</v>
      </c>
    </row>
    <row r="241" spans="2:2" ht="13.5" customHeight="1">
      <c r="B241" s="196" t="s">
        <v>227</v>
      </c>
    </row>
    <row r="242" spans="2:2" ht="13.5" customHeight="1">
      <c r="B242" s="196" t="s">
        <v>228</v>
      </c>
    </row>
    <row r="243" spans="2:2" ht="13.5" customHeight="1">
      <c r="B243" s="196" t="s">
        <v>229</v>
      </c>
    </row>
    <row r="244" spans="2:2" ht="13.5" customHeight="1">
      <c r="B244" s="196" t="s">
        <v>570</v>
      </c>
    </row>
    <row r="245" spans="2:2" ht="13.5" customHeight="1">
      <c r="B245" s="196" t="s">
        <v>230</v>
      </c>
    </row>
    <row r="246" spans="2:2" ht="13.5" customHeight="1">
      <c r="B246" s="196" t="s">
        <v>231</v>
      </c>
    </row>
    <row r="247" spans="2:2" s="119" customFormat="1" ht="18" customHeight="1">
      <c r="B247" s="195" t="s">
        <v>587</v>
      </c>
    </row>
    <row r="248" spans="2:2" ht="13.5" customHeight="1">
      <c r="B248" s="196" t="s">
        <v>186</v>
      </c>
    </row>
    <row r="249" spans="2:2" ht="13.5" customHeight="1">
      <c r="B249" s="196" t="s">
        <v>450</v>
      </c>
    </row>
    <row r="250" spans="2:2" ht="13.5" customHeight="1">
      <c r="B250" s="196" t="s">
        <v>451</v>
      </c>
    </row>
    <row r="251" spans="2:2" ht="13.5" customHeight="1">
      <c r="B251" s="196" t="s">
        <v>187</v>
      </c>
    </row>
    <row r="252" spans="2:2" ht="13.5" customHeight="1">
      <c r="B252" s="196" t="s">
        <v>452</v>
      </c>
    </row>
    <row r="253" spans="2:2" ht="13.5" customHeight="1">
      <c r="B253" s="196" t="s">
        <v>553</v>
      </c>
    </row>
    <row r="254" spans="2:2" ht="13.5" customHeight="1">
      <c r="B254" s="196" t="s">
        <v>188</v>
      </c>
    </row>
    <row r="255" spans="2:2" ht="13.5" customHeight="1">
      <c r="B255" s="196" t="s">
        <v>189</v>
      </c>
    </row>
    <row r="256" spans="2:2" ht="13.5" customHeight="1">
      <c r="B256" s="196" t="s">
        <v>571</v>
      </c>
    </row>
    <row r="257" spans="2:2" ht="13.5" customHeight="1">
      <c r="B257" s="196" t="s">
        <v>190</v>
      </c>
    </row>
    <row r="258" spans="2:2" ht="13.5" customHeight="1">
      <c r="B258" s="196" t="s">
        <v>191</v>
      </c>
    </row>
    <row r="259" spans="2:2" ht="13.5" customHeight="1">
      <c r="B259" s="196" t="s">
        <v>192</v>
      </c>
    </row>
    <row r="260" spans="2:2" ht="13.5" customHeight="1">
      <c r="B260" s="196" t="s">
        <v>193</v>
      </c>
    </row>
    <row r="261" spans="2:2" ht="13.5" customHeight="1">
      <c r="B261" s="196" t="s">
        <v>194</v>
      </c>
    </row>
    <row r="262" spans="2:2" ht="13.5" customHeight="1">
      <c r="B262" s="196" t="s">
        <v>572</v>
      </c>
    </row>
    <row r="263" spans="2:2" ht="13.5" customHeight="1">
      <c r="B263" s="196" t="s">
        <v>453</v>
      </c>
    </row>
    <row r="264" spans="2:2" ht="13.5" customHeight="1">
      <c r="B264" s="196" t="s">
        <v>335</v>
      </c>
    </row>
    <row r="265" spans="2:2" ht="13.5" customHeight="1">
      <c r="B265" s="196" t="s">
        <v>573</v>
      </c>
    </row>
    <row r="266" spans="2:2" ht="13.5" customHeight="1">
      <c r="B266" s="196" t="s">
        <v>195</v>
      </c>
    </row>
    <row r="267" spans="2:2" ht="13.5" customHeight="1">
      <c r="B267" s="196" t="s">
        <v>196</v>
      </c>
    </row>
    <row r="268" spans="2:2" ht="13.5" customHeight="1">
      <c r="B268" s="196" t="s">
        <v>197</v>
      </c>
    </row>
    <row r="269" spans="2:2" ht="13.5" customHeight="1">
      <c r="B269" s="196" t="s">
        <v>198</v>
      </c>
    </row>
    <row r="270" spans="2:2" ht="13.5" customHeight="1">
      <c r="B270" s="196" t="s">
        <v>199</v>
      </c>
    </row>
    <row r="271" spans="2:2" ht="13.5" customHeight="1">
      <c r="B271" s="196" t="s">
        <v>200</v>
      </c>
    </row>
    <row r="272" spans="2:2" s="119" customFormat="1" ht="13.5" customHeight="1">
      <c r="B272" s="196" t="s">
        <v>201</v>
      </c>
    </row>
    <row r="273" spans="2:2" ht="13.5" customHeight="1">
      <c r="B273" s="196" t="s">
        <v>202</v>
      </c>
    </row>
    <row r="274" spans="2:2" ht="13.5" customHeight="1">
      <c r="B274" s="196" t="s">
        <v>203</v>
      </c>
    </row>
    <row r="275" spans="2:2" ht="13.5" customHeight="1">
      <c r="B275" s="196" t="s">
        <v>204</v>
      </c>
    </row>
    <row r="276" spans="2:2" ht="13.5" customHeight="1">
      <c r="B276" s="196" t="s">
        <v>205</v>
      </c>
    </row>
    <row r="277" spans="2:2" ht="13.5" customHeight="1">
      <c r="B277" s="196" t="s">
        <v>206</v>
      </c>
    </row>
    <row r="278" spans="2:2" ht="13.5" customHeight="1">
      <c r="B278" s="196" t="s">
        <v>207</v>
      </c>
    </row>
    <row r="279" spans="2:2" ht="13.5" customHeight="1">
      <c r="B279" s="196" t="s">
        <v>454</v>
      </c>
    </row>
    <row r="280" spans="2:2" ht="13.5" customHeight="1">
      <c r="B280" s="196" t="s">
        <v>208</v>
      </c>
    </row>
    <row r="281" spans="2:2" ht="13.5" customHeight="1">
      <c r="B281" s="196" t="s">
        <v>209</v>
      </c>
    </row>
    <row r="282" spans="2:2" ht="13.5" customHeight="1">
      <c r="B282" s="196" t="s">
        <v>210</v>
      </c>
    </row>
    <row r="283" spans="2:2" ht="13.5" customHeight="1">
      <c r="B283" s="196" t="s">
        <v>455</v>
      </c>
    </row>
    <row r="284" spans="2:2" ht="13.5" customHeight="1">
      <c r="B284" s="196" t="s">
        <v>456</v>
      </c>
    </row>
    <row r="285" spans="2:2" ht="13.5" customHeight="1">
      <c r="B285" s="196" t="s">
        <v>457</v>
      </c>
    </row>
    <row r="286" spans="2:2" ht="13.5" customHeight="1">
      <c r="B286" s="196" t="s">
        <v>458</v>
      </c>
    </row>
    <row r="287" spans="2:2" ht="13.5" customHeight="1">
      <c r="B287" s="196" t="s">
        <v>459</v>
      </c>
    </row>
    <row r="288" spans="2:2" ht="13.5" customHeight="1">
      <c r="B288" s="196" t="s">
        <v>460</v>
      </c>
    </row>
    <row r="289" spans="2:2" ht="13.5" customHeight="1">
      <c r="B289" s="196" t="s">
        <v>461</v>
      </c>
    </row>
    <row r="290" spans="2:2" ht="13.5" customHeight="1">
      <c r="B290" s="196" t="s">
        <v>462</v>
      </c>
    </row>
    <row r="291" spans="2:2" ht="13.5" customHeight="1">
      <c r="B291" s="196" t="s">
        <v>463</v>
      </c>
    </row>
    <row r="292" spans="2:2" ht="13.5" customHeight="1">
      <c r="B292" s="196" t="s">
        <v>464</v>
      </c>
    </row>
    <row r="293" spans="2:2" ht="13.5" customHeight="1">
      <c r="B293" s="196" t="s">
        <v>465</v>
      </c>
    </row>
    <row r="294" spans="2:2" ht="13.5" customHeight="1">
      <c r="B294" s="196" t="s">
        <v>466</v>
      </c>
    </row>
    <row r="295" spans="2:2" ht="13.5" customHeight="1">
      <c r="B295" s="196" t="s">
        <v>467</v>
      </c>
    </row>
    <row r="296" spans="2:2" ht="13.5" customHeight="1">
      <c r="B296" s="196" t="s">
        <v>468</v>
      </c>
    </row>
    <row r="297" spans="2:2" ht="13.5" customHeight="1">
      <c r="B297" s="196" t="s">
        <v>469</v>
      </c>
    </row>
    <row r="298" spans="2:2" ht="13.5" customHeight="1">
      <c r="B298" s="196" t="s">
        <v>470</v>
      </c>
    </row>
    <row r="299" spans="2:2" ht="13.5" customHeight="1">
      <c r="B299" s="196" t="s">
        <v>471</v>
      </c>
    </row>
    <row r="300" spans="2:2" ht="13.5" customHeight="1">
      <c r="B300" s="196" t="s">
        <v>472</v>
      </c>
    </row>
    <row r="301" spans="2:2" ht="13.5" customHeight="1">
      <c r="B301" s="196" t="s">
        <v>473</v>
      </c>
    </row>
    <row r="302" spans="2:2" ht="13.5" customHeight="1">
      <c r="B302" s="196" t="s">
        <v>474</v>
      </c>
    </row>
    <row r="303" spans="2:2" ht="13.5" customHeight="1">
      <c r="B303" s="196" t="s">
        <v>475</v>
      </c>
    </row>
    <row r="304" spans="2:2" ht="13.5" customHeight="1">
      <c r="B304" s="196" t="s">
        <v>476</v>
      </c>
    </row>
    <row r="305" spans="2:2" ht="13.5" customHeight="1">
      <c r="B305" s="196" t="s">
        <v>477</v>
      </c>
    </row>
    <row r="306" spans="2:2" ht="13.5" customHeight="1">
      <c r="B306" s="196" t="s">
        <v>478</v>
      </c>
    </row>
    <row r="307" spans="2:2" ht="13.5" customHeight="1">
      <c r="B307" s="196" t="s">
        <v>479</v>
      </c>
    </row>
    <row r="308" spans="2:2" ht="13.5" customHeight="1">
      <c r="B308" s="196" t="s">
        <v>480</v>
      </c>
    </row>
    <row r="309" spans="2:2" ht="13.5" customHeight="1">
      <c r="B309" s="196" t="s">
        <v>481</v>
      </c>
    </row>
    <row r="310" spans="2:2" ht="13.5" customHeight="1">
      <c r="B310" s="196" t="s">
        <v>482</v>
      </c>
    </row>
    <row r="311" spans="2:2" ht="13.5" customHeight="1">
      <c r="B311" s="196" t="s">
        <v>483</v>
      </c>
    </row>
    <row r="312" spans="2:2" ht="13.5" customHeight="1">
      <c r="B312" s="196" t="s">
        <v>484</v>
      </c>
    </row>
    <row r="313" spans="2:2" ht="13.5" customHeight="1">
      <c r="B313" s="196" t="s">
        <v>485</v>
      </c>
    </row>
    <row r="314" spans="2:2" s="119" customFormat="1" ht="13.5" customHeight="1">
      <c r="B314" s="196" t="s">
        <v>486</v>
      </c>
    </row>
    <row r="315" spans="2:2" ht="13.5" customHeight="1">
      <c r="B315" s="196" t="s">
        <v>487</v>
      </c>
    </row>
    <row r="316" spans="2:2" ht="13.5" customHeight="1">
      <c r="B316" s="196" t="s">
        <v>488</v>
      </c>
    </row>
    <row r="317" spans="2:2" ht="13.5" customHeight="1">
      <c r="B317" s="196" t="s">
        <v>489</v>
      </c>
    </row>
    <row r="318" spans="2:2" ht="13.5" customHeight="1">
      <c r="B318" s="196" t="s">
        <v>490</v>
      </c>
    </row>
    <row r="319" spans="2:2" ht="13.5" customHeight="1">
      <c r="B319" s="196" t="s">
        <v>491</v>
      </c>
    </row>
    <row r="320" spans="2:2" ht="13.5" customHeight="1">
      <c r="B320" s="196" t="s">
        <v>492</v>
      </c>
    </row>
    <row r="321" spans="2:2" ht="13.5" customHeight="1">
      <c r="B321" s="196" t="s">
        <v>493</v>
      </c>
    </row>
    <row r="322" spans="2:2" ht="13.5" customHeight="1">
      <c r="B322" s="196" t="s">
        <v>494</v>
      </c>
    </row>
    <row r="323" spans="2:2" ht="13.5" customHeight="1">
      <c r="B323" s="196" t="s">
        <v>495</v>
      </c>
    </row>
    <row r="324" spans="2:2" ht="13.5" customHeight="1">
      <c r="B324" s="196" t="s">
        <v>496</v>
      </c>
    </row>
    <row r="325" spans="2:2" ht="13.5" customHeight="1">
      <c r="B325" s="196" t="s">
        <v>497</v>
      </c>
    </row>
    <row r="326" spans="2:2" ht="13.5" customHeight="1">
      <c r="B326" s="196" t="s">
        <v>211</v>
      </c>
    </row>
    <row r="327" spans="2:2" ht="13.5" customHeight="1">
      <c r="B327" s="196" t="s">
        <v>212</v>
      </c>
    </row>
    <row r="328" spans="2:2" ht="13.5" customHeight="1">
      <c r="B328" s="196" t="s">
        <v>213</v>
      </c>
    </row>
    <row r="329" spans="2:2" ht="13.5" customHeight="1">
      <c r="B329" s="196" t="s">
        <v>498</v>
      </c>
    </row>
    <row r="330" spans="2:2" ht="13.5" customHeight="1">
      <c r="B330" s="196" t="s">
        <v>214</v>
      </c>
    </row>
    <row r="331" spans="2:2" ht="13.5" customHeight="1">
      <c r="B331" s="196" t="s">
        <v>215</v>
      </c>
    </row>
    <row r="332" spans="2:2" ht="13.5" customHeight="1">
      <c r="B332" s="196" t="s">
        <v>499</v>
      </c>
    </row>
    <row r="333" spans="2:2" ht="13.5" customHeight="1">
      <c r="B333" s="196" t="s">
        <v>216</v>
      </c>
    </row>
    <row r="334" spans="2:2" ht="13.5" customHeight="1">
      <c r="B334" s="196" t="s">
        <v>217</v>
      </c>
    </row>
    <row r="335" spans="2:2" ht="13.5" customHeight="1">
      <c r="B335" s="196" t="s">
        <v>500</v>
      </c>
    </row>
    <row r="336" spans="2:2" ht="13.5" customHeight="1">
      <c r="B336" s="196" t="s">
        <v>501</v>
      </c>
    </row>
    <row r="337" spans="2:2" ht="13.5" customHeight="1">
      <c r="B337" s="196" t="s">
        <v>218</v>
      </c>
    </row>
    <row r="338" spans="2:2" ht="13.5" customHeight="1">
      <c r="B338" s="196" t="s">
        <v>502</v>
      </c>
    </row>
    <row r="339" spans="2:2" ht="13.5" customHeight="1">
      <c r="B339" s="196" t="s">
        <v>554</v>
      </c>
    </row>
    <row r="340" spans="2:2" ht="18" customHeight="1">
      <c r="B340" s="195" t="s">
        <v>588</v>
      </c>
    </row>
    <row r="341" spans="2:2" ht="13.5" customHeight="1">
      <c r="B341" s="196" t="s">
        <v>503</v>
      </c>
    </row>
    <row r="342" spans="2:2" ht="13.5" customHeight="1">
      <c r="B342" s="196" t="s">
        <v>270</v>
      </c>
    </row>
    <row r="343" spans="2:2" ht="13.5" customHeight="1">
      <c r="B343" s="196" t="s">
        <v>271</v>
      </c>
    </row>
    <row r="344" spans="2:2" ht="13.5" customHeight="1">
      <c r="B344" s="196" t="s">
        <v>272</v>
      </c>
    </row>
    <row r="345" spans="2:2" ht="13.5" customHeight="1">
      <c r="B345" s="196" t="s">
        <v>504</v>
      </c>
    </row>
    <row r="346" spans="2:2" ht="13.5" customHeight="1">
      <c r="B346" s="196" t="s">
        <v>273</v>
      </c>
    </row>
    <row r="347" spans="2:2" ht="13.5" customHeight="1">
      <c r="B347" s="196" t="s">
        <v>505</v>
      </c>
    </row>
    <row r="348" spans="2:2" ht="13.5" customHeight="1">
      <c r="B348" s="196" t="s">
        <v>274</v>
      </c>
    </row>
    <row r="349" spans="2:2" ht="13.5" customHeight="1">
      <c r="B349" s="196" t="s">
        <v>275</v>
      </c>
    </row>
    <row r="350" spans="2:2" ht="13.5" customHeight="1">
      <c r="B350" s="196" t="s">
        <v>276</v>
      </c>
    </row>
    <row r="351" spans="2:2" ht="13.5" customHeight="1">
      <c r="B351" s="196" t="s">
        <v>404</v>
      </c>
    </row>
    <row r="352" spans="2:2" ht="13.5" customHeight="1">
      <c r="B352" s="196" t="s">
        <v>506</v>
      </c>
    </row>
    <row r="353" spans="2:2" ht="13.5" customHeight="1">
      <c r="B353" s="196" t="s">
        <v>507</v>
      </c>
    </row>
    <row r="354" spans="2:2" ht="13.5" customHeight="1">
      <c r="B354" s="196" t="s">
        <v>508</v>
      </c>
    </row>
    <row r="355" spans="2:2" ht="13.5" customHeight="1">
      <c r="B355" s="196" t="s">
        <v>277</v>
      </c>
    </row>
    <row r="356" spans="2:2" ht="13.5" customHeight="1">
      <c r="B356" s="196" t="s">
        <v>278</v>
      </c>
    </row>
    <row r="357" spans="2:2" ht="13.5" customHeight="1">
      <c r="B357" s="196" t="s">
        <v>279</v>
      </c>
    </row>
    <row r="358" spans="2:2" ht="13.5" customHeight="1">
      <c r="B358" s="196" t="s">
        <v>509</v>
      </c>
    </row>
    <row r="359" spans="2:2" ht="13.5" customHeight="1">
      <c r="B359" s="196" t="s">
        <v>336</v>
      </c>
    </row>
    <row r="360" spans="2:2" ht="13.5" customHeight="1">
      <c r="B360" s="196" t="s">
        <v>337</v>
      </c>
    </row>
    <row r="361" spans="2:2" ht="13.5" customHeight="1">
      <c r="B361" s="196" t="s">
        <v>322</v>
      </c>
    </row>
    <row r="362" spans="2:2" ht="13.5" customHeight="1">
      <c r="B362" s="196" t="s">
        <v>338</v>
      </c>
    </row>
    <row r="363" spans="2:2" ht="13.5" customHeight="1">
      <c r="B363" s="196" t="s">
        <v>339</v>
      </c>
    </row>
    <row r="364" spans="2:2" ht="13.5" customHeight="1">
      <c r="B364" s="196" t="s">
        <v>510</v>
      </c>
    </row>
    <row r="365" spans="2:2" ht="13.5" customHeight="1">
      <c r="B365" s="196" t="s">
        <v>511</v>
      </c>
    </row>
    <row r="366" spans="2:2" ht="13.5" customHeight="1">
      <c r="B366" s="196" t="s">
        <v>340</v>
      </c>
    </row>
    <row r="367" spans="2:2" ht="13.5" customHeight="1">
      <c r="B367" s="196" t="s">
        <v>341</v>
      </c>
    </row>
    <row r="368" spans="2:2" ht="13.5" customHeight="1">
      <c r="B368" s="196" t="s">
        <v>342</v>
      </c>
    </row>
    <row r="369" spans="2:2" ht="13.5" customHeight="1">
      <c r="B369" s="196" t="s">
        <v>343</v>
      </c>
    </row>
    <row r="370" spans="2:2" ht="13.5" customHeight="1">
      <c r="B370" s="196" t="s">
        <v>323</v>
      </c>
    </row>
    <row r="371" spans="2:2" ht="13.5" customHeight="1">
      <c r="B371" s="196" t="s">
        <v>344</v>
      </c>
    </row>
    <row r="372" spans="2:2" ht="13.5" customHeight="1">
      <c r="B372" s="196" t="s">
        <v>345</v>
      </c>
    </row>
    <row r="373" spans="2:2" ht="13.5" customHeight="1">
      <c r="B373" s="196" t="s">
        <v>346</v>
      </c>
    </row>
    <row r="374" spans="2:2" ht="13.5" customHeight="1">
      <c r="B374" s="196" t="s">
        <v>347</v>
      </c>
    </row>
    <row r="375" spans="2:2" ht="13.5" customHeight="1">
      <c r="B375" s="196" t="s">
        <v>280</v>
      </c>
    </row>
    <row r="376" spans="2:2" ht="13.5" customHeight="1">
      <c r="B376" s="196" t="s">
        <v>348</v>
      </c>
    </row>
    <row r="377" spans="2:2" ht="13.5" customHeight="1">
      <c r="B377" s="196" t="s">
        <v>349</v>
      </c>
    </row>
    <row r="378" spans="2:2" ht="13.5" customHeight="1">
      <c r="B378" s="196" t="s">
        <v>350</v>
      </c>
    </row>
    <row r="379" spans="2:2" ht="13.5" customHeight="1">
      <c r="B379" s="196" t="s">
        <v>351</v>
      </c>
    </row>
    <row r="380" spans="2:2" ht="13.5" customHeight="1">
      <c r="B380" s="196" t="s">
        <v>352</v>
      </c>
    </row>
    <row r="381" spans="2:2" ht="13.5" customHeight="1">
      <c r="B381" s="196" t="s">
        <v>353</v>
      </c>
    </row>
    <row r="382" spans="2:2" ht="13.5" customHeight="1">
      <c r="B382" s="196" t="s">
        <v>354</v>
      </c>
    </row>
    <row r="383" spans="2:2" ht="13.5" customHeight="1">
      <c r="B383" s="196" t="s">
        <v>355</v>
      </c>
    </row>
    <row r="384" spans="2:2" ht="13.5" customHeight="1">
      <c r="B384" s="196" t="s">
        <v>356</v>
      </c>
    </row>
    <row r="385" spans="2:2" ht="13.5" customHeight="1">
      <c r="B385" s="196" t="s">
        <v>357</v>
      </c>
    </row>
    <row r="386" spans="2:2" ht="13.5" customHeight="1">
      <c r="B386" s="196" t="s">
        <v>358</v>
      </c>
    </row>
    <row r="387" spans="2:2" ht="13.5" customHeight="1">
      <c r="B387" s="196" t="s">
        <v>324</v>
      </c>
    </row>
    <row r="388" spans="2:2" ht="13.5" customHeight="1">
      <c r="B388" s="196" t="s">
        <v>359</v>
      </c>
    </row>
    <row r="389" spans="2:2" ht="13.5" customHeight="1">
      <c r="B389" s="196" t="s">
        <v>325</v>
      </c>
    </row>
    <row r="390" spans="2:2" ht="13.5" customHeight="1">
      <c r="B390" s="196" t="s">
        <v>360</v>
      </c>
    </row>
    <row r="391" spans="2:2" ht="13.5" customHeight="1">
      <c r="B391" s="196" t="s">
        <v>361</v>
      </c>
    </row>
    <row r="392" spans="2:2" ht="13.5" customHeight="1">
      <c r="B392" s="196" t="s">
        <v>326</v>
      </c>
    </row>
    <row r="393" spans="2:2" ht="13.5" customHeight="1">
      <c r="B393" s="196" t="s">
        <v>362</v>
      </c>
    </row>
    <row r="394" spans="2:2" ht="13.5" customHeight="1">
      <c r="B394" s="196" t="s">
        <v>363</v>
      </c>
    </row>
    <row r="395" spans="2:2" ht="13.5" customHeight="1">
      <c r="B395" s="196" t="s">
        <v>327</v>
      </c>
    </row>
    <row r="396" spans="2:2" ht="13.5" customHeight="1">
      <c r="B396" s="196" t="s">
        <v>364</v>
      </c>
    </row>
    <row r="397" spans="2:2" ht="13.5" customHeight="1">
      <c r="B397" s="196" t="s">
        <v>391</v>
      </c>
    </row>
    <row r="398" spans="2:2" ht="18" customHeight="1">
      <c r="B398" s="195" t="s">
        <v>589</v>
      </c>
    </row>
    <row r="399" spans="2:2" ht="13.5" customHeight="1">
      <c r="B399" s="196" t="s">
        <v>524</v>
      </c>
    </row>
    <row r="400" spans="2:2" ht="13.5" customHeight="1">
      <c r="B400" s="196" t="s">
        <v>232</v>
      </c>
    </row>
    <row r="401" spans="2:2" ht="13.5" customHeight="1">
      <c r="B401" s="196" t="s">
        <v>233</v>
      </c>
    </row>
    <row r="402" spans="2:2" s="119" customFormat="1" ht="13.5" customHeight="1">
      <c r="B402" s="196" t="s">
        <v>234</v>
      </c>
    </row>
    <row r="403" spans="2:2" ht="13.5" customHeight="1">
      <c r="B403" s="196" t="s">
        <v>555</v>
      </c>
    </row>
    <row r="404" spans="2:2" ht="13.5" customHeight="1">
      <c r="B404" s="196" t="s">
        <v>235</v>
      </c>
    </row>
    <row r="405" spans="2:2" ht="13.5" customHeight="1">
      <c r="B405" s="196" t="s">
        <v>236</v>
      </c>
    </row>
    <row r="406" spans="2:2" ht="13.5" customHeight="1">
      <c r="B406" s="196" t="s">
        <v>556</v>
      </c>
    </row>
    <row r="407" spans="2:2" ht="13.5" customHeight="1">
      <c r="B407" s="196" t="s">
        <v>237</v>
      </c>
    </row>
    <row r="408" spans="2:2" ht="13.5" customHeight="1">
      <c r="B408" s="196" t="s">
        <v>238</v>
      </c>
    </row>
    <row r="409" spans="2:2" ht="13.5" customHeight="1">
      <c r="B409" s="196" t="s">
        <v>557</v>
      </c>
    </row>
    <row r="410" spans="2:2" ht="13.5" customHeight="1">
      <c r="B410" s="196" t="s">
        <v>239</v>
      </c>
    </row>
    <row r="411" spans="2:2" ht="13.5" customHeight="1">
      <c r="B411" s="196" t="s">
        <v>240</v>
      </c>
    </row>
    <row r="412" spans="2:2" ht="13.5" customHeight="1">
      <c r="B412" s="196" t="s">
        <v>241</v>
      </c>
    </row>
    <row r="413" spans="2:2" ht="13.5" customHeight="1">
      <c r="B413" s="196" t="s">
        <v>242</v>
      </c>
    </row>
    <row r="414" spans="2:2" ht="13.5" customHeight="1">
      <c r="B414" s="196" t="s">
        <v>243</v>
      </c>
    </row>
    <row r="415" spans="2:2" ht="13.5" customHeight="1">
      <c r="B415" s="196" t="s">
        <v>244</v>
      </c>
    </row>
    <row r="416" spans="2:2" ht="13.5" customHeight="1">
      <c r="B416" s="196" t="s">
        <v>245</v>
      </c>
    </row>
    <row r="417" spans="2:2" ht="13.5" customHeight="1">
      <c r="B417" s="196" t="s">
        <v>246</v>
      </c>
    </row>
    <row r="418" spans="2:2" ht="13.5" customHeight="1">
      <c r="B418" s="196" t="s">
        <v>247</v>
      </c>
    </row>
    <row r="419" spans="2:2" ht="13.5" customHeight="1">
      <c r="B419" s="196" t="s">
        <v>248</v>
      </c>
    </row>
    <row r="420" spans="2:2" ht="13.5" customHeight="1">
      <c r="B420" s="196" t="s">
        <v>249</v>
      </c>
    </row>
    <row r="421" spans="2:2" ht="13.5" customHeight="1">
      <c r="B421" s="196" t="s">
        <v>250</v>
      </c>
    </row>
    <row r="422" spans="2:2" ht="13.5" customHeight="1">
      <c r="B422" s="196" t="s">
        <v>251</v>
      </c>
    </row>
    <row r="423" spans="2:2" ht="13.5" customHeight="1">
      <c r="B423" s="196" t="s">
        <v>252</v>
      </c>
    </row>
    <row r="424" spans="2:2" ht="13.5" customHeight="1">
      <c r="B424" s="196" t="s">
        <v>253</v>
      </c>
    </row>
    <row r="425" spans="2:2" ht="13.5" customHeight="1">
      <c r="B425" s="196" t="s">
        <v>254</v>
      </c>
    </row>
    <row r="426" spans="2:2" ht="13.5" customHeight="1">
      <c r="B426" s="196" t="s">
        <v>255</v>
      </c>
    </row>
    <row r="427" spans="2:2" ht="13.5" customHeight="1">
      <c r="B427" s="196" t="s">
        <v>256</v>
      </c>
    </row>
    <row r="428" spans="2:2" ht="13.5" customHeight="1">
      <c r="B428" s="196" t="s">
        <v>257</v>
      </c>
    </row>
    <row r="429" spans="2:2" ht="13.5" customHeight="1">
      <c r="B429" s="196" t="s">
        <v>258</v>
      </c>
    </row>
    <row r="430" spans="2:2" ht="13.5" customHeight="1">
      <c r="B430" s="196" t="s">
        <v>259</v>
      </c>
    </row>
    <row r="431" spans="2:2" ht="13.5" customHeight="1">
      <c r="B431" s="196" t="s">
        <v>260</v>
      </c>
    </row>
    <row r="432" spans="2:2" ht="13.5" customHeight="1">
      <c r="B432" s="196" t="s">
        <v>261</v>
      </c>
    </row>
    <row r="433" spans="2:2" ht="13.5" customHeight="1">
      <c r="B433" s="196" t="s">
        <v>262</v>
      </c>
    </row>
    <row r="434" spans="2:2" s="119" customFormat="1" ht="13.5" customHeight="1">
      <c r="B434" s="196" t="s">
        <v>263</v>
      </c>
    </row>
    <row r="435" spans="2:2" ht="13.5" customHeight="1">
      <c r="B435" s="196" t="s">
        <v>50</v>
      </c>
    </row>
    <row r="436" spans="2:2" ht="13.5" customHeight="1">
      <c r="B436" s="196" t="s">
        <v>264</v>
      </c>
    </row>
    <row r="437" spans="2:2" ht="13.5" customHeight="1">
      <c r="B437" s="196" t="s">
        <v>265</v>
      </c>
    </row>
    <row r="438" spans="2:2" ht="13.5" customHeight="1">
      <c r="B438" s="196" t="s">
        <v>266</v>
      </c>
    </row>
    <row r="439" spans="2:2" ht="13.5" customHeight="1">
      <c r="B439" s="196" t="s">
        <v>267</v>
      </c>
    </row>
    <row r="440" spans="2:2" ht="13.5" customHeight="1">
      <c r="B440" s="196" t="s">
        <v>268</v>
      </c>
    </row>
    <row r="441" spans="2:2" ht="13.5" customHeight="1">
      <c r="B441" s="196" t="s">
        <v>558</v>
      </c>
    </row>
    <row r="442" spans="2:2" ht="13.5" customHeight="1">
      <c r="B442" s="196" t="s">
        <v>269</v>
      </c>
    </row>
    <row r="443" spans="2:2" ht="18" customHeight="1">
      <c r="B443" s="195" t="s">
        <v>590</v>
      </c>
    </row>
    <row r="444" spans="2:2" ht="13.5" customHeight="1">
      <c r="B444" s="196" t="s">
        <v>525</v>
      </c>
    </row>
    <row r="445" spans="2:2" ht="13.5" customHeight="1">
      <c r="B445" s="196" t="s">
        <v>281</v>
      </c>
    </row>
    <row r="446" spans="2:2" ht="13.5" customHeight="1">
      <c r="B446" s="196" t="s">
        <v>559</v>
      </c>
    </row>
    <row r="447" spans="2:2" ht="13.5" customHeight="1">
      <c r="B447" s="196" t="s">
        <v>282</v>
      </c>
    </row>
    <row r="448" spans="2:2" ht="13.5" customHeight="1">
      <c r="B448" s="196" t="s">
        <v>526</v>
      </c>
    </row>
    <row r="449" spans="2:2" ht="13.5" customHeight="1">
      <c r="B449" s="196" t="s">
        <v>283</v>
      </c>
    </row>
    <row r="450" spans="2:2" ht="13.5" customHeight="1">
      <c r="B450" s="196" t="s">
        <v>284</v>
      </c>
    </row>
    <row r="451" spans="2:2" ht="13.5" customHeight="1">
      <c r="B451" s="196" t="s">
        <v>527</v>
      </c>
    </row>
    <row r="452" spans="2:2" s="119" customFormat="1" ht="13.5" customHeight="1">
      <c r="B452" s="196" t="s">
        <v>285</v>
      </c>
    </row>
    <row r="453" spans="2:2" ht="13.5" customHeight="1">
      <c r="B453" s="196" t="s">
        <v>286</v>
      </c>
    </row>
    <row r="454" spans="2:2" ht="13.5" customHeight="1">
      <c r="B454" s="196" t="s">
        <v>287</v>
      </c>
    </row>
    <row r="455" spans="2:2" s="119" customFormat="1" ht="13.5" customHeight="1">
      <c r="B455" s="196" t="s">
        <v>288</v>
      </c>
    </row>
    <row r="456" spans="2:2" ht="13.5" customHeight="1">
      <c r="B456" s="196" t="s">
        <v>409</v>
      </c>
    </row>
    <row r="457" spans="2:2" ht="13.5" customHeight="1">
      <c r="B457" s="196" t="s">
        <v>2</v>
      </c>
    </row>
    <row r="458" spans="2:2" ht="13.5" customHeight="1">
      <c r="B458" s="196" t="s">
        <v>161</v>
      </c>
    </row>
    <row r="459" spans="2:2" ht="13.5" customHeight="1">
      <c r="B459" s="196" t="s">
        <v>289</v>
      </c>
    </row>
    <row r="460" spans="2:2" ht="13.5" customHeight="1">
      <c r="B460" s="196" t="s">
        <v>291</v>
      </c>
    </row>
    <row r="461" spans="2:2" ht="13.5" customHeight="1">
      <c r="B461" s="196" t="s">
        <v>293</v>
      </c>
    </row>
    <row r="462" spans="2:2" ht="13.5" customHeight="1">
      <c r="B462" s="196" t="s">
        <v>560</v>
      </c>
    </row>
    <row r="463" spans="2:2" ht="13.5" customHeight="1">
      <c r="B463" s="196" t="s">
        <v>574</v>
      </c>
    </row>
    <row r="464" spans="2:2" ht="18" customHeight="1">
      <c r="B464" s="195" t="s">
        <v>591</v>
      </c>
    </row>
    <row r="465" spans="2:2" ht="13.5" customHeight="1">
      <c r="B465" s="196" t="s">
        <v>534</v>
      </c>
    </row>
    <row r="466" spans="2:2" ht="13.5" customHeight="1">
      <c r="B466" s="196" t="s">
        <v>535</v>
      </c>
    </row>
    <row r="467" spans="2:2" ht="13.5" customHeight="1">
      <c r="B467" s="196" t="s">
        <v>332</v>
      </c>
    </row>
    <row r="468" spans="2:2" ht="13.5" customHeight="1">
      <c r="B468" s="196" t="s">
        <v>179</v>
      </c>
    </row>
    <row r="469" spans="2:2" ht="13.5" customHeight="1">
      <c r="B469" s="196" t="s">
        <v>180</v>
      </c>
    </row>
    <row r="470" spans="2:2" ht="13.5" customHeight="1">
      <c r="B470" s="196" t="s">
        <v>181</v>
      </c>
    </row>
    <row r="471" spans="2:2" ht="13.5" customHeight="1">
      <c r="B471" s="196" t="s">
        <v>411</v>
      </c>
    </row>
    <row r="472" spans="2:2" ht="13.5" customHeight="1">
      <c r="B472" s="196" t="s">
        <v>182</v>
      </c>
    </row>
    <row r="473" spans="2:2" ht="13.5" customHeight="1">
      <c r="B473" s="196" t="s">
        <v>183</v>
      </c>
    </row>
    <row r="474" spans="2:2" ht="13.5" customHeight="1">
      <c r="B474" s="196" t="s">
        <v>333</v>
      </c>
    </row>
    <row r="475" spans="2:2" ht="13.5" customHeight="1">
      <c r="B475" s="196" t="s">
        <v>536</v>
      </c>
    </row>
    <row r="476" spans="2:2" ht="13.5" customHeight="1">
      <c r="B476" s="196" t="s">
        <v>334</v>
      </c>
    </row>
    <row r="477" spans="2:2" ht="13.5" customHeight="1">
      <c r="B477" s="196" t="s">
        <v>185</v>
      </c>
    </row>
    <row r="478" spans="2:2" ht="13.5" customHeight="1">
      <c r="B478" s="196" t="s">
        <v>321</v>
      </c>
    </row>
    <row r="479" spans="2:2" ht="18" customHeight="1">
      <c r="B479" s="195" t="s">
        <v>592</v>
      </c>
    </row>
    <row r="480" spans="2:2" ht="13.5" customHeight="1">
      <c r="B480" s="196" t="s">
        <v>69</v>
      </c>
    </row>
    <row r="481" spans="2:2" ht="13.5" customHeight="1">
      <c r="B481" s="196" t="s">
        <v>71</v>
      </c>
    </row>
    <row r="482" spans="2:2" ht="13.5" customHeight="1">
      <c r="B482" s="196" t="s">
        <v>528</v>
      </c>
    </row>
    <row r="483" spans="2:2" ht="13.5" customHeight="1">
      <c r="B483" s="196" t="s">
        <v>410</v>
      </c>
    </row>
    <row r="484" spans="2:2" ht="13.5" customHeight="1">
      <c r="B484" s="196" t="s">
        <v>79</v>
      </c>
    </row>
    <row r="485" spans="2:2" ht="13.5" customHeight="1">
      <c r="B485" s="196" t="s">
        <v>529</v>
      </c>
    </row>
    <row r="486" spans="2:2" ht="13.5" customHeight="1">
      <c r="B486" s="196" t="s">
        <v>89</v>
      </c>
    </row>
    <row r="487" spans="2:2" ht="18" customHeight="1">
      <c r="B487" s="195" t="s">
        <v>593</v>
      </c>
    </row>
    <row r="488" spans="2:2" ht="13.5" customHeight="1">
      <c r="B488" s="196" t="s">
        <v>530</v>
      </c>
    </row>
    <row r="489" spans="2:2" ht="13.5" customHeight="1">
      <c r="B489" s="196" t="s">
        <v>392</v>
      </c>
    </row>
    <row r="490" spans="2:2" ht="13.5" customHeight="1">
      <c r="B490" s="196" t="s">
        <v>366</v>
      </c>
    </row>
    <row r="491" spans="2:2" ht="13.5" customHeight="1">
      <c r="B491" s="196" t="s">
        <v>302</v>
      </c>
    </row>
    <row r="492" spans="2:2" ht="13.5" customHeight="1">
      <c r="B492" s="196" t="s">
        <v>303</v>
      </c>
    </row>
    <row r="493" spans="2:2" ht="13.5" customHeight="1">
      <c r="B493" s="196" t="s">
        <v>158</v>
      </c>
    </row>
    <row r="494" spans="2:2" ht="13.5" customHeight="1">
      <c r="B494" s="196" t="s">
        <v>304</v>
      </c>
    </row>
    <row r="495" spans="2:2" ht="13.5" customHeight="1">
      <c r="B495" s="196" t="s">
        <v>531</v>
      </c>
    </row>
    <row r="496" spans="2:2" ht="13.5" customHeight="1">
      <c r="B496" s="196" t="s">
        <v>532</v>
      </c>
    </row>
    <row r="497" spans="2:2" ht="13.5" customHeight="1">
      <c r="B497" s="196" t="s">
        <v>160</v>
      </c>
    </row>
    <row r="498" spans="2:2" ht="13.5" customHeight="1">
      <c r="B498" s="196" t="s">
        <v>305</v>
      </c>
    </row>
    <row r="499" spans="2:2" ht="13.5" customHeight="1">
      <c r="B499" s="196" t="s">
        <v>306</v>
      </c>
    </row>
    <row r="500" spans="2:2" ht="13.5" customHeight="1">
      <c r="B500" s="196" t="s">
        <v>407</v>
      </c>
    </row>
    <row r="501" spans="2:2" ht="13.5" customHeight="1">
      <c r="B501" s="196" t="s">
        <v>533</v>
      </c>
    </row>
    <row r="502" spans="2:2" ht="13.5" customHeight="1">
      <c r="B502" s="196" t="s">
        <v>290</v>
      </c>
    </row>
    <row r="503" spans="2:2" ht="13.5" customHeight="1">
      <c r="B503" s="196" t="s">
        <v>307</v>
      </c>
    </row>
    <row r="504" spans="2:2" ht="13.5" customHeight="1">
      <c r="B504" s="196" t="s">
        <v>308</v>
      </c>
    </row>
    <row r="505" spans="2:2" ht="13.5" customHeight="1">
      <c r="B505" s="196" t="s">
        <v>309</v>
      </c>
    </row>
    <row r="506" spans="2:2" ht="13.5" customHeight="1">
      <c r="B506" s="196" t="s">
        <v>310</v>
      </c>
    </row>
    <row r="507" spans="2:2" ht="13.5" customHeight="1">
      <c r="B507" s="196" t="s">
        <v>311</v>
      </c>
    </row>
    <row r="508" spans="2:2" ht="15" customHeight="1">
      <c r="B508" s="197"/>
    </row>
    <row r="509" spans="2:2" ht="15" customHeight="1"/>
    <row r="510" spans="2:2" ht="15" customHeight="1">
      <c r="B510" s="139" t="str">
        <f>IF(Indice_index!$Z$1=1,"Notas:","Notes:")</f>
        <v>Notas:</v>
      </c>
    </row>
    <row r="511" spans="2:2" ht="24.75" customHeight="1">
      <c r="B511" s="298" t="str">
        <f>IF(Indice_index!$Z$1=1,"A presente listagem, apresenta as entidades da Administração Central que integram o XXV Governo Constitucional, aprovado no Decreto-Lei n.º 87-A/2025, de 25 de julho, para o Orçamento do Estado para 2026.","This list presents the Central Administration entities that are part of XXV Constitucional Government, approved by Decree-Law No. 87-A/2025, of July 25, for the State Budget for 2026.")</f>
        <v>A presente listagem, apresenta as entidades da Administração Central que integram o XXV Governo Constitucional, aprovado no Decreto-Lei n.º 87-A/2025, de 25 de julho, para o Orçamento do Estado para 2026.</v>
      </c>
    </row>
    <row r="512" spans="2:2" ht="20.25" customHeight="1">
      <c r="B512" s="82" t="str">
        <f>IF(Indice_index!$Z$1=1,"Alterações:","Changes:")</f>
        <v>Alterações:</v>
      </c>
    </row>
    <row r="513" spans="1:2" ht="24.75" customHeight="1">
      <c r="B513" s="313" t="str">
        <f>IF(Indice_index!$Z$1=1,"a) Vianapolis, Sociedade para o Desenvolvimento do Programa Polis em Viana do Castelo, S.A. – Extinção nos termos do artigo 137.º da Lei n.º 45-A/2024, de 31 de dezembro.","a) Vianapolis, Society for the Development of the Polis Program in Viana do Castelo, S.A. – Extinction under the terms of article 137 of Law No. 45-A/2024, of December 31.")</f>
        <v>a) Vianapolis, Sociedade para o Desenvolvimento do Programa Polis em Viana do Castelo, S.A. – Extinção nos termos do artigo 137.º da Lei n.º 45-A/2024, de 31 de dezembro.</v>
      </c>
    </row>
    <row r="514" spans="1:2" ht="13.5" customHeight="1">
      <c r="A514" s="112"/>
      <c r="B514" s="313" t="str">
        <f>IF(Indice_index!$Z$1=1,"b) Fundação ULISSES – Fundação para o Desenvolvimento da Gestão – Entidade extinta.","b) ULISSES Foundation – Foundation for Management Development – ​​Extinct entity.")</f>
        <v>b) Fundação ULISSES – Fundação para o Desenvolvimento da Gestão – Entidade extinta.</v>
      </c>
    </row>
    <row r="515" spans="1:2" ht="13.5" customHeight="1">
      <c r="A515" s="112"/>
      <c r="B515" s="313" t="str">
        <f>IF(Indice_index!$Z$1=1,"c) Instituto para o Ensino Superior, I.P. - Criação ao abrigo do Decreto-Lei n.º 109/2025, de 25 de setembro.","c) Institute for Higher Education, I.P. - Created under Law No. 45-A/2024, of December 31.")</f>
        <v>c) Instituto para o Ensino Superior, I.P. - Criação ao abrigo do Decreto-Lei n.º 109/2025, de 25 de setembro.</v>
      </c>
    </row>
    <row r="516" spans="1:2" ht="24.75" customHeight="1">
      <c r="B516" s="313" t="str">
        <f>IF(Indice_index!$Z$1=1,"d) Escola Superior de Enfermagem da Universidade de Lisboa – Alteração de designação nos termos do Decreto-Lei n.º 83/2024, de 31 de outubro.","d) Lisbon University School of Nursing – Name change in accordance with Decree-Law No. 83/2024, of October 31.")</f>
        <v>d) Escola Superior de Enfermagem da Universidade de Lisboa – Alteração de designação nos termos do Decreto-Lei n.º 83/2024, de 31 de outubro.</v>
      </c>
    </row>
    <row r="517" spans="1:2" ht="13.5" customHeight="1">
      <c r="B517" s="313" t="str">
        <f>IF(Indice_index!$Z$1=1,"e) Wil – Projetos Turísticos, S.A. – Entidade extinta.","e) Wil – Projetos Turísticos, S.A. – Extinct entity.")</f>
        <v>e) Wil – Projetos Turísticos, S.A. – Entidade extinta.</v>
      </c>
    </row>
    <row r="518" spans="1:2" ht="36" customHeight="1">
      <c r="B518" s="313" t="str">
        <f>IF(Indice_index!$Z$1=1,"f) Autonomização da Autoridade de Segurança Alimentar e Económica, da Direção Geral da Economia e da Direção Geral do Consumidor, "&amp;"no âmbito da extinção da Gestão Administrativa e Financeira do Ministério da Economia, decorrente da extinção por fusão da Secretaria-Geral do Ministério da Economia, nos termos do Decreto-Lei n.º 43-B/2024, de 2 de julho.","f) Autonomy of the Food and Economic Security Authority, the General Directorate of Economy and the General Directorate of Consumer Affairs, "&amp;_xlfn._LONGTEXT("within the scope of the extinction of the Administrative and Financial Management of the Ministry of Economy, resulting from the extinction by merger of the General Secretariat of the Ministry of Economy, under the terms of Decree-Law No. 43-B/2024, of Ju","ly 2."))</f>
        <v>f) Autonomização da Autoridade de Segurança Alimentar e Económica, da Direção Geral da Economia e da Direção Geral do Consumidor, no âmbito da extinção da Gestão Administrativa e Financeira do Ministério da Economia, decorrente da extinção por fusão da Secretaria-Geral do Ministério da Economia, nos termos do Decreto-Lei n.º 43-B/2024, de 2 de julho.</v>
      </c>
    </row>
    <row r="519" spans="1:2" ht="13.5" customHeight="1">
      <c r="B519" s="313" t="str">
        <f>IF(Indice_index!$Z$1=1,"g) Agência para a Gestão do Sistema Educativo, I.P. - Criação nos termos do Decreto-Lei n.º 99/2025, de 28 de agosto.","g) Education System Management Agency, I.P. - Created under the terms of Decree-Law No. 99/2025, of August 28.")</f>
        <v>g) Agência para a Gestão do Sistema Educativo, I.P. - Criação nos termos do Decreto-Lei n.º 99/2025, de 28 de agosto.</v>
      </c>
    </row>
    <row r="520" spans="1:2" ht="13.5" customHeight="1">
      <c r="B520" s="313" t="str">
        <f>IF(Indice_index!$Z$1=1,"h) Direção-Geral de Estudos, Planeamento e Avaliação - Criação nos termos do Decreto-Lei n.º 101/2025, de 8 de setembro.","h) General Directorate of Studies, Planning and Evaluation - Created under the terms of Decree-Law No. 101/2025, of September 8.")</f>
        <v>h) Direção-Geral de Estudos, Planeamento e Avaliação - Criação nos termos do Decreto-Lei n.º 101/2025, de 8 de setembro.</v>
      </c>
    </row>
    <row r="521" spans="1:2" ht="13.5" customHeight="1">
      <c r="B521" s="313" t="str">
        <f>IF(Indice_index!$Z$1=1,"i) Instituto de Educação, Qualidade e Avaliação, I.P. - Criação nos termos do Decreto-Lei n.º 105/2025, de 12 de setembro.","i) Institute of Education, Quality and Evaluation, I.P. - Created under the terms of Decree-Law No. 105/2025, of September 12.")</f>
        <v>i) Instituto de Educação, Qualidade e Avaliação, I.P. - Criação nos termos do Decreto-Lei n.º 105/2025, de 12 de setembro.</v>
      </c>
    </row>
    <row r="522" spans="1:2" ht="13.5" customHeight="1">
      <c r="B522" s="313" t="str">
        <f>IF(Indice_index!$Z$1=1,"j) Direção-Geral de Recursos Humanos da Defesa Nacional - Criação nos termos do Decreto-Lei n.º 68/2025, de 11 de abril.","j) Directorate-General for Human Resources of National Defence - Created under Decree-Law No. 68/2025, of April 11.")</f>
        <v>j) Direção-Geral de Recursos Humanos da Defesa Nacional - Criação nos termos do Decreto-Lei n.º 68/2025, de 11 de abril.</v>
      </c>
    </row>
    <row r="523" spans="1:2">
      <c r="B523" s="313"/>
    </row>
    <row r="524" spans="1:2">
      <c r="B524" s="313"/>
    </row>
    <row r="525" spans="1:2">
      <c r="B525" s="313"/>
    </row>
    <row r="526" spans="1:2">
      <c r="B526" s="313"/>
    </row>
    <row r="527" spans="1:2">
      <c r="B527" s="313"/>
    </row>
    <row r="528" spans="1:2">
      <c r="B528" s="313"/>
    </row>
    <row r="529" spans="2:2">
      <c r="B529" s="313"/>
    </row>
    <row r="530" spans="2:2">
      <c r="B530" s="313"/>
    </row>
    <row r="531" spans="2:2">
      <c r="B531" s="313"/>
    </row>
    <row r="532" spans="2:2"/>
    <row r="533" spans="2:2"/>
    <row r="534" spans="2:2"/>
    <row r="535" spans="2:2"/>
    <row r="536" spans="2:2"/>
    <row r="537" spans="2:2"/>
    <row r="538" spans="2:2"/>
    <row r="539" spans="2:2"/>
    <row r="540" spans="2:2"/>
    <row r="541" spans="2:2"/>
    <row r="542" spans="2:2"/>
    <row r="543" spans="2:2"/>
    <row r="544" spans="2:2"/>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sheetData>
  <pageMargins left="0.70866141732283472" right="0.70866141732283472" top="0.74803149606299213" bottom="0.74803149606299213" header="0.31496062992125984" footer="0.31496062992125984"/>
  <pageSetup paperSize="9" scale="72" fitToHeight="7" orientation="portrait" r:id="rId1"/>
  <rowBreaks count="6" manualBreakCount="6">
    <brk id="51" min="1" max="1" man="1"/>
    <brk id="111" min="1" max="1" man="1"/>
    <brk id="141" min="1" max="1" man="1"/>
    <brk id="210" min="1" max="1" man="1"/>
    <brk id="277" min="1" max="1" man="1"/>
    <brk id="427"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30"/>
  <sheetViews>
    <sheetView showGridLines="0" zoomScaleNormal="100" workbookViewId="0"/>
  </sheetViews>
  <sheetFormatPr defaultColWidth="0" defaultRowHeight="14.85" customHeight="1" zeroHeight="1"/>
  <cols>
    <col min="1" max="1" width="8.5703125" customWidth="1"/>
    <col min="2" max="2" width="45.5703125" customWidth="1"/>
    <col min="3" max="10" width="9.7109375" customWidth="1"/>
    <col min="11" max="11" width="9.42578125" customWidth="1"/>
    <col min="12" max="16384" width="9.42578125" hidden="1"/>
  </cols>
  <sheetData>
    <row r="1" spans="2:11" ht="14.85" customHeight="1"/>
    <row r="2" spans="2:11" ht="15"/>
    <row r="3" spans="2:11" ht="15"/>
    <row r="4" spans="2:11" ht="15"/>
    <row r="5" spans="2:11" ht="18" customHeight="1">
      <c r="B5" s="254" t="str">
        <f>IF(Indice_index!$Z$1=1,"ANEXOS ESTATÍSTICOS","STATISTICAL ANNEXES")</f>
        <v>ANEXOS ESTATÍSTICOS</v>
      </c>
    </row>
    <row r="6" spans="2:11" ht="18" customHeight="1">
      <c r="B6" s="255" t="str">
        <f>IF(Indice_index!$Z$1=1,"Fevereiro de 2026","February 2026")</f>
        <v>Fevereiro de 2026</v>
      </c>
    </row>
    <row r="7" spans="2:11" ht="50.1" customHeight="1"/>
    <row r="8" spans="2:11" ht="15.7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1" ht="15">
      <c r="B9" s="340" t="str">
        <f>+'3 - Conta AC + SS'!B9</f>
        <v>Período: janeiro a fevereiro</v>
      </c>
      <c r="C9" s="340"/>
      <c r="D9" s="3"/>
      <c r="E9" s="3"/>
      <c r="F9" s="3"/>
      <c r="G9" s="3"/>
      <c r="H9" s="3"/>
      <c r="I9" s="3"/>
      <c r="J9" s="3" t="str">
        <f>IF(Indice_index!$Z$1=1,"€ Milhões","€ Millions")</f>
        <v>€ Milhões</v>
      </c>
    </row>
    <row r="10" spans="2:11" ht="26.85" customHeight="1">
      <c r="B10" s="341" t="str">
        <f>IF(Indice_index!$Z$1=1,"Subsetor e principais destaques","Subsector and main highlights")</f>
        <v>Subsetor e principais destaques</v>
      </c>
      <c r="C10" s="341" t="str">
        <f>IF(Indice_index!$Z$1=1,"Saldo","Balance")</f>
        <v>Saldo</v>
      </c>
      <c r="D10" s="341"/>
      <c r="E10" s="341" t="str">
        <f>IF(Indice_index!$Z$1=1,"Receita","Revenue")</f>
        <v>Receita</v>
      </c>
      <c r="F10" s="341"/>
      <c r="G10" s="341" t="str">
        <f>IF(Indice_index!$Z$1=1,"Despesa","Expense")</f>
        <v>Despesa</v>
      </c>
      <c r="H10" s="341"/>
      <c r="I10" s="341" t="str">
        <f>IF(Indice_index!$Z$1=1,"Variação Homóloga Acumulada (%)","YOY Change Rate
%")</f>
        <v>Variação Homóloga Acumulada (%)</v>
      </c>
      <c r="J10" s="341"/>
    </row>
    <row r="11" spans="2:11" ht="16.350000000000001" customHeight="1">
      <c r="B11" s="341"/>
      <c r="C11" s="22">
        <v>2025</v>
      </c>
      <c r="D11" s="22">
        <v>2026</v>
      </c>
      <c r="E11" s="22">
        <v>2025</v>
      </c>
      <c r="F11" s="22">
        <v>2026</v>
      </c>
      <c r="G11" s="22">
        <v>2025</v>
      </c>
      <c r="H11" s="22">
        <v>2026</v>
      </c>
      <c r="I11" s="120" t="str">
        <f>IF(Indice_index!$Z$1=1,"Receita","Revenue")</f>
        <v>Receita</v>
      </c>
      <c r="J11" s="120" t="str">
        <f>IF(Indice_index!$Z$1=1,"Despesa","Expense")</f>
        <v>Despesa</v>
      </c>
    </row>
    <row r="12" spans="2:11" ht="13.5" customHeight="1">
      <c r="B12" s="283" t="str">
        <f>IF(Indice_index!$Z$1=1,"Administração Central e Segurança Social","Central Administration and Social Security")</f>
        <v>Administração Central e Segurança Social</v>
      </c>
      <c r="C12" s="4">
        <f>'3 - Conta AC + SS'!$E$51</f>
        <v>1748.3434558299996</v>
      </c>
      <c r="D12" s="4">
        <f>'3 - Conta AC + SS'!$F$51</f>
        <v>1400.0404166300032</v>
      </c>
      <c r="E12" s="4">
        <f>'3 - Conta AC + SS'!$E$29</f>
        <v>17911.910002459997</v>
      </c>
      <c r="F12" s="4">
        <f>'3 - Conta AC + SS'!$F$29</f>
        <v>18630.510933370002</v>
      </c>
      <c r="G12" s="4">
        <f>'3 - Conta AC + SS'!$E$50</f>
        <v>16163.566546629998</v>
      </c>
      <c r="H12" s="4">
        <f>'3 - Conta AC + SS'!$F$50</f>
        <v>17230.470516739999</v>
      </c>
      <c r="I12" s="4">
        <f>+IF(IFERROR((F12-E12)/E12*100,"-")&gt;500,"-",IFERROR((F12-E12)/E12*100,"-"))</f>
        <v>4.011860995345069</v>
      </c>
      <c r="J12" s="4">
        <f>+IF(IFERROR((H12-G12)/G12*100,"-")&gt;500,"-",IFERROR((H12-G12)/G12*100,"-"))</f>
        <v>6.6006717455093078</v>
      </c>
    </row>
    <row r="13" spans="2:11" ht="13.5" customHeight="1">
      <c r="B13" s="121" t="str">
        <f>IF(Indice_index!$Z$1=1,"Administração Central","Central Administration")</f>
        <v>Administração Central</v>
      </c>
      <c r="C13" s="4">
        <f>'4 - Conta AC'!$E$51</f>
        <v>520.96233462000237</v>
      </c>
      <c r="D13" s="4">
        <f>'4 - Conta AC'!$F$51</f>
        <v>-86.083966789998158</v>
      </c>
      <c r="E13" s="4">
        <f>'4 - Conta AC'!$E$29</f>
        <v>13176.148127360002</v>
      </c>
      <c r="F13" s="4">
        <f>'4 - Conta AC'!$F$29</f>
        <v>13576.494396910002</v>
      </c>
      <c r="G13" s="4">
        <f>'4 - Conta AC'!$E$50</f>
        <v>12655.18579274</v>
      </c>
      <c r="H13" s="4">
        <f>'4 - Conta AC'!$F$50</f>
        <v>13662.5783637</v>
      </c>
      <c r="I13" s="4">
        <f>+IF(IFERROR((F13-E13)/E13*100,"-")&gt;500,"-",IFERROR((F13-E13)/E13*100,"-"))</f>
        <v>3.0384165818437436</v>
      </c>
      <c r="J13" s="4">
        <f>+IF(IFERROR((H13-G13)/G13*100,"-")&gt;500,"-",IFERROR((H13-G13)/G13*100,"-"))</f>
        <v>7.9603143522232562</v>
      </c>
    </row>
    <row r="14" spans="2:11" ht="13.5" customHeight="1">
      <c r="B14" s="271" t="str">
        <f>IF(Indice_index!$Z$1=1,"da qual:","Of which:")</f>
        <v>da qual:</v>
      </c>
      <c r="C14" s="4"/>
      <c r="D14" s="4"/>
      <c r="E14" s="4"/>
      <c r="F14" s="4"/>
      <c r="G14" s="4"/>
      <c r="H14" s="4"/>
      <c r="I14" s="4"/>
      <c r="J14" s="4"/>
    </row>
    <row r="15" spans="2:11" ht="13.5" customHeight="1">
      <c r="B15" s="311" t="s">
        <v>320</v>
      </c>
      <c r="C15" s="4">
        <f>'5 - Estado'!$E$60</f>
        <v>-492.36672240999724</v>
      </c>
      <c r="D15" s="4">
        <f>'5 - Estado'!$F$60</f>
        <v>-1203.2163178399969</v>
      </c>
      <c r="E15" s="4">
        <f>'5 - Estado'!$E$34</f>
        <v>10545.483608130002</v>
      </c>
      <c r="F15" s="4">
        <f>'5 - Estado'!$F$34</f>
        <v>10874.107263140002</v>
      </c>
      <c r="G15" s="4">
        <f>'5 - Estado'!$E$59</f>
        <v>11037.850330539999</v>
      </c>
      <c r="H15" s="4">
        <f>'5 - Estado'!$F$59</f>
        <v>12077.323580979999</v>
      </c>
      <c r="I15" s="4">
        <f t="shared" ref="I15:I24" si="0">+IF(IFERROR((F15-E15)/E15*100,"-")&gt;500,"-",IFERROR((F15-E15)/E15*100,"-"))</f>
        <v>3.1162502092995434</v>
      </c>
      <c r="J15" s="4">
        <f t="shared" ref="J15:J24" si="1">+IF(IFERROR((H15-G15)/G15*100,"-")&gt;500,"-",IFERROR((H15-G15)/G15*100,"-"))</f>
        <v>9.4173522861053893</v>
      </c>
    </row>
    <row r="16" spans="2:11" ht="13.5" customHeight="1">
      <c r="B16" s="330" t="s">
        <v>1</v>
      </c>
      <c r="C16" s="4">
        <v>133.2963710700003</v>
      </c>
      <c r="D16" s="4">
        <v>221.11788051000013</v>
      </c>
      <c r="E16" s="4">
        <v>2270.3865556900009</v>
      </c>
      <c r="F16" s="4">
        <v>2441.7077951199994</v>
      </c>
      <c r="G16" s="4">
        <v>2137.0901846200004</v>
      </c>
      <c r="H16" s="4">
        <v>2220.5899146099996</v>
      </c>
      <c r="I16" s="4">
        <f t="shared" si="0"/>
        <v>7.5459061806297427</v>
      </c>
      <c r="J16" s="4">
        <f t="shared" si="1"/>
        <v>3.9071692243463478</v>
      </c>
      <c r="K16" s="5"/>
    </row>
    <row r="17" spans="2:11" ht="13.5" customHeight="1">
      <c r="B17" s="330" t="s">
        <v>86</v>
      </c>
      <c r="C17" s="4">
        <v>0</v>
      </c>
      <c r="D17" s="4">
        <v>24.51963061</v>
      </c>
      <c r="E17" s="4">
        <v>0</v>
      </c>
      <c r="F17" s="4">
        <v>24.51963061</v>
      </c>
      <c r="G17" s="4">
        <v>0</v>
      </c>
      <c r="H17" s="4">
        <v>0</v>
      </c>
      <c r="I17" s="4" t="str">
        <f t="shared" si="0"/>
        <v>-</v>
      </c>
      <c r="J17" s="4" t="str">
        <f t="shared" si="1"/>
        <v>-</v>
      </c>
      <c r="K17" s="5"/>
    </row>
    <row r="18" spans="2:11" ht="13.5" customHeight="1">
      <c r="B18" s="311" t="s">
        <v>2</v>
      </c>
      <c r="C18" s="4">
        <v>70.277984369999999</v>
      </c>
      <c r="D18" s="4">
        <v>93.803011300000023</v>
      </c>
      <c r="E18" s="4">
        <v>72.088400700000008</v>
      </c>
      <c r="F18" s="4">
        <v>101.68273959000004</v>
      </c>
      <c r="G18" s="4">
        <v>1.8104163300000005</v>
      </c>
      <c r="H18" s="4">
        <v>7.8797282900000001</v>
      </c>
      <c r="I18" s="4">
        <f t="shared" si="0"/>
        <v>41.052844289275555</v>
      </c>
      <c r="J18" s="4">
        <f t="shared" si="1"/>
        <v>335.24399108795035</v>
      </c>
      <c r="K18" s="5"/>
    </row>
    <row r="19" spans="2:11" ht="13.5" customHeight="1">
      <c r="B19" s="330" t="s">
        <v>0</v>
      </c>
      <c r="C19" s="4">
        <v>31.463141579999998</v>
      </c>
      <c r="D19" s="4">
        <v>47.912121669999998</v>
      </c>
      <c r="E19" s="4">
        <v>31.469286219999997</v>
      </c>
      <c r="F19" s="4">
        <v>54.207950849999996</v>
      </c>
      <c r="G19" s="4">
        <v>6.1446400000000007E-3</v>
      </c>
      <c r="H19" s="4">
        <v>6.2958291800000001</v>
      </c>
      <c r="I19" s="4">
        <f t="shared" ref="I19" si="2">+IF(IFERROR((F19-E19)/E19*100,"-")&gt;500,"-",IFERROR((F19-E19)/E19*100,"-"))</f>
        <v>72.256690129656207</v>
      </c>
      <c r="J19" s="4" t="str">
        <f t="shared" ref="J19" si="3">+IF(IFERROR((H19-G19)/G19*100,"-")&gt;500,"-",IFERROR((H19-G19)/G19*100,"-"))</f>
        <v>-</v>
      </c>
      <c r="K19" s="5"/>
    </row>
    <row r="20" spans="2:11" ht="24" customHeight="1">
      <c r="B20" s="330" t="s">
        <v>72</v>
      </c>
      <c r="C20" s="4">
        <v>247.3455853399999</v>
      </c>
      <c r="D20" s="4">
        <v>261.46051302000012</v>
      </c>
      <c r="E20" s="4">
        <v>1177.8277712300001</v>
      </c>
      <c r="F20" s="4">
        <v>1229.81075917</v>
      </c>
      <c r="G20" s="4">
        <v>930.4821858900001</v>
      </c>
      <c r="H20" s="4">
        <v>968.35024614999998</v>
      </c>
      <c r="I20" s="4">
        <f t="shared" si="0"/>
        <v>4.4134625799928573</v>
      </c>
      <c r="J20" s="4">
        <f t="shared" si="1"/>
        <v>4.0697243681005375</v>
      </c>
      <c r="K20" s="5"/>
    </row>
    <row r="21" spans="2:11" ht="24" customHeight="1">
      <c r="B21" s="330" t="s">
        <v>75</v>
      </c>
      <c r="C21" s="4">
        <v>24.831011629999999</v>
      </c>
      <c r="D21" s="4">
        <v>7.6755494500000001</v>
      </c>
      <c r="E21" s="4">
        <v>27.582707329999998</v>
      </c>
      <c r="F21" s="4">
        <v>11.53147699</v>
      </c>
      <c r="G21" s="4">
        <v>2.7516957000000009</v>
      </c>
      <c r="H21" s="4">
        <v>3.8559275400000002</v>
      </c>
      <c r="I21" s="4">
        <f t="shared" si="0"/>
        <v>-58.193092316728709</v>
      </c>
      <c r="J21" s="4">
        <f t="shared" si="1"/>
        <v>40.129140733112273</v>
      </c>
      <c r="K21" s="5"/>
    </row>
    <row r="22" spans="2:11" ht="13.5" customHeight="1">
      <c r="B22" s="121" t="str">
        <f>IF(Indice_index!$Z$1=1,"Segurança Social","Social Security")</f>
        <v>Segurança Social</v>
      </c>
      <c r="C22" s="4">
        <f>'10 - SS'!$E$69</f>
        <v>1227.381121209999</v>
      </c>
      <c r="D22" s="4">
        <f>'10 - SS'!$F$69</f>
        <v>1486.1243834199986</v>
      </c>
      <c r="E22" s="4">
        <f>'10 - SS'!$E$34</f>
        <v>7135.4856692600006</v>
      </c>
      <c r="F22" s="4">
        <f>'10 - SS'!$F$34</f>
        <v>7600.9392296299993</v>
      </c>
      <c r="G22" s="4">
        <f>'10 - SS'!$E$68</f>
        <v>5908.1045480500015</v>
      </c>
      <c r="H22" s="4">
        <f>'10 - SS'!$F$68</f>
        <v>6114.8148462100007</v>
      </c>
      <c r="I22" s="4">
        <f t="shared" si="0"/>
        <v>6.5230817066201112</v>
      </c>
      <c r="J22" s="4">
        <f t="shared" si="1"/>
        <v>3.498758298517668</v>
      </c>
    </row>
    <row r="23" spans="2:11" ht="14.1" customHeight="1">
      <c r="B23" s="283" t="str">
        <f>IF(Indice_index!$Z$1=1,"Administração Regional","Regional Administration")</f>
        <v>Administração Regional</v>
      </c>
      <c r="C23" s="4">
        <f>+E23-G23</f>
        <v>22.474152930000059</v>
      </c>
      <c r="D23" s="4">
        <f>+F23-H23</f>
        <v>-6.9547604999999066</v>
      </c>
      <c r="E23" s="4">
        <f>'12 - Adm R'!$I$43</f>
        <v>551.61491346000003</v>
      </c>
      <c r="F23" s="4">
        <f>'12 - Adm R'!$J$43</f>
        <v>545.9058306500001</v>
      </c>
      <c r="G23" s="4">
        <f>'12 - Adm R'!$I$64</f>
        <v>529.14076052999997</v>
      </c>
      <c r="H23" s="4">
        <f>'12 - Adm R'!$J$64</f>
        <v>552.86059115</v>
      </c>
      <c r="I23" s="4">
        <f t="shared" si="0"/>
        <v>-1.0349761528726176</v>
      </c>
      <c r="J23" s="4">
        <f t="shared" si="1"/>
        <v>4.4827071337769731</v>
      </c>
    </row>
    <row r="24" spans="2:11" ht="14.1" customHeight="1">
      <c r="B24" s="283" t="str">
        <f>IF(Indice_index!$Z$1=1,"Administração Local","Local Administration")</f>
        <v>Administração Local</v>
      </c>
      <c r="C24" s="4">
        <f>+E24-G24</f>
        <v>348.58138664835838</v>
      </c>
      <c r="D24" s="4">
        <f>+F24-H24</f>
        <v>599.35078657614827</v>
      </c>
      <c r="E24" s="4">
        <v>2068.3131114788189</v>
      </c>
      <c r="F24" s="4">
        <v>2387.5645407157849</v>
      </c>
      <c r="G24" s="4">
        <v>1719.7317248304605</v>
      </c>
      <c r="H24" s="4">
        <v>1788.2137541396366</v>
      </c>
      <c r="I24" s="4">
        <f t="shared" si="0"/>
        <v>15.435352967844656</v>
      </c>
      <c r="J24" s="4">
        <f t="shared" si="1"/>
        <v>3.9821344411104258</v>
      </c>
    </row>
    <row r="25" spans="2:11" ht="14.1" customHeight="1">
      <c r="B25" s="6" t="str">
        <f>IF(Indice_index!$Z$1=1,"Administrações Públicas","Public Administrations")</f>
        <v>Administrações Públicas</v>
      </c>
      <c r="C25" s="7">
        <f>'2 - Conta Consol AP'!$H$52</f>
        <v>2119.398995408359</v>
      </c>
      <c r="D25" s="8">
        <f>'2 - Conta Consol AP'!$M$52</f>
        <v>1992.4364427061482</v>
      </c>
      <c r="E25" s="7">
        <f>'2 - Conta Consol AP'!$H$30</f>
        <v>19227.152765838819</v>
      </c>
      <c r="F25" s="7">
        <f>'2 - Conta Consol AP'!$M$30</f>
        <v>20183.613368905786</v>
      </c>
      <c r="G25" s="7">
        <f>'2 - Conta Consol AP'!$H$51</f>
        <v>17107.75377043046</v>
      </c>
      <c r="H25" s="7">
        <f>'2 - Conta Consol AP'!$M$51</f>
        <v>18191.176926199638</v>
      </c>
      <c r="I25" s="8">
        <f>+IFERROR((F25-E25)/E25*100,"-")</f>
        <v>4.9745306271572662</v>
      </c>
      <c r="J25" s="8">
        <f>+IFERROR((H25-G25)/G25*100,"-")</f>
        <v>6.3329363416592912</v>
      </c>
    </row>
    <row r="26" spans="2:11" ht="25.5" customHeight="1">
      <c r="B26" s="339" t="str">
        <f>IF(Indice_index!$Z$1=1,"Nota: Valores na ótica de caixa (Contabilidade Pública) não consolidados de fluxos intersetoriais; divergências relativamente aos valores publicados em 2025 devem-se a atualizações de valores.","Note: Unconsolidated cash values (Public Accounting) of intersectoral flows; Differences in relation to the values published in 2025 are due to value updates.")</f>
        <v>Nota: Valores na ótica de caixa (Contabilidade Pública) não consolidados de fluxos intersetoriais; divergências relativamente aos valores publicados em 2025 devem-se a atualizações de valores.</v>
      </c>
      <c r="C26" s="339"/>
      <c r="D26" s="339"/>
      <c r="E26" s="339"/>
      <c r="F26" s="339"/>
      <c r="G26" s="339"/>
      <c r="H26" s="339"/>
      <c r="I26" s="339"/>
      <c r="J26" s="339"/>
    </row>
    <row r="27" spans="2:11" ht="15.6" customHeight="1">
      <c r="B27" s="139" t="str">
        <f>IF(Indice_index!$Z$1=1,"Fonte: Entidade Orçamental.","Source: Budgetary Entity")</f>
        <v>Fonte: Entidade Orçamental.</v>
      </c>
      <c r="C27" s="9"/>
      <c r="D27" s="9"/>
      <c r="E27" s="5"/>
      <c r="F27" s="5"/>
      <c r="G27" s="148"/>
      <c r="H27" s="148"/>
      <c r="I27" s="148"/>
      <c r="J27" s="9"/>
    </row>
    <row r="28" spans="2:11" ht="14.85" customHeight="1"/>
    <row r="29" spans="2:11" ht="14.85" customHeight="1"/>
    <row r="30" spans="2:11" ht="14.85"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85" customHeight="1" zeroHeight="1"/>
  <cols>
    <col min="1" max="1" width="8.5703125" style="20" customWidth="1"/>
    <col min="2" max="2" width="32.5703125" style="20" customWidth="1"/>
    <col min="3" max="14" width="9.5703125" style="20" customWidth="1"/>
    <col min="15" max="15" width="9.42578125" style="20" customWidth="1"/>
    <col min="16" max="16384" width="9.42578125" hidden="1"/>
  </cols>
  <sheetData>
    <row r="1" spans="1:15" ht="14.85" customHeight="1"/>
    <row r="2" spans="1:15" ht="15">
      <c r="A2" s="11"/>
      <c r="B2" s="12"/>
      <c r="C2" s="13"/>
      <c r="D2" s="11"/>
      <c r="E2" s="11"/>
      <c r="F2" s="11"/>
      <c r="G2" s="11"/>
      <c r="H2" s="11"/>
      <c r="I2" s="11"/>
      <c r="J2" s="11"/>
      <c r="K2" s="11"/>
      <c r="L2" s="10"/>
      <c r="M2" s="10"/>
      <c r="N2" s="10"/>
      <c r="O2" s="10"/>
    </row>
    <row r="3" spans="1:15" ht="15">
      <c r="A3" s="11"/>
      <c r="B3" s="12"/>
      <c r="C3" s="13"/>
      <c r="D3" s="11"/>
      <c r="E3" s="11"/>
      <c r="F3" s="11"/>
      <c r="G3" s="11"/>
      <c r="H3" s="11"/>
      <c r="I3" s="11"/>
      <c r="J3" s="11"/>
      <c r="K3" s="11"/>
      <c r="L3" s="10"/>
      <c r="M3" s="10"/>
      <c r="N3" s="10"/>
      <c r="O3" s="10"/>
    </row>
    <row r="4" spans="1:15" ht="15">
      <c r="A4" s="11"/>
      <c r="B4" s="12"/>
      <c r="C4" s="13"/>
      <c r="D4" s="11"/>
      <c r="E4" s="11"/>
      <c r="F4" s="11"/>
      <c r="G4" s="11"/>
      <c r="H4" s="11"/>
      <c r="I4" s="11"/>
      <c r="J4" s="11"/>
      <c r="K4" s="11"/>
      <c r="L4" s="10"/>
      <c r="M4" s="10"/>
      <c r="N4" s="10"/>
      <c r="O4" s="10"/>
    </row>
    <row r="5" spans="1:15" ht="18" customHeight="1">
      <c r="A5"/>
      <c r="B5" s="254" t="str">
        <f>IF(Indice_index!$Z$1=1,"ANEXOS ESTATÍSTICOS","STATISTICAL ANNEXES")</f>
        <v>ANEXOS ESTATÍSTICOS</v>
      </c>
      <c r="C5"/>
      <c r="D5"/>
      <c r="E5"/>
      <c r="F5"/>
      <c r="G5"/>
      <c r="H5"/>
      <c r="I5"/>
      <c r="J5"/>
      <c r="K5"/>
      <c r="L5"/>
      <c r="M5"/>
      <c r="N5"/>
      <c r="O5"/>
    </row>
    <row r="6" spans="1:15" ht="18" customHeight="1">
      <c r="A6"/>
      <c r="B6" s="255" t="str">
        <f>IF(Indice_index!$Z$1=1,"Fevereiro de 2026","February 2026")</f>
        <v>Fevereiro de 2026</v>
      </c>
      <c r="C6"/>
      <c r="D6"/>
      <c r="E6"/>
      <c r="F6"/>
      <c r="G6"/>
      <c r="H6"/>
      <c r="I6"/>
      <c r="J6"/>
      <c r="K6"/>
      <c r="L6"/>
      <c r="M6"/>
      <c r="N6"/>
      <c r="O6"/>
    </row>
    <row r="7" spans="1:15" ht="50.1" customHeight="1">
      <c r="A7" s="11"/>
      <c r="B7" s="12"/>
      <c r="C7" s="13"/>
      <c r="D7" s="11"/>
      <c r="E7" s="11"/>
      <c r="F7" s="11"/>
      <c r="G7" s="11"/>
      <c r="H7" s="11"/>
      <c r="I7" s="11"/>
      <c r="J7" s="11"/>
      <c r="K7" s="11"/>
      <c r="L7" s="10"/>
      <c r="M7" s="10"/>
      <c r="N7" s="10"/>
      <c r="O7" s="10"/>
    </row>
    <row r="8" spans="1:15" ht="15.7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5">
      <c r="A9" s="3"/>
      <c r="B9" s="340" t="str">
        <f>+'3 - Conta AC + SS'!B9</f>
        <v>Período: janeiro a fevereiro</v>
      </c>
      <c r="C9" s="340"/>
      <c r="D9" s="3"/>
      <c r="E9" s="3"/>
      <c r="F9" s="3"/>
      <c r="G9" s="3"/>
      <c r="H9" s="3"/>
      <c r="I9" s="3"/>
      <c r="J9" s="3"/>
      <c r="K9" s="3"/>
      <c r="L9" s="3"/>
      <c r="M9" s="3"/>
      <c r="N9" s="3" t="str">
        <f>IF(Indice_index!$Z$1=1,"€ Milhões","€ Millions")</f>
        <v>€ Milhões</v>
      </c>
      <c r="O9" s="3"/>
    </row>
    <row r="10" spans="1:15" ht="26.85" customHeight="1">
      <c r="A10" s="14"/>
      <c r="B10" s="345"/>
      <c r="C10" s="22" t="str">
        <f>IF(Indice_index!$Z$1=1,"Execução Provisória","Provisional Execution")</f>
        <v>Execução Provisória</v>
      </c>
      <c r="D10" s="348" t="str">
        <f>IF(Indice_index!$Z$1=1,"Execução Acumulada","Accumulated Execution")</f>
        <v>Execução Acumulada</v>
      </c>
      <c r="E10" s="349"/>
      <c r="F10" s="349"/>
      <c r="G10" s="349"/>
      <c r="H10" s="349"/>
      <c r="I10" s="349"/>
      <c r="J10" s="349"/>
      <c r="K10" s="349"/>
      <c r="L10" s="349"/>
      <c r="M10" s="349"/>
      <c r="N10" s="122" t="str">
        <f>IF(Indice_index!$Z$1=1,"Orçamento Inicial","Budget")</f>
        <v>Orçamento Inicial</v>
      </c>
      <c r="O10" s="14"/>
    </row>
    <row r="11" spans="1:15" ht="16.350000000000001" customHeight="1">
      <c r="A11" s="15"/>
      <c r="B11" s="346"/>
      <c r="C11" s="348">
        <v>2025</v>
      </c>
      <c r="D11" s="349"/>
      <c r="E11" s="349"/>
      <c r="F11" s="349"/>
      <c r="G11" s="349"/>
      <c r="H11" s="350"/>
      <c r="I11" s="348">
        <v>2026</v>
      </c>
      <c r="J11" s="349"/>
      <c r="K11" s="349"/>
      <c r="L11" s="349"/>
      <c r="M11" s="349"/>
      <c r="N11" s="350"/>
      <c r="O11" s="15"/>
    </row>
    <row r="12" spans="1:15" ht="36">
      <c r="A12" s="16"/>
      <c r="B12" s="347"/>
      <c r="C12" s="122" t="str">
        <f>IF(Indice_index!$Z$1=1,"Adm. Públicas","General Government")</f>
        <v>Adm. Públicas</v>
      </c>
      <c r="D12" s="122" t="str">
        <f>IF(Indice_index!$Z$1=1,"Estado","State")</f>
        <v>Estado</v>
      </c>
      <c r="E12" s="122" t="str">
        <f>IF(Indice_index!$Z$1=1,"Serviços e Fundos Autónomos","Autonomous Funds and Services")</f>
        <v>Serviços e Fundos Autónomos</v>
      </c>
      <c r="F12" s="122" t="str">
        <f>IF(Indice_index!$Z$1=1,"Adm. Local e Regional","Local and Regional Government")</f>
        <v>Adm. Local e Regional</v>
      </c>
      <c r="G12" s="122" t="str">
        <f>IF(Indice_index!$Z$1=1,"Segurança Social","Social Security")</f>
        <v>Segurança Social</v>
      </c>
      <c r="H12" s="122" t="str">
        <f>IF(Indice_index!$Z$1=1,"Adm. Públicas","General Government")</f>
        <v>Adm. Públicas</v>
      </c>
      <c r="I12" s="122" t="str">
        <f>IF(Indice_index!$Z$1=1,"Estado","State")</f>
        <v>Estado</v>
      </c>
      <c r="J12" s="122" t="str">
        <f>IF(Indice_index!$Z$1=1,"Serviços e Fundos Autónomos","Autonomous Funds and Services")</f>
        <v>Serviços e Fundos Autónomos</v>
      </c>
      <c r="K12" s="122" t="str">
        <f>IF(Indice_index!$Z$1=1,"Adm. Local e Regional","Local and Regional Government")</f>
        <v>Adm. Local e Regional</v>
      </c>
      <c r="L12" s="122" t="str">
        <f>IF(Indice_index!$Z$1=1,"Segurança Social","Social Security")</f>
        <v>Segurança Social</v>
      </c>
      <c r="M12" s="122" t="str">
        <f>IF(Indice_index!$Z$1=1,"Adm. Públicas","General Government")</f>
        <v>Adm. Públicas</v>
      </c>
      <c r="N12" s="122" t="str">
        <f>IF(Indice_index!$Z$1=1,"Adm. Públicas","General Government")</f>
        <v>Adm. Públicas</v>
      </c>
      <c r="O12" s="15"/>
    </row>
    <row r="13" spans="1:15" ht="14.1" customHeight="1">
      <c r="A13" s="128"/>
      <c r="B13" s="167" t="str">
        <f>IF(Indice_index!$Z$1=1,"Receita corrente","Current revenue")</f>
        <v>Receita corrente</v>
      </c>
      <c r="C13" s="128">
        <f t="shared" ref="C13" si="0">C14+C17+C18+C21+C22</f>
        <v>126074.16248427244</v>
      </c>
      <c r="D13" s="128">
        <f t="shared" ref="D13:N13" si="1">D14+D17+D18+D21+D22</f>
        <v>10510.522750850003</v>
      </c>
      <c r="E13" s="128">
        <f t="shared" si="1"/>
        <v>6596.3361215599989</v>
      </c>
      <c r="F13" s="128">
        <f t="shared" si="1"/>
        <v>2292.3564941750506</v>
      </c>
      <c r="G13" s="128">
        <f t="shared" si="1"/>
        <v>7135.4843122299999</v>
      </c>
      <c r="H13" s="128">
        <f t="shared" si="1"/>
        <v>18747.976720645049</v>
      </c>
      <c r="I13" s="128">
        <f t="shared" si="1"/>
        <v>10820.263719370001</v>
      </c>
      <c r="J13" s="128">
        <f t="shared" si="1"/>
        <v>7244.387847850001</v>
      </c>
      <c r="K13" s="128">
        <f t="shared" si="1"/>
        <v>2528.9060963597726</v>
      </c>
      <c r="L13" s="128">
        <f t="shared" si="1"/>
        <v>7600.9156201700007</v>
      </c>
      <c r="M13" s="128">
        <f t="shared" si="1"/>
        <v>19604.700811109775</v>
      </c>
      <c r="N13" s="128">
        <f t="shared" si="1"/>
        <v>134373.79689428399</v>
      </c>
      <c r="O13" s="151"/>
    </row>
    <row r="14" spans="1:15" ht="14.1" customHeight="1">
      <c r="A14" s="4"/>
      <c r="B14" s="121" t="str">
        <f>IF(Indice_index!$Z$1=1,"Receita fiscal","Tax")</f>
        <v>Receita fiscal</v>
      </c>
      <c r="C14" s="4">
        <f t="shared" ref="C14" si="2">C15+C16</f>
        <v>72697.179140152381</v>
      </c>
      <c r="D14" s="4">
        <f t="shared" ref="D14:N14" si="3">D15+D16</f>
        <v>9676.4113101100011</v>
      </c>
      <c r="E14" s="4">
        <f t="shared" si="3"/>
        <v>157.52097382999997</v>
      </c>
      <c r="F14" s="4">
        <f t="shared" si="3"/>
        <v>800.16699725634271</v>
      </c>
      <c r="G14" s="4">
        <f t="shared" si="3"/>
        <v>36.27173329</v>
      </c>
      <c r="H14" s="4">
        <f t="shared" si="3"/>
        <v>10670.371014486343</v>
      </c>
      <c r="I14" s="4">
        <f t="shared" si="3"/>
        <v>9623.6622541500001</v>
      </c>
      <c r="J14" s="4">
        <f t="shared" si="3"/>
        <v>157.74858015999999</v>
      </c>
      <c r="K14" s="4">
        <f t="shared" si="3"/>
        <v>949.68533294340466</v>
      </c>
      <c r="L14" s="4">
        <f t="shared" si="3"/>
        <v>48.012818449999997</v>
      </c>
      <c r="M14" s="4">
        <f t="shared" si="3"/>
        <v>10779.108985703406</v>
      </c>
      <c r="N14" s="4">
        <f t="shared" si="3"/>
        <v>75244.614039223961</v>
      </c>
      <c r="O14" s="152"/>
    </row>
    <row r="15" spans="1:15" ht="14.1" customHeight="1">
      <c r="A15" s="4"/>
      <c r="B15" s="165" t="str">
        <f>IF(Indice_index!$Z$1=1,"Impostos diretos","Direct taxes")</f>
        <v>Impostos diretos</v>
      </c>
      <c r="C15" s="4">
        <v>34306.03035129045</v>
      </c>
      <c r="D15" s="4">
        <v>3514.87287251</v>
      </c>
      <c r="E15" s="4">
        <v>0</v>
      </c>
      <c r="F15" s="4">
        <v>581.95857209634266</v>
      </c>
      <c r="G15" s="4">
        <v>0</v>
      </c>
      <c r="H15" s="4">
        <v>4096.8314446063423</v>
      </c>
      <c r="I15" s="4">
        <v>3413.6998501400003</v>
      </c>
      <c r="J15" s="4">
        <v>0</v>
      </c>
      <c r="K15" s="4">
        <v>722.59100373482261</v>
      </c>
      <c r="L15" s="4">
        <v>0</v>
      </c>
      <c r="M15" s="4">
        <v>4136.2908538748234</v>
      </c>
      <c r="N15" s="4">
        <v>34984.718168637359</v>
      </c>
      <c r="O15" s="152"/>
    </row>
    <row r="16" spans="1:15" ht="14.1" customHeight="1">
      <c r="A16" s="4"/>
      <c r="B16" s="165" t="str">
        <f>IF(Indice_index!$Z$1=1,"Impostos indiretos","Indirect taxes")</f>
        <v>Impostos indiretos</v>
      </c>
      <c r="C16" s="4">
        <v>38391.148788861923</v>
      </c>
      <c r="D16" s="4">
        <v>6161.5384376000011</v>
      </c>
      <c r="E16" s="4">
        <v>157.52097382999997</v>
      </c>
      <c r="F16" s="4">
        <v>218.20842515999999</v>
      </c>
      <c r="G16" s="4">
        <v>36.27173329</v>
      </c>
      <c r="H16" s="4">
        <v>6573.5395698800012</v>
      </c>
      <c r="I16" s="4">
        <v>6209.9624040100007</v>
      </c>
      <c r="J16" s="4">
        <v>157.74858015999999</v>
      </c>
      <c r="K16" s="4">
        <v>227.09432920858208</v>
      </c>
      <c r="L16" s="4">
        <v>48.012818449999997</v>
      </c>
      <c r="M16" s="4">
        <v>6642.8181318285815</v>
      </c>
      <c r="N16" s="4">
        <v>40259.89587058661</v>
      </c>
      <c r="O16" s="152"/>
    </row>
    <row r="17" spans="2:14" ht="14.1" customHeight="1">
      <c r="B17" s="121" t="str">
        <f>IF(Indice_index!$Z$1=1,"Contribuições de Segurança Social","Social security contributions")</f>
        <v>Contribuições de Segurança Social</v>
      </c>
      <c r="C17" s="4">
        <v>34837.418473089994</v>
      </c>
      <c r="D17" s="4">
        <v>13.52674515</v>
      </c>
      <c r="E17" s="4">
        <v>612.08729344999995</v>
      </c>
      <c r="F17" s="4">
        <v>0</v>
      </c>
      <c r="G17" s="4">
        <v>4719.8169242399999</v>
      </c>
      <c r="H17" s="4">
        <v>5345.4309628399997</v>
      </c>
      <c r="I17" s="4">
        <v>16.048162990000002</v>
      </c>
      <c r="J17" s="4">
        <v>639.62432590000003</v>
      </c>
      <c r="K17" s="4">
        <v>0</v>
      </c>
      <c r="L17" s="4">
        <v>5110.5480923300001</v>
      </c>
      <c r="M17" s="4">
        <v>5766.22058122</v>
      </c>
      <c r="N17" s="4">
        <v>36584.781092999998</v>
      </c>
    </row>
    <row r="18" spans="2:14" ht="14.1" customHeight="1">
      <c r="B18" s="121" t="str">
        <f>IF(Indice_index!$Z$1=1,"Transferências correntes","Current transfers")</f>
        <v>Transferências correntes</v>
      </c>
      <c r="C18" s="4">
        <f t="shared" ref="C18" si="4">+C19+C20</f>
        <v>3782.6254916259986</v>
      </c>
      <c r="D18" s="4">
        <f t="shared" ref="D18:N18" si="5">+D19+D20</f>
        <v>164.01359411999999</v>
      </c>
      <c r="E18" s="4">
        <f t="shared" si="5"/>
        <v>4778.4319408399988</v>
      </c>
      <c r="F18" s="4">
        <f t="shared" si="5"/>
        <v>1053.0131242950204</v>
      </c>
      <c r="G18" s="4">
        <f t="shared" si="5"/>
        <v>2180.8840028499999</v>
      </c>
      <c r="H18" s="4">
        <f t="shared" si="5"/>
        <v>505.01888424502062</v>
      </c>
      <c r="I18" s="4">
        <f t="shared" si="5"/>
        <v>181.55452337</v>
      </c>
      <c r="J18" s="4">
        <f t="shared" si="5"/>
        <v>5463.3562347100014</v>
      </c>
      <c r="K18" s="4">
        <f t="shared" si="5"/>
        <v>1092.4913420183263</v>
      </c>
      <c r="L18" s="4">
        <f t="shared" si="5"/>
        <v>2236.3494253500003</v>
      </c>
      <c r="M18" s="4">
        <f t="shared" si="5"/>
        <v>536.9119033983261</v>
      </c>
      <c r="N18" s="4">
        <f t="shared" si="5"/>
        <v>5805.6039044350437</v>
      </c>
    </row>
    <row r="19" spans="2:14" ht="14.1" customHeight="1">
      <c r="B19" s="165" t="str">
        <f>IF(Indice_index!$Z$1=1,"Administrações Públicas","General Government subsectors")</f>
        <v>Administrações Públicas</v>
      </c>
      <c r="C19" s="4">
        <v>0</v>
      </c>
      <c r="D19" s="4">
        <v>127.46585622999999</v>
      </c>
      <c r="E19" s="4">
        <v>4585.7321230799989</v>
      </c>
      <c r="F19" s="4">
        <v>1019.8396431199999</v>
      </c>
      <c r="G19" s="4">
        <v>1938.28615543</v>
      </c>
      <c r="H19" s="4">
        <v>0</v>
      </c>
      <c r="I19" s="4">
        <v>136.94731084999998</v>
      </c>
      <c r="J19" s="4">
        <v>5151.3202836200016</v>
      </c>
      <c r="K19" s="4">
        <v>1055.1333462900002</v>
      </c>
      <c r="L19" s="4">
        <v>2093.4386812900002</v>
      </c>
      <c r="M19" s="4">
        <v>0</v>
      </c>
      <c r="N19" s="4">
        <v>0</v>
      </c>
    </row>
    <row r="20" spans="2:14" ht="14.1" customHeight="1">
      <c r="B20" s="165" t="str">
        <f>IF(Indice_index!$Z$1=1,"Outras","Others")</f>
        <v>Outras</v>
      </c>
      <c r="C20" s="4">
        <v>3782.6254916259986</v>
      </c>
      <c r="D20" s="4">
        <v>36.547737890000001</v>
      </c>
      <c r="E20" s="4">
        <v>192.69981776000009</v>
      </c>
      <c r="F20" s="4">
        <v>33.173481175020477</v>
      </c>
      <c r="G20" s="4">
        <v>242.59784741999999</v>
      </c>
      <c r="H20" s="4">
        <v>505.01888424502062</v>
      </c>
      <c r="I20" s="4">
        <v>44.607212520000012</v>
      </c>
      <c r="J20" s="4">
        <v>312.03595108999997</v>
      </c>
      <c r="K20" s="4">
        <v>37.357995728326131</v>
      </c>
      <c r="L20" s="4">
        <v>142.91074406000001</v>
      </c>
      <c r="M20" s="4">
        <v>536.9119033983261</v>
      </c>
      <c r="N20" s="4">
        <v>5805.6039044350437</v>
      </c>
    </row>
    <row r="21" spans="2:14" ht="14.1" customHeight="1">
      <c r="B21" s="121" t="str">
        <f>IF(Indice_index!$Z$1=1,"Outras receitas correntes","Other current revenue")</f>
        <v>Outras receitas correntes</v>
      </c>
      <c r="C21" s="4">
        <v>14737.589099984078</v>
      </c>
      <c r="D21" s="4">
        <v>625.38937679000014</v>
      </c>
      <c r="E21" s="4">
        <v>997.23100602000102</v>
      </c>
      <c r="F21" s="4">
        <v>434.05338101368727</v>
      </c>
      <c r="G21" s="4">
        <v>198.51165185000002</v>
      </c>
      <c r="H21" s="4">
        <v>2086.7251194736882</v>
      </c>
      <c r="I21" s="4">
        <v>998.99761217000014</v>
      </c>
      <c r="J21" s="4">
        <v>977.0284993500012</v>
      </c>
      <c r="K21" s="4">
        <v>458.56815394804158</v>
      </c>
      <c r="L21" s="4">
        <v>206.00528404000002</v>
      </c>
      <c r="M21" s="4">
        <v>2475.1616389780429</v>
      </c>
      <c r="N21" s="4">
        <v>16734.551590624971</v>
      </c>
    </row>
    <row r="22" spans="2:14" ht="14.1" customHeight="1">
      <c r="B22" s="121" t="str">
        <f>IF(Indice_index!$Z$1=1,"Diferenças de consolidação","Consolidation differences")</f>
        <v>Diferenças de consolidação</v>
      </c>
      <c r="C22" s="4">
        <v>19.350279419999708</v>
      </c>
      <c r="D22" s="4">
        <v>31.181724679999991</v>
      </c>
      <c r="E22" s="4">
        <v>51.064907419999585</v>
      </c>
      <c r="F22" s="4">
        <v>5.1229916100000139</v>
      </c>
      <c r="G22" s="4">
        <v>0</v>
      </c>
      <c r="H22" s="4">
        <v>140.43073959999697</v>
      </c>
      <c r="I22" s="4">
        <v>1.16669E-3</v>
      </c>
      <c r="J22" s="4">
        <v>6.6302077299992561</v>
      </c>
      <c r="K22" s="4">
        <v>28.161267450000025</v>
      </c>
      <c r="L22" s="4">
        <v>0</v>
      </c>
      <c r="M22" s="4">
        <v>47.297701809999417</v>
      </c>
      <c r="N22" s="4">
        <v>4.2462670000000102</v>
      </c>
    </row>
    <row r="23" spans="2:14" ht="14.1" customHeight="1">
      <c r="B23" s="167" t="str">
        <f>IF(Indice_index!$Z$1=1,"Receita de capital","Capital revenue")</f>
        <v>Receita de capital</v>
      </c>
      <c r="C23" s="128">
        <f t="shared" ref="C23" si="6">C24+C25+C28+C29</f>
        <v>4108.2899686081992</v>
      </c>
      <c r="D23" s="128">
        <f>D24+D25+D28+D29</f>
        <v>34.960857279999992</v>
      </c>
      <c r="E23" s="128">
        <f>E24+E25+E28+E29</f>
        <v>443.59526356000009</v>
      </c>
      <c r="F23" s="128">
        <f t="shared" ref="F23:M23" si="7">F24+F25+F28+F29</f>
        <v>325.47039047376842</v>
      </c>
      <c r="G23" s="128">
        <f t="shared" si="7"/>
        <v>1.3570300000000002E-3</v>
      </c>
      <c r="H23" s="128">
        <f t="shared" si="7"/>
        <v>479.17604519376857</v>
      </c>
      <c r="I23" s="128">
        <f t="shared" si="7"/>
        <v>53.843543769999997</v>
      </c>
      <c r="J23" s="128">
        <f t="shared" si="7"/>
        <v>560.98195281000005</v>
      </c>
      <c r="K23" s="128">
        <f t="shared" si="7"/>
        <v>401.20473903601248</v>
      </c>
      <c r="L23" s="128">
        <f t="shared" si="7"/>
        <v>2.3609459999999999E-2</v>
      </c>
      <c r="M23" s="128">
        <f t="shared" si="7"/>
        <v>578.91255779601249</v>
      </c>
      <c r="N23" s="128">
        <f>N24+N25+N28+N29</f>
        <v>7008.2491353032756</v>
      </c>
    </row>
    <row r="24" spans="2:14" ht="14.1" customHeight="1">
      <c r="B24" s="121" t="str">
        <f>IF(Indice_index!$Z$1=1,"Venda de bens de investimento","Sale of investment goods")</f>
        <v>Venda de bens de investimento</v>
      </c>
      <c r="C24" s="4">
        <v>159.5466825379942</v>
      </c>
      <c r="D24" s="4">
        <v>9.5399999999999984E-6</v>
      </c>
      <c r="E24" s="4">
        <v>14.099200719999999</v>
      </c>
      <c r="F24" s="4">
        <v>21.994109382511351</v>
      </c>
      <c r="G24" s="4">
        <v>0</v>
      </c>
      <c r="H24" s="4">
        <v>36.093319642511354</v>
      </c>
      <c r="I24" s="4">
        <v>2.7840000000000001E-5</v>
      </c>
      <c r="J24" s="4">
        <v>3.8327083600000003</v>
      </c>
      <c r="K24" s="4">
        <v>5.0518171609713569</v>
      </c>
      <c r="L24" s="4">
        <v>2.353334E-2</v>
      </c>
      <c r="M24" s="4">
        <v>8.9080867009713582</v>
      </c>
      <c r="N24" s="4">
        <v>1322.3500765299614</v>
      </c>
    </row>
    <row r="25" spans="2:14" ht="14.1" customHeight="1">
      <c r="B25" s="121" t="str">
        <f>IF(Indice_index!$Z$1=1,"Transferências de capital","Capital transfers")</f>
        <v>Transferências de capital</v>
      </c>
      <c r="C25" s="4">
        <f t="shared" ref="C25" si="8">+C26+C27</f>
        <v>3767.0346472510673</v>
      </c>
      <c r="D25" s="4">
        <f t="shared" ref="D25:N25" si="9">+D26+D27</f>
        <v>33.141602769999992</v>
      </c>
      <c r="E25" s="4">
        <f t="shared" si="9"/>
        <v>428.1251800600001</v>
      </c>
      <c r="F25" s="4">
        <f t="shared" si="9"/>
        <v>296.66412905671132</v>
      </c>
      <c r="G25" s="4">
        <f t="shared" si="9"/>
        <v>0</v>
      </c>
      <c r="H25" s="4">
        <f t="shared" si="9"/>
        <v>422.90031703671139</v>
      </c>
      <c r="I25" s="4">
        <f t="shared" si="9"/>
        <v>52.496321449999996</v>
      </c>
      <c r="J25" s="4">
        <f t="shared" si="9"/>
        <v>534.14747177000004</v>
      </c>
      <c r="K25" s="4">
        <f t="shared" si="9"/>
        <v>392.45278493593787</v>
      </c>
      <c r="L25" s="4">
        <f t="shared" si="9"/>
        <v>0</v>
      </c>
      <c r="M25" s="4">
        <f t="shared" si="9"/>
        <v>501.93338610593787</v>
      </c>
      <c r="N25" s="4">
        <f t="shared" si="9"/>
        <v>5599.0732240228408</v>
      </c>
    </row>
    <row r="26" spans="2:14" ht="14.1" customHeight="1">
      <c r="B26" s="165" t="str">
        <f>IF(Indice_index!$Z$1=1,"Administrações Públicas","General Government subsectors")</f>
        <v>Administrações Públicas</v>
      </c>
      <c r="C26" s="4">
        <v>0</v>
      </c>
      <c r="D26" s="4">
        <v>10.908387979999999</v>
      </c>
      <c r="E26" s="4">
        <v>141.00577661</v>
      </c>
      <c r="F26" s="4">
        <v>183.11643026000002</v>
      </c>
      <c r="G26" s="4">
        <v>0</v>
      </c>
      <c r="H26" s="4">
        <v>0</v>
      </c>
      <c r="I26" s="4">
        <v>20.993843599999998</v>
      </c>
      <c r="J26" s="4">
        <v>209.77921056000002</v>
      </c>
      <c r="K26" s="4">
        <v>246.39013788999998</v>
      </c>
      <c r="L26" s="4">
        <v>0</v>
      </c>
      <c r="M26" s="4">
        <v>0</v>
      </c>
      <c r="N26" s="4">
        <v>0</v>
      </c>
    </row>
    <row r="27" spans="2:14" ht="14.1" customHeight="1">
      <c r="B27" s="165" t="str">
        <f>IF(Indice_index!$Z$1=1,"Outras","Others")</f>
        <v>Outras</v>
      </c>
      <c r="C27" s="4">
        <v>3767.0346472510673</v>
      </c>
      <c r="D27" s="4">
        <v>22.233214789999995</v>
      </c>
      <c r="E27" s="4">
        <v>287.11940345000011</v>
      </c>
      <c r="F27" s="4">
        <v>113.54769879671133</v>
      </c>
      <c r="G27" s="4">
        <v>0</v>
      </c>
      <c r="H27" s="4">
        <v>422.90031703671139</v>
      </c>
      <c r="I27" s="4">
        <v>31.502477849999998</v>
      </c>
      <c r="J27" s="4">
        <v>324.36826120999996</v>
      </c>
      <c r="K27" s="4">
        <v>146.06264704593792</v>
      </c>
      <c r="L27" s="4">
        <v>0</v>
      </c>
      <c r="M27" s="4">
        <v>501.93338610593787</v>
      </c>
      <c r="N27" s="4">
        <v>5599.0732240228408</v>
      </c>
    </row>
    <row r="28" spans="2:14" ht="14.1" customHeight="1">
      <c r="B28" s="121" t="str">
        <f>IF(Indice_index!$Z$1=1,"Outras receitas de capital","Other capital revenue")</f>
        <v>Outras receitas de capital</v>
      </c>
      <c r="C28" s="4">
        <v>153.78081699913838</v>
      </c>
      <c r="D28" s="4">
        <v>0.25772173999999998</v>
      </c>
      <c r="E28" s="4">
        <v>1.3708827800000003</v>
      </c>
      <c r="F28" s="4">
        <v>1.809347364545778</v>
      </c>
      <c r="G28" s="4">
        <v>1.3570300000000002E-3</v>
      </c>
      <c r="H28" s="4">
        <v>3.4393089145457783</v>
      </c>
      <c r="I28" s="4">
        <v>0.90567209999999998</v>
      </c>
      <c r="J28" s="4">
        <v>23.001772679999995</v>
      </c>
      <c r="K28" s="4">
        <v>3.2571446691032291</v>
      </c>
      <c r="L28" s="4">
        <v>7.612000000000001E-5</v>
      </c>
      <c r="M28" s="4">
        <v>27.164665569103224</v>
      </c>
      <c r="N28" s="4">
        <v>67.52060175047346</v>
      </c>
    </row>
    <row r="29" spans="2:14" ht="14.1" customHeight="1">
      <c r="B29" s="121" t="str">
        <f>IF(Indice_index!$Z$1=1,"Diferenças de consolidação","Consolidation differences")</f>
        <v>Diferenças de consolidação</v>
      </c>
      <c r="C29" s="4">
        <v>27.927821819999338</v>
      </c>
      <c r="D29" s="4">
        <v>1.5615232300000002</v>
      </c>
      <c r="E29" s="4">
        <v>0</v>
      </c>
      <c r="F29" s="4">
        <v>5.0028046699999962</v>
      </c>
      <c r="G29" s="4">
        <v>0</v>
      </c>
      <c r="H29" s="4">
        <v>16.743099600000022</v>
      </c>
      <c r="I29" s="4">
        <v>0.44152237999999999</v>
      </c>
      <c r="J29" s="4">
        <v>0</v>
      </c>
      <c r="K29" s="4">
        <v>0.44299226999999775</v>
      </c>
      <c r="L29" s="4">
        <v>0</v>
      </c>
      <c r="M29" s="4">
        <v>40.906419420000049</v>
      </c>
      <c r="N29" s="4">
        <v>19.30523300000042</v>
      </c>
    </row>
    <row r="30" spans="2:14" ht="14.1" customHeight="1">
      <c r="B30" s="17" t="str">
        <f>IF(Indice_index!$Z$1=1,"Receita efetiva","Effective revenue")</f>
        <v>Receita efetiva</v>
      </c>
      <c r="C30" s="18">
        <f t="shared" ref="C30" si="10">C13+C23</f>
        <v>130182.45245288064</v>
      </c>
      <c r="D30" s="18">
        <f t="shared" ref="D30:N30" si="11">D13+D23</f>
        <v>10545.483608130004</v>
      </c>
      <c r="E30" s="18">
        <f t="shared" si="11"/>
        <v>7039.9313851199986</v>
      </c>
      <c r="F30" s="18">
        <f t="shared" si="11"/>
        <v>2617.826884648819</v>
      </c>
      <c r="G30" s="18">
        <f t="shared" si="11"/>
        <v>7135.4856692599997</v>
      </c>
      <c r="H30" s="18">
        <f t="shared" si="11"/>
        <v>19227.152765838819</v>
      </c>
      <c r="I30" s="18">
        <f t="shared" si="11"/>
        <v>10874.107263140002</v>
      </c>
      <c r="J30" s="18">
        <f t="shared" si="11"/>
        <v>7805.3698006600007</v>
      </c>
      <c r="K30" s="18">
        <f t="shared" si="11"/>
        <v>2930.1108353957852</v>
      </c>
      <c r="L30" s="18">
        <f t="shared" si="11"/>
        <v>7600.9392296300011</v>
      </c>
      <c r="M30" s="18">
        <f t="shared" si="11"/>
        <v>20183.613368905786</v>
      </c>
      <c r="N30" s="18">
        <f t="shared" si="11"/>
        <v>141382.04602958728</v>
      </c>
    </row>
    <row r="31" spans="2:14" ht="14.1" customHeight="1">
      <c r="B31" s="167" t="str">
        <f>IF(Indice_index!$Z$1=1,"Despesa corrente","Current expenditure")</f>
        <v>Despesa corrente</v>
      </c>
      <c r="C31" s="128">
        <f t="shared" ref="C31" si="12">C32+C36+C37+C38+C41+C42+C43</f>
        <v>116958.99178222024</v>
      </c>
      <c r="D31" s="128">
        <f t="shared" ref="D31:N31" si="13">D32+D36+D37+D38+D41+D42+D43</f>
        <v>10685.925268789999</v>
      </c>
      <c r="E31" s="128">
        <f t="shared" si="13"/>
        <v>5234.4015764900005</v>
      </c>
      <c r="F31" s="128">
        <f t="shared" si="13"/>
        <v>1812.872240293354</v>
      </c>
      <c r="G31" s="128">
        <f t="shared" si="13"/>
        <v>5901.5438767000014</v>
      </c>
      <c r="H31" s="128">
        <f t="shared" si="13"/>
        <v>15848.020004103355</v>
      </c>
      <c r="I31" s="128">
        <f t="shared" si="13"/>
        <v>11704.574013169999</v>
      </c>
      <c r="J31" s="128">
        <f t="shared" si="13"/>
        <v>5699.9633037400008</v>
      </c>
      <c r="K31" s="128">
        <f t="shared" si="13"/>
        <v>1841.8501208801126</v>
      </c>
      <c r="L31" s="128">
        <f t="shared" si="13"/>
        <v>6111.2430792200012</v>
      </c>
      <c r="M31" s="128">
        <f t="shared" si="13"/>
        <v>16767.858044370114</v>
      </c>
      <c r="N31" s="128">
        <f t="shared" si="13"/>
        <v>125670.06019954709</v>
      </c>
    </row>
    <row r="32" spans="2:14" ht="14.1" customHeight="1">
      <c r="B32" s="121" t="str">
        <f>IF(Indice_index!$Z$1=1,"Despesas com o pessoal","Compensation of employees")</f>
        <v>Despesas com o pessoal</v>
      </c>
      <c r="C32" s="4">
        <f t="shared" ref="C32" si="14">C33+C34+C35</f>
        <v>30576.139211671165</v>
      </c>
      <c r="D32" s="4">
        <f t="shared" ref="D32:N32" si="15">D33+D34+D35</f>
        <v>1726.8340052499998</v>
      </c>
      <c r="E32" s="4">
        <f t="shared" si="15"/>
        <v>1643.2280541</v>
      </c>
      <c r="F32" s="4">
        <f t="shared" si="15"/>
        <v>892.55946297027322</v>
      </c>
      <c r="G32" s="4">
        <f t="shared" si="15"/>
        <v>49.670222170000009</v>
      </c>
      <c r="H32" s="4">
        <f t="shared" si="15"/>
        <v>4312.2917444902732</v>
      </c>
      <c r="I32" s="4">
        <f t="shared" si="15"/>
        <v>1835.3546512199998</v>
      </c>
      <c r="J32" s="4">
        <f t="shared" si="15"/>
        <v>1711.8223831300011</v>
      </c>
      <c r="K32" s="4">
        <f t="shared" si="15"/>
        <v>966.11802566504957</v>
      </c>
      <c r="L32" s="4">
        <f t="shared" si="15"/>
        <v>50.931540540000007</v>
      </c>
      <c r="M32" s="4">
        <f t="shared" si="15"/>
        <v>4564.22660055505</v>
      </c>
      <c r="N32" s="4">
        <f t="shared" si="15"/>
        <v>32054.167239582268</v>
      </c>
    </row>
    <row r="33" spans="2:14" ht="14.1" customHeight="1">
      <c r="B33" s="165" t="str">
        <f>IF(Indice_index!$Z$1=1,"Remunerações certas e permanentes","Certain and permanent wages")</f>
        <v>Remunerações certas e permanentes</v>
      </c>
      <c r="C33" s="4">
        <v>22033.0074965145</v>
      </c>
      <c r="D33" s="4">
        <v>1244.6791211299997</v>
      </c>
      <c r="E33" s="4">
        <v>1123.5195280100002</v>
      </c>
      <c r="F33" s="4">
        <v>687.25494411627233</v>
      </c>
      <c r="G33" s="4">
        <v>39.92049793000001</v>
      </c>
      <c r="H33" s="4">
        <v>3095.3740911862719</v>
      </c>
      <c r="I33" s="4">
        <v>1315.2334191999998</v>
      </c>
      <c r="J33" s="4">
        <v>1184.8622449800007</v>
      </c>
      <c r="K33" s="4">
        <v>736.34111662081136</v>
      </c>
      <c r="L33" s="4">
        <v>41.100945120000006</v>
      </c>
      <c r="M33" s="4">
        <v>3277.5377259208117</v>
      </c>
      <c r="N33" s="4">
        <v>23266.114483420275</v>
      </c>
    </row>
    <row r="34" spans="2:14" ht="14.1" customHeight="1">
      <c r="B34" s="165" t="str">
        <f>IF(Indice_index!$Z$1=1,"Abonos variáveis ou eventuais","Variable or contingent bonuses")</f>
        <v>Abonos variáveis ou eventuais</v>
      </c>
      <c r="C34" s="4">
        <v>2201.4357703877963</v>
      </c>
      <c r="D34" s="4">
        <v>72.685271619999995</v>
      </c>
      <c r="E34" s="4">
        <v>232.37992656000017</v>
      </c>
      <c r="F34" s="4">
        <v>53.676693662773232</v>
      </c>
      <c r="G34" s="4">
        <v>0.80873450999999996</v>
      </c>
      <c r="H34" s="4">
        <v>359.55062635277341</v>
      </c>
      <c r="I34" s="4">
        <v>81.735650820000018</v>
      </c>
      <c r="J34" s="4">
        <v>213.81374120000004</v>
      </c>
      <c r="K34" s="4">
        <v>61.619314239777694</v>
      </c>
      <c r="L34" s="4">
        <v>0.7791322100000001</v>
      </c>
      <c r="M34" s="4">
        <v>357.94783846977776</v>
      </c>
      <c r="N34" s="4">
        <v>2263.8031886616668</v>
      </c>
    </row>
    <row r="35" spans="2:14" ht="14.1" customHeight="1">
      <c r="B35" s="165" t="str">
        <f>IF(Indice_index!$Z$1=1,"Segurança Social","Social security")</f>
        <v>Segurança Social</v>
      </c>
      <c r="C35" s="4">
        <v>6341.6959447688687</v>
      </c>
      <c r="D35" s="4">
        <v>409.46961249999998</v>
      </c>
      <c r="E35" s="4">
        <v>287.32859952999979</v>
      </c>
      <c r="F35" s="4">
        <v>151.62782519122771</v>
      </c>
      <c r="G35" s="4">
        <v>8.9409897300000001</v>
      </c>
      <c r="H35" s="4">
        <v>857.36702695122744</v>
      </c>
      <c r="I35" s="4">
        <v>438.38558119999988</v>
      </c>
      <c r="J35" s="4">
        <v>313.14639695000022</v>
      </c>
      <c r="K35" s="4">
        <v>168.1575948044605</v>
      </c>
      <c r="L35" s="4">
        <v>9.0514632100000014</v>
      </c>
      <c r="M35" s="4">
        <v>928.74103616446052</v>
      </c>
      <c r="N35" s="4">
        <v>6524.2495675003274</v>
      </c>
    </row>
    <row r="36" spans="2:14" ht="14.1" customHeight="1">
      <c r="B36" s="121" t="str">
        <f>IF(Indice_index!$Z$1=1,"Aquisição de bens e serviços","Purchase of goods and services")</f>
        <v>Aquisição de bens e serviços</v>
      </c>
      <c r="C36" s="4">
        <v>19834.853399680454</v>
      </c>
      <c r="D36" s="4">
        <v>133.16932426</v>
      </c>
      <c r="E36" s="4">
        <v>1376.8729821500006</v>
      </c>
      <c r="F36" s="4">
        <v>581.00557943061972</v>
      </c>
      <c r="G36" s="4">
        <v>9.9138184599999999</v>
      </c>
      <c r="H36" s="4">
        <v>2100.95514854062</v>
      </c>
      <c r="I36" s="4">
        <v>133.2862465</v>
      </c>
      <c r="J36" s="4">
        <v>1534.6264248599996</v>
      </c>
      <c r="K36" s="4">
        <v>595.18150722027417</v>
      </c>
      <c r="L36" s="4">
        <v>4.9795953400000004</v>
      </c>
      <c r="M36" s="4">
        <v>2268.0664834202739</v>
      </c>
      <c r="N36" s="4">
        <v>20288.454868766865</v>
      </c>
    </row>
    <row r="37" spans="2:14" ht="14.1" customHeight="1">
      <c r="B37" s="121" t="str">
        <f>IF(Indice_index!$Z$1=1,"Juros e outros encargos","Interests and other charges")</f>
        <v>Juros e outros encargos</v>
      </c>
      <c r="C37" s="4">
        <v>6817.0492992599238</v>
      </c>
      <c r="D37" s="4">
        <v>1085.7558336</v>
      </c>
      <c r="E37" s="4">
        <v>15.830921350000002</v>
      </c>
      <c r="F37" s="4">
        <v>40.862922495950414</v>
      </c>
      <c r="G37" s="4">
        <v>1.3499346700000003</v>
      </c>
      <c r="H37" s="4">
        <v>1073.1588741259504</v>
      </c>
      <c r="I37" s="4">
        <v>1108.4525906299998</v>
      </c>
      <c r="J37" s="4">
        <v>16.745042549999997</v>
      </c>
      <c r="K37" s="4">
        <v>35.491296357909263</v>
      </c>
      <c r="L37" s="4">
        <v>1.5962132299999994</v>
      </c>
      <c r="M37" s="4">
        <v>1065.3773393879094</v>
      </c>
      <c r="N37" s="4">
        <v>7163.8849640167573</v>
      </c>
    </row>
    <row r="38" spans="2:14" ht="14.1" customHeight="1">
      <c r="B38" s="121" t="str">
        <f>IF(Indice_index!$Z$1=1,"Transferências correntes","Current transfers")</f>
        <v>Transferências correntes</v>
      </c>
      <c r="C38" s="4">
        <f t="shared" ref="C38" si="16">+C39+C40</f>
        <v>55881.068642393504</v>
      </c>
      <c r="D38" s="4">
        <f t="shared" ref="D38:N38" si="17">+D39+D40</f>
        <v>7676.7515826699992</v>
      </c>
      <c r="E38" s="4">
        <f t="shared" si="17"/>
        <v>2092.7883646499995</v>
      </c>
      <c r="F38" s="4">
        <f t="shared" si="17"/>
        <v>186.8283814881114</v>
      </c>
      <c r="G38" s="4">
        <f t="shared" si="17"/>
        <v>5697.2444488300007</v>
      </c>
      <c r="H38" s="4">
        <f t="shared" si="17"/>
        <v>8021.4555514181111</v>
      </c>
      <c r="I38" s="4">
        <f t="shared" si="17"/>
        <v>8561.7645718599997</v>
      </c>
      <c r="J38" s="4">
        <f t="shared" si="17"/>
        <v>2311.2935132600001</v>
      </c>
      <c r="K38" s="4">
        <f t="shared" si="17"/>
        <v>164.01794116040367</v>
      </c>
      <c r="L38" s="4">
        <f t="shared" si="17"/>
        <v>5960.8289345800004</v>
      </c>
      <c r="M38" s="4">
        <f t="shared" si="17"/>
        <v>8572.9085616904049</v>
      </c>
      <c r="N38" s="4">
        <f t="shared" si="17"/>
        <v>59555.467910028528</v>
      </c>
    </row>
    <row r="39" spans="2:14" ht="14.1" customHeight="1">
      <c r="B39" s="165" t="str">
        <f>IF(Indice_index!$Z$1=1,"Administrações Públicas","General Government subsectors")</f>
        <v>Administrações Públicas</v>
      </c>
      <c r="C39" s="4">
        <v>0</v>
      </c>
      <c r="D39" s="4">
        <v>7109.7613373099994</v>
      </c>
      <c r="E39" s="4">
        <v>89.751957869999998</v>
      </c>
      <c r="F39" s="4">
        <v>24.777228960000002</v>
      </c>
      <c r="G39" s="4">
        <v>407.86670208000004</v>
      </c>
      <c r="H39" s="4">
        <v>0</v>
      </c>
      <c r="I39" s="4">
        <v>7823.5415186699993</v>
      </c>
      <c r="J39" s="4">
        <v>160.50295772999999</v>
      </c>
      <c r="K39" s="4">
        <v>24.526127760000001</v>
      </c>
      <c r="L39" s="4">
        <v>416.42579501000006</v>
      </c>
      <c r="M39" s="4">
        <v>0</v>
      </c>
      <c r="N39" s="4">
        <v>0</v>
      </c>
    </row>
    <row r="40" spans="2:14" ht="14.1" customHeight="1">
      <c r="B40" s="165" t="str">
        <f>IF(Indice_index!$Z$1=1,"Outras","Others")</f>
        <v>Outras</v>
      </c>
      <c r="C40" s="4">
        <v>55881.068642393504</v>
      </c>
      <c r="D40" s="4">
        <v>566.99024536000002</v>
      </c>
      <c r="E40" s="4">
        <v>2003.0364067799994</v>
      </c>
      <c r="F40" s="4">
        <v>162.0511525281114</v>
      </c>
      <c r="G40" s="4">
        <v>5289.3777467500004</v>
      </c>
      <c r="H40" s="4">
        <v>8021.4555514181111</v>
      </c>
      <c r="I40" s="4">
        <v>738.22305319000009</v>
      </c>
      <c r="J40" s="4">
        <v>2150.7905555299999</v>
      </c>
      <c r="K40" s="4">
        <v>139.49181340040366</v>
      </c>
      <c r="L40" s="4">
        <v>5544.4031395700003</v>
      </c>
      <c r="M40" s="4">
        <v>8572.9085616904049</v>
      </c>
      <c r="N40" s="4">
        <v>59555.467910028528</v>
      </c>
    </row>
    <row r="41" spans="2:14" ht="14.1" customHeight="1">
      <c r="B41" s="121" t="str">
        <f>IF(Indice_index!$Z$1=1,"Subsídios","Subsidies")</f>
        <v>Subsídios</v>
      </c>
      <c r="C41" s="4">
        <v>2567.9933451265038</v>
      </c>
      <c r="D41" s="4">
        <v>56.177804800000004</v>
      </c>
      <c r="E41" s="4">
        <v>74.113141660000011</v>
      </c>
      <c r="F41" s="4">
        <v>84.688360769190652</v>
      </c>
      <c r="G41" s="4">
        <v>143.00483901999999</v>
      </c>
      <c r="H41" s="4">
        <v>274.06570804919068</v>
      </c>
      <c r="I41" s="4">
        <v>52.842659390000001</v>
      </c>
      <c r="J41" s="4">
        <v>75.095565710000002</v>
      </c>
      <c r="K41" s="4">
        <v>53.211204944854572</v>
      </c>
      <c r="L41" s="4">
        <v>92.374789360000008</v>
      </c>
      <c r="M41" s="4">
        <v>205.66323981485459</v>
      </c>
      <c r="N41" s="4">
        <v>2684.5373627720082</v>
      </c>
    </row>
    <row r="42" spans="2:14" ht="14.1" customHeight="1">
      <c r="B42" s="121" t="str">
        <f>IF(Indice_index!$Z$1=1,"Outras despesas correntes","Other current expenditures")</f>
        <v>Outras despesas correntes</v>
      </c>
      <c r="C42" s="4">
        <v>791.0057774886651</v>
      </c>
      <c r="D42" s="4">
        <v>7.2041406000000006</v>
      </c>
      <c r="E42" s="4">
        <v>31.568112579999983</v>
      </c>
      <c r="F42" s="4">
        <v>26.922888869208709</v>
      </c>
      <c r="G42" s="4">
        <v>0.36061355000000006</v>
      </c>
      <c r="H42" s="4">
        <v>66.055755599208695</v>
      </c>
      <c r="I42" s="4">
        <v>11.90214042</v>
      </c>
      <c r="J42" s="4">
        <v>29.181324529999987</v>
      </c>
      <c r="K42" s="4">
        <v>27.824775491621548</v>
      </c>
      <c r="L42" s="4">
        <v>0.53200616999999994</v>
      </c>
      <c r="M42" s="4">
        <v>69.440246611621546</v>
      </c>
      <c r="N42" s="4">
        <v>3911.6521759416796</v>
      </c>
    </row>
    <row r="43" spans="2:14" ht="14.1" customHeight="1">
      <c r="B43" s="121" t="str">
        <f>IF(Indice_index!$Z$1=1,"Diferenças de consolidação","Consolidation differences")</f>
        <v>Diferenças de consolidação</v>
      </c>
      <c r="C43" s="4">
        <v>490.88210660001909</v>
      </c>
      <c r="D43" s="4">
        <v>3.2577610000000007E-2</v>
      </c>
      <c r="E43" s="4">
        <v>0</v>
      </c>
      <c r="F43" s="4">
        <v>4.6442700000000007E-3</v>
      </c>
      <c r="G43" s="4">
        <v>0</v>
      </c>
      <c r="H43" s="4">
        <v>3.7221880000000006E-2</v>
      </c>
      <c r="I43" s="4">
        <v>0.97115315000000635</v>
      </c>
      <c r="J43" s="4">
        <v>21.199049699999989</v>
      </c>
      <c r="K43" s="4">
        <v>5.3700399999999995E-3</v>
      </c>
      <c r="L43" s="4">
        <v>0</v>
      </c>
      <c r="M43" s="4">
        <v>22.175572889999994</v>
      </c>
      <c r="N43" s="4">
        <v>11.895678438987611</v>
      </c>
    </row>
    <row r="44" spans="2:14" ht="14.1" customHeight="1">
      <c r="B44" s="167" t="str">
        <f>IF(Indice_index!$Z$1=1,"Despesa de capital","Capital expenditure")</f>
        <v>Despesa de capital</v>
      </c>
      <c r="C44" s="128">
        <f t="shared" ref="C44" si="18">C45+C46+C49+C50</f>
        <v>11925.714624448967</v>
      </c>
      <c r="D44" s="128">
        <f t="shared" ref="D44:N44" si="19">D45+D46+D49+D50</f>
        <v>351.92506175</v>
      </c>
      <c r="E44" s="128">
        <f t="shared" si="19"/>
        <v>792.20075159999988</v>
      </c>
      <c r="F44" s="128">
        <f t="shared" si="19"/>
        <v>433.89910477710612</v>
      </c>
      <c r="G44" s="128">
        <f t="shared" si="19"/>
        <v>6.5606713500000007</v>
      </c>
      <c r="H44" s="128">
        <f t="shared" si="19"/>
        <v>1259.7337663271062</v>
      </c>
      <c r="I44" s="128">
        <f t="shared" si="19"/>
        <v>372.74956780999992</v>
      </c>
      <c r="J44" s="128">
        <f t="shared" si="19"/>
        <v>988.27414586999998</v>
      </c>
      <c r="K44" s="128">
        <f t="shared" si="19"/>
        <v>495.86468843952383</v>
      </c>
      <c r="L44" s="128">
        <f t="shared" si="19"/>
        <v>3.5717669900000004</v>
      </c>
      <c r="M44" s="128">
        <f t="shared" si="19"/>
        <v>1423.3188818295237</v>
      </c>
      <c r="N44" s="128">
        <f t="shared" si="19"/>
        <v>16687.04664978413</v>
      </c>
    </row>
    <row r="45" spans="2:14" ht="14.1" customHeight="1">
      <c r="B45" s="121" t="str">
        <f>IF(Indice_index!$Z$1=1,"Investimentos","Investments")</f>
        <v>Investimentos</v>
      </c>
      <c r="C45" s="4">
        <v>9522.9182286525611</v>
      </c>
      <c r="D45" s="4">
        <v>32.881752330000005</v>
      </c>
      <c r="E45" s="4">
        <v>542.6861841299999</v>
      </c>
      <c r="F45" s="4">
        <v>339.39844543279264</v>
      </c>
      <c r="G45" s="4">
        <v>1.6441025600000003</v>
      </c>
      <c r="H45" s="4">
        <v>916.61048445279255</v>
      </c>
      <c r="I45" s="4">
        <v>41.319987329999996</v>
      </c>
      <c r="J45" s="4">
        <v>550.9509327799999</v>
      </c>
      <c r="K45" s="4">
        <v>408.52639001468378</v>
      </c>
      <c r="L45" s="4">
        <v>1.5437865500000001</v>
      </c>
      <c r="M45" s="4">
        <v>1002.3410966746837</v>
      </c>
      <c r="N45" s="4">
        <v>13174.761809223553</v>
      </c>
    </row>
    <row r="46" spans="2:14" ht="14.1" customHeight="1">
      <c r="B46" s="121" t="str">
        <f>IF(Indice_index!$Z$1=1,"Transferências de capital","Capital transfers")</f>
        <v>Transferências de capital</v>
      </c>
      <c r="C46" s="4">
        <f t="shared" ref="C46" si="20">+C47+C48</f>
        <v>2086.2899632399035</v>
      </c>
      <c r="D46" s="4">
        <f t="shared" ref="D46:N46" si="21">+D47+D48</f>
        <v>318.93242617000004</v>
      </c>
      <c r="E46" s="4">
        <f t="shared" si="21"/>
        <v>205.35879388000004</v>
      </c>
      <c r="F46" s="4">
        <f t="shared" si="21"/>
        <v>92.04912048431342</v>
      </c>
      <c r="G46" s="4">
        <f t="shared" si="21"/>
        <v>4.9165687900000004</v>
      </c>
      <c r="H46" s="4">
        <f t="shared" si="21"/>
        <v>296.40508617431351</v>
      </c>
      <c r="I46" s="4">
        <f t="shared" si="21"/>
        <v>331.40160912999994</v>
      </c>
      <c r="J46" s="4">
        <f t="shared" si="21"/>
        <v>401.08877210999998</v>
      </c>
      <c r="K46" s="4">
        <f t="shared" si="21"/>
        <v>85.361601242841317</v>
      </c>
      <c r="L46" s="4">
        <f t="shared" si="21"/>
        <v>2.0279804400000003</v>
      </c>
      <c r="M46" s="4">
        <f t="shared" si="21"/>
        <v>382.73867564284132</v>
      </c>
      <c r="N46" s="4">
        <f t="shared" si="21"/>
        <v>3291.1661715911014</v>
      </c>
    </row>
    <row r="47" spans="2:14" ht="14.1" customHeight="1">
      <c r="B47" s="165" t="str">
        <f>IF(Indice_index!$Z$1=1,"Administrações Públicas","General Government subsectors")</f>
        <v>Administrações Públicas</v>
      </c>
      <c r="C47" s="4">
        <v>0</v>
      </c>
      <c r="D47" s="4">
        <v>314.81276402000003</v>
      </c>
      <c r="E47" s="4">
        <v>9.1505062100000014</v>
      </c>
      <c r="F47" s="4">
        <v>0.88855291999999997</v>
      </c>
      <c r="G47" s="4">
        <v>0</v>
      </c>
      <c r="H47" s="4">
        <v>0</v>
      </c>
      <c r="I47" s="4">
        <v>329.36987523999994</v>
      </c>
      <c r="J47" s="4">
        <v>106.41549326000001</v>
      </c>
      <c r="K47" s="4">
        <v>1.3559187800000001</v>
      </c>
      <c r="L47" s="4">
        <v>0</v>
      </c>
      <c r="M47" s="4">
        <v>0</v>
      </c>
      <c r="N47" s="4">
        <v>0</v>
      </c>
    </row>
    <row r="48" spans="2:14" ht="14.1" customHeight="1">
      <c r="B48" s="165" t="str">
        <f>IF(Indice_index!$Z$1=1,"Outras","Others")</f>
        <v>Outras</v>
      </c>
      <c r="C48" s="4">
        <v>2086.2899632399035</v>
      </c>
      <c r="D48" s="4">
        <v>4.1196621499999999</v>
      </c>
      <c r="E48" s="4">
        <v>196.20828767000003</v>
      </c>
      <c r="F48" s="4">
        <v>91.160567564313425</v>
      </c>
      <c r="G48" s="4">
        <v>4.9165687900000004</v>
      </c>
      <c r="H48" s="4">
        <v>296.40508617431351</v>
      </c>
      <c r="I48" s="4">
        <v>2.0317338899999999</v>
      </c>
      <c r="J48" s="4">
        <v>294.67327884999997</v>
      </c>
      <c r="K48" s="4">
        <v>84.005682462841321</v>
      </c>
      <c r="L48" s="4">
        <v>2.0279804400000003</v>
      </c>
      <c r="M48" s="4">
        <v>382.73867564284132</v>
      </c>
      <c r="N48" s="4">
        <v>3291.1661715911014</v>
      </c>
    </row>
    <row r="49" spans="2:14" ht="14.1" customHeight="1">
      <c r="B49" s="121" t="str">
        <f>IF(Indice_index!$Z$1=1,"Outras despesas de capital","Other capital expenditures")</f>
        <v>Outras despesas de capital</v>
      </c>
      <c r="C49" s="4">
        <v>130.92067059650239</v>
      </c>
      <c r="D49" s="4">
        <v>0.11088325</v>
      </c>
      <c r="E49" s="4">
        <v>13.635571429999999</v>
      </c>
      <c r="F49" s="4">
        <v>2.4515388599999999</v>
      </c>
      <c r="G49" s="4">
        <v>0</v>
      </c>
      <c r="H49" s="4">
        <v>16.197993539999999</v>
      </c>
      <c r="I49" s="4">
        <v>2.7971349999999999E-2</v>
      </c>
      <c r="J49" s="4">
        <v>11.54481152</v>
      </c>
      <c r="K49" s="4">
        <v>1.9766971819987622</v>
      </c>
      <c r="L49" s="4">
        <v>0</v>
      </c>
      <c r="M49" s="4">
        <v>13.549480051998762</v>
      </c>
      <c r="N49" s="4">
        <v>221.11866896947831</v>
      </c>
    </row>
    <row r="50" spans="2:14" ht="14.1" customHeight="1">
      <c r="B50" s="121" t="str">
        <f>IF(Indice_index!$Z$1=1,"Diferenças de consolidação","Consolidation differences")</f>
        <v>Diferenças de consolidação</v>
      </c>
      <c r="C50" s="4">
        <v>185.58576195999976</v>
      </c>
      <c r="D50" s="4">
        <v>0</v>
      </c>
      <c r="E50" s="4">
        <v>30.520202159999997</v>
      </c>
      <c r="F50" s="4">
        <v>0</v>
      </c>
      <c r="G50" s="4">
        <v>0</v>
      </c>
      <c r="H50" s="4">
        <v>30.520202159999997</v>
      </c>
      <c r="I50" s="4">
        <v>0</v>
      </c>
      <c r="J50" s="4">
        <v>24.689629459999978</v>
      </c>
      <c r="K50" s="4">
        <v>0</v>
      </c>
      <c r="L50" s="4">
        <v>0</v>
      </c>
      <c r="M50" s="4">
        <v>24.689629459999978</v>
      </c>
      <c r="N50" s="4">
        <v>0</v>
      </c>
    </row>
    <row r="51" spans="2:14" ht="14.1" customHeight="1">
      <c r="B51" s="17" t="str">
        <f>IF(Indice_index!$Z$1=1,"Despesa efetiva","Effective expenditure")</f>
        <v>Despesa efetiva</v>
      </c>
      <c r="C51" s="18">
        <f t="shared" ref="C51" si="22">C31+C44</f>
        <v>128884.70640666921</v>
      </c>
      <c r="D51" s="18">
        <f t="shared" ref="D51:N51" si="23">D31+D44</f>
        <v>11037.850330539999</v>
      </c>
      <c r="E51" s="18">
        <f t="shared" si="23"/>
        <v>6026.6023280900008</v>
      </c>
      <c r="F51" s="18">
        <f t="shared" si="23"/>
        <v>2246.77134507046</v>
      </c>
      <c r="G51" s="18">
        <f t="shared" si="23"/>
        <v>5908.1045480500015</v>
      </c>
      <c r="H51" s="18">
        <f t="shared" si="23"/>
        <v>17107.75377043046</v>
      </c>
      <c r="I51" s="18">
        <f t="shared" si="23"/>
        <v>12077.323580979999</v>
      </c>
      <c r="J51" s="18">
        <f t="shared" si="23"/>
        <v>6688.237449610001</v>
      </c>
      <c r="K51" s="18">
        <f t="shared" si="23"/>
        <v>2337.7148093196365</v>
      </c>
      <c r="L51" s="18">
        <f t="shared" si="23"/>
        <v>6114.8148462100007</v>
      </c>
      <c r="M51" s="18">
        <f t="shared" si="23"/>
        <v>18191.176926199638</v>
      </c>
      <c r="N51" s="18">
        <f t="shared" si="23"/>
        <v>142357.10684933123</v>
      </c>
    </row>
    <row r="52" spans="2:14" ht="14.1" customHeight="1">
      <c r="B52" s="17" t="str">
        <f>IF(Indice_index!$Z$1=1,"Saldo global","Overall balance")</f>
        <v>Saldo global</v>
      </c>
      <c r="C52" s="18">
        <f t="shared" ref="C52" si="24">+C30-C51</f>
        <v>1297.746046211425</v>
      </c>
      <c r="D52" s="18">
        <f t="shared" ref="D52:N52" si="25">+D30-D51</f>
        <v>-492.36672240999542</v>
      </c>
      <c r="E52" s="18">
        <f t="shared" si="25"/>
        <v>1013.3290570299978</v>
      </c>
      <c r="F52" s="18">
        <f t="shared" si="25"/>
        <v>371.055539578359</v>
      </c>
      <c r="G52" s="18">
        <f t="shared" si="25"/>
        <v>1227.3811212099981</v>
      </c>
      <c r="H52" s="18">
        <f t="shared" si="25"/>
        <v>2119.398995408359</v>
      </c>
      <c r="I52" s="18">
        <f t="shared" si="25"/>
        <v>-1203.2163178399969</v>
      </c>
      <c r="J52" s="18">
        <f t="shared" si="25"/>
        <v>1117.1323510499997</v>
      </c>
      <c r="K52" s="18">
        <f t="shared" si="25"/>
        <v>592.3960260761487</v>
      </c>
      <c r="L52" s="18">
        <f t="shared" si="25"/>
        <v>1486.1243834200004</v>
      </c>
      <c r="M52" s="18">
        <f t="shared" si="25"/>
        <v>1992.4364427061482</v>
      </c>
      <c r="N52" s="18">
        <f t="shared" si="25"/>
        <v>-975.06081974395784</v>
      </c>
    </row>
    <row r="53" spans="2:14" ht="14.1" customHeight="1">
      <c r="B53" s="121" t="str">
        <f>IF(Indice_index!$Z$1=1,"Despesa primária","Primary expenditure")</f>
        <v>Despesa primária</v>
      </c>
      <c r="C53" s="4">
        <f t="shared" ref="C53" si="26">C51-C37</f>
        <v>122067.65710740929</v>
      </c>
      <c r="D53" s="4">
        <f t="shared" ref="D53:N53" si="27">D51-D37</f>
        <v>9952.0944969399989</v>
      </c>
      <c r="E53" s="4">
        <f t="shared" si="27"/>
        <v>6010.7714067400011</v>
      </c>
      <c r="F53" s="4">
        <f t="shared" si="27"/>
        <v>2205.9084225745096</v>
      </c>
      <c r="G53" s="4">
        <f t="shared" si="27"/>
        <v>5906.7546133800015</v>
      </c>
      <c r="H53" s="4">
        <f t="shared" si="27"/>
        <v>16034.594896304508</v>
      </c>
      <c r="I53" s="4">
        <f t="shared" si="27"/>
        <v>10968.870990349998</v>
      </c>
      <c r="J53" s="4">
        <f t="shared" si="27"/>
        <v>6671.4924070600009</v>
      </c>
      <c r="K53" s="4">
        <f t="shared" si="27"/>
        <v>2302.2235129617275</v>
      </c>
      <c r="L53" s="4">
        <f t="shared" si="27"/>
        <v>6113.2186329800006</v>
      </c>
      <c r="M53" s="4">
        <f t="shared" si="27"/>
        <v>17125.799586811729</v>
      </c>
      <c r="N53" s="4">
        <f t="shared" si="27"/>
        <v>135193.22188531447</v>
      </c>
    </row>
    <row r="54" spans="2:14" ht="14.1" customHeight="1">
      <c r="B54" s="121" t="str">
        <f>IF(Indice_index!$Z$1=1,"Saldo corrente","Current balance")</f>
        <v>Saldo corrente</v>
      </c>
      <c r="C54" s="4">
        <f t="shared" ref="C54" si="28">C13-C31</f>
        <v>9115.1707020522008</v>
      </c>
      <c r="D54" s="4">
        <f t="shared" ref="D54:N54" si="29">D13-D31</f>
        <v>-175.40251793999596</v>
      </c>
      <c r="E54" s="4">
        <f t="shared" si="29"/>
        <v>1361.9345450699984</v>
      </c>
      <c r="F54" s="4">
        <f t="shared" si="29"/>
        <v>479.48425388169653</v>
      </c>
      <c r="G54" s="4">
        <f t="shared" si="29"/>
        <v>1233.9404355299985</v>
      </c>
      <c r="H54" s="4">
        <f t="shared" si="29"/>
        <v>2899.9567165416938</v>
      </c>
      <c r="I54" s="4">
        <f t="shared" si="29"/>
        <v>-884.31029379999745</v>
      </c>
      <c r="J54" s="4">
        <f t="shared" si="29"/>
        <v>1544.4245441100002</v>
      </c>
      <c r="K54" s="4">
        <f t="shared" si="29"/>
        <v>687.05597547965999</v>
      </c>
      <c r="L54" s="4">
        <f t="shared" si="29"/>
        <v>1489.6725409499995</v>
      </c>
      <c r="M54" s="4">
        <f t="shared" si="29"/>
        <v>2836.8427667396609</v>
      </c>
      <c r="N54" s="4">
        <f t="shared" si="29"/>
        <v>8703.736694736901</v>
      </c>
    </row>
    <row r="55" spans="2:14" ht="14.1" customHeight="1">
      <c r="B55" s="121" t="str">
        <f>IF(Indice_index!$Z$1=1,"Saldo de capital","Capital balance")</f>
        <v>Saldo de capital</v>
      </c>
      <c r="C55" s="4">
        <f t="shared" ref="C55" si="30">C23-C44</f>
        <v>-7817.4246558407676</v>
      </c>
      <c r="D55" s="4">
        <f t="shared" ref="D55:N55" si="31">D23-D44</f>
        <v>-316.96420447000003</v>
      </c>
      <c r="E55" s="4">
        <f t="shared" si="31"/>
        <v>-348.60548803999978</v>
      </c>
      <c r="F55" s="4">
        <f t="shared" si="31"/>
        <v>-108.4287143033377</v>
      </c>
      <c r="G55" s="4">
        <f t="shared" si="31"/>
        <v>-6.5593143200000004</v>
      </c>
      <c r="H55" s="4">
        <f t="shared" si="31"/>
        <v>-780.55772113333762</v>
      </c>
      <c r="I55" s="4">
        <f t="shared" si="31"/>
        <v>-318.90602403999992</v>
      </c>
      <c r="J55" s="4">
        <f t="shared" si="31"/>
        <v>-427.29219305999993</v>
      </c>
      <c r="K55" s="4">
        <f t="shared" si="31"/>
        <v>-94.659949403511348</v>
      </c>
      <c r="L55" s="4">
        <f t="shared" si="31"/>
        <v>-3.5481575300000006</v>
      </c>
      <c r="M55" s="4">
        <f t="shared" si="31"/>
        <v>-844.40632403351117</v>
      </c>
      <c r="N55" s="4">
        <f t="shared" si="31"/>
        <v>-9678.7975144808552</v>
      </c>
    </row>
    <row r="56" spans="2:14" ht="14.1" customHeight="1">
      <c r="B56" s="166" t="str">
        <f>IF(Indice_index!$Z$1=1,"Saldo primário","Primary balance")</f>
        <v>Saldo primário</v>
      </c>
      <c r="C56" s="19">
        <f t="shared" ref="C56" si="32">C30-C53</f>
        <v>8114.7953454713424</v>
      </c>
      <c r="D56" s="19">
        <f t="shared" ref="D56:N56" si="33">D30-D53</f>
        <v>593.38911119000477</v>
      </c>
      <c r="E56" s="19">
        <f t="shared" si="33"/>
        <v>1029.1599783799975</v>
      </c>
      <c r="F56" s="19">
        <f t="shared" si="33"/>
        <v>411.91846207430945</v>
      </c>
      <c r="G56" s="19">
        <f t="shared" si="33"/>
        <v>1228.7310558799982</v>
      </c>
      <c r="H56" s="19">
        <f t="shared" si="33"/>
        <v>3192.5578695343102</v>
      </c>
      <c r="I56" s="19">
        <f t="shared" si="33"/>
        <v>-94.763727209996432</v>
      </c>
      <c r="J56" s="19">
        <f t="shared" si="33"/>
        <v>1133.8773935999998</v>
      </c>
      <c r="K56" s="19">
        <f t="shared" si="33"/>
        <v>627.88732243405775</v>
      </c>
      <c r="L56" s="19">
        <f t="shared" si="33"/>
        <v>1487.7205966500005</v>
      </c>
      <c r="M56" s="19">
        <f t="shared" si="33"/>
        <v>3057.8137820940574</v>
      </c>
      <c r="N56" s="19">
        <f t="shared" si="33"/>
        <v>6188.8241442728031</v>
      </c>
    </row>
    <row r="57" spans="2:14" ht="14.1" customHeight="1">
      <c r="B57" s="9" t="str">
        <f>IF(Indice_index!$Z$1=1,"Notas:","Notes:")</f>
        <v>Notas:</v>
      </c>
      <c r="C57" s="9"/>
      <c r="D57" s="9"/>
      <c r="E57" s="9"/>
      <c r="F57" s="9"/>
      <c r="G57" s="9"/>
      <c r="H57" s="9"/>
      <c r="I57" s="9"/>
      <c r="J57" s="9"/>
      <c r="K57" s="9"/>
      <c r="L57" s="9"/>
      <c r="M57" s="9"/>
      <c r="N57" s="9"/>
    </row>
    <row r="58" spans="2:14" ht="15" customHeight="1">
      <c r="B58" s="342" t="str">
        <f>IF(Indice_index!$Z$1=1,"A execução das Administrações Regional e Local acima identificada difere da soma da execução dos setores (12 - Adm R e 13 - Adm Loc) devido à inclusão de uma estimativa das freguesias na conta consolidada.","The Regional and Local Government data identified in the table above differs from the sum of each sector (12 - Adm R and 13 - Adm Loc) due to the inclusion in the consolidated account of a budget execution estimate for parishes.")</f>
        <v>A execução das Administrações Regional e Local acima identificada difere da soma da execução dos setores (12 - Adm R e 13 - Adm Loc) devido à inclusão de uma estimativa das freguesias na conta consolidada.</v>
      </c>
      <c r="C58" s="342"/>
      <c r="D58" s="342"/>
      <c r="E58" s="342"/>
      <c r="F58" s="342"/>
      <c r="G58" s="342"/>
      <c r="H58" s="342"/>
      <c r="I58" s="342"/>
      <c r="J58" s="342"/>
      <c r="K58" s="342"/>
      <c r="L58" s="342"/>
      <c r="M58" s="342"/>
      <c r="N58" s="342"/>
    </row>
    <row r="59" spans="2:14" ht="24" customHeight="1">
      <c r="B59" s="351" t="str">
        <f>IF(Indice_index!$Z$1=1,"Fonte: Entidade Orçamental.","Source: Budgetary Entity.")</f>
        <v>Fonte: Entidade Orçamental.</v>
      </c>
      <c r="C59" s="351"/>
      <c r="D59" s="351"/>
      <c r="E59" s="351"/>
      <c r="F59" s="351"/>
      <c r="G59" s="351"/>
      <c r="H59" s="351"/>
      <c r="I59" s="351"/>
      <c r="J59" s="351"/>
      <c r="K59" s="351"/>
      <c r="L59" s="351"/>
      <c r="M59" s="351"/>
      <c r="N59" s="351"/>
    </row>
    <row r="60" spans="2:14" ht="24" customHeight="1">
      <c r="B60" s="351"/>
      <c r="C60" s="351"/>
      <c r="D60" s="351"/>
      <c r="E60" s="351"/>
      <c r="F60" s="351"/>
      <c r="G60" s="351"/>
      <c r="H60" s="351"/>
      <c r="I60" s="351"/>
      <c r="J60" s="351"/>
      <c r="K60" s="351"/>
      <c r="L60" s="351"/>
      <c r="M60" s="351"/>
      <c r="N60" s="351"/>
    </row>
    <row r="61" spans="2:14" ht="15">
      <c r="B61" s="340" t="str">
        <f>+'3 - Conta AC + SS'!B9</f>
        <v>Período: janeiro a fevereiro</v>
      </c>
      <c r="C61" s="340"/>
      <c r="D61" s="3"/>
      <c r="E61" s="3"/>
      <c r="F61" s="3"/>
      <c r="G61" s="3"/>
      <c r="H61" s="3"/>
      <c r="I61" s="3"/>
      <c r="J61" s="3"/>
      <c r="K61" s="3"/>
      <c r="L61" s="3"/>
      <c r="M61" s="3"/>
      <c r="N61" s="3"/>
    </row>
    <row r="62" spans="2:14" ht="16.350000000000001" customHeight="1">
      <c r="B62" s="343"/>
      <c r="C62" s="344"/>
      <c r="D62" s="354" t="str">
        <f>IF(Indice_index!$Z$1=1,"Variação Homóloga Absoluta","YOY Variation")</f>
        <v>Variação Homóloga Absoluta</v>
      </c>
      <c r="E62" s="355"/>
      <c r="F62" s="355"/>
      <c r="G62" s="355"/>
      <c r="H62" s="356"/>
      <c r="I62" s="354" t="str">
        <f>IF(Indice_index!$Z$1=1,"Variação Homóloga Relativa (%)","Relative YOY Variation")</f>
        <v>Variação Homóloga Relativa (%)</v>
      </c>
      <c r="J62" s="355"/>
      <c r="K62" s="355"/>
      <c r="L62" s="355"/>
      <c r="M62" s="356"/>
      <c r="N62" s="21"/>
    </row>
    <row r="63" spans="2:14" ht="36" customHeight="1">
      <c r="B63" s="343"/>
      <c r="C63" s="344"/>
      <c r="D63" s="22" t="str">
        <f>IF(Indice_index!$Z$1=1,"Estado","State")</f>
        <v>Estado</v>
      </c>
      <c r="E63" s="22" t="str">
        <f>IF(Indice_index!$Z$1=1,"Serviços e Fundos Autónomos","Autonomous Funds and Services")</f>
        <v>Serviços e Fundos Autónomos</v>
      </c>
      <c r="F63" s="22" t="str">
        <f>IF(Indice_index!$Z$1=1,"Adm. Local e Regional","Local and Regional Government")</f>
        <v>Adm. Local e Regional</v>
      </c>
      <c r="G63" s="22" t="str">
        <f>IF(Indice_index!$Z$1=1,"Segurança Social","Social Security")</f>
        <v>Segurança Social</v>
      </c>
      <c r="H63" s="22" t="str">
        <f>IF(Indice_index!$Z$1=1,"Adm. Públicas","General Government")</f>
        <v>Adm. Públicas</v>
      </c>
      <c r="I63" s="22" t="str">
        <f>IF(Indice_index!$Z$1=1,"Estado","State")</f>
        <v>Estado</v>
      </c>
      <c r="J63" s="22" t="str">
        <f>IF(Indice_index!$Z$1=1,"Serviços e Fundos Autónomos","Autonomous Funds and Services")</f>
        <v>Serviços e Fundos Autónomos</v>
      </c>
      <c r="K63" s="22" t="str">
        <f>IF(Indice_index!$Z$1=1,"Adm. Local e Regional","Local and Regional Government")</f>
        <v>Adm. Local e Regional</v>
      </c>
      <c r="L63" s="22" t="str">
        <f>IF(Indice_index!$Z$1=1,"Segurança Social","Social Security")</f>
        <v>Segurança Social</v>
      </c>
      <c r="M63" s="22" t="str">
        <f>IF(Indice_index!$Z$1=1,"Adm. Públicas","General Government")</f>
        <v>Adm. Públicas</v>
      </c>
      <c r="N63" s="21"/>
    </row>
    <row r="64" spans="2:14" ht="14.1" customHeight="1">
      <c r="B64" s="357" t="str">
        <f>IF(Indice_index!$Z$1=1,"Receita corrente","Current revenue")</f>
        <v>Receita corrente</v>
      </c>
      <c r="C64" s="358"/>
      <c r="D64" s="128">
        <f t="shared" ref="D64:H79" si="34">I13-D13</f>
        <v>309.74096851999821</v>
      </c>
      <c r="E64" s="128">
        <f t="shared" si="34"/>
        <v>648.05172629000208</v>
      </c>
      <c r="F64" s="128">
        <f t="shared" si="34"/>
        <v>236.54960218472206</v>
      </c>
      <c r="G64" s="128">
        <f t="shared" si="34"/>
        <v>465.43130794000081</v>
      </c>
      <c r="H64" s="128">
        <f t="shared" si="34"/>
        <v>856.72409046472603</v>
      </c>
      <c r="I64" s="128">
        <f t="shared" ref="I64:M72" si="35">IF(IFERROR((I13-D13)/D13*100,"")&gt;500,"-",IFERROR((I13-D13)/D13*100,""))</f>
        <v>2.9469606399448489</v>
      </c>
      <c r="J64" s="128">
        <f t="shared" si="35"/>
        <v>9.824419410221644</v>
      </c>
      <c r="K64" s="128">
        <f t="shared" si="35"/>
        <v>10.319058261042818</v>
      </c>
      <c r="L64" s="128">
        <f t="shared" si="35"/>
        <v>6.5227710912665851</v>
      </c>
      <c r="M64" s="128">
        <f t="shared" si="35"/>
        <v>4.5696882561269216</v>
      </c>
      <c r="N64" s="153"/>
    </row>
    <row r="65" spans="2:14" ht="14.1" customHeight="1">
      <c r="B65" s="352" t="str">
        <f>IF(Indice_index!$Z$1=1,"Receita Fiscal","Tax")</f>
        <v>Receita Fiscal</v>
      </c>
      <c r="C65" s="353"/>
      <c r="D65" s="4">
        <f t="shared" si="34"/>
        <v>-52.749055960000987</v>
      </c>
      <c r="E65" s="4">
        <f t="shared" si="34"/>
        <v>0.22760633000001462</v>
      </c>
      <c r="F65" s="4">
        <f t="shared" si="34"/>
        <v>149.51833568706195</v>
      </c>
      <c r="G65" s="4">
        <f t="shared" si="34"/>
        <v>11.741085159999997</v>
      </c>
      <c r="H65" s="4">
        <f t="shared" si="34"/>
        <v>108.7379712170623</v>
      </c>
      <c r="I65" s="4">
        <f t="shared" si="35"/>
        <v>-0.54513036155137706</v>
      </c>
      <c r="J65" s="4">
        <f t="shared" si="35"/>
        <v>0.14449271386910817</v>
      </c>
      <c r="K65" s="4">
        <f t="shared" si="35"/>
        <v>18.685891345149049</v>
      </c>
      <c r="L65" s="4">
        <f t="shared" si="35"/>
        <v>32.369793486645918</v>
      </c>
      <c r="M65" s="4">
        <f t="shared" si="35"/>
        <v>1.0190645767559263</v>
      </c>
      <c r="N65" s="21"/>
    </row>
    <row r="66" spans="2:14" ht="14.1" customHeight="1">
      <c r="B66" s="359" t="str">
        <f>IF(Indice_index!$Z$1=1,"Impostos diretos","Direct taxes")</f>
        <v>Impostos diretos</v>
      </c>
      <c r="C66" s="360"/>
      <c r="D66" s="4">
        <f t="shared" si="34"/>
        <v>-101.17302236999967</v>
      </c>
      <c r="E66" s="4">
        <f t="shared" si="34"/>
        <v>0</v>
      </c>
      <c r="F66" s="4">
        <f t="shared" si="34"/>
        <v>140.63243163847994</v>
      </c>
      <c r="G66" s="4">
        <f t="shared" si="34"/>
        <v>0</v>
      </c>
      <c r="H66" s="4">
        <f t="shared" si="34"/>
        <v>39.459409268481068</v>
      </c>
      <c r="I66" s="4">
        <f t="shared" si="35"/>
        <v>-2.8784262202277371</v>
      </c>
      <c r="J66" s="4" t="str">
        <f t="shared" si="35"/>
        <v>-</v>
      </c>
      <c r="K66" s="4">
        <f t="shared" si="35"/>
        <v>24.165368186242368</v>
      </c>
      <c r="L66" s="4" t="str">
        <f t="shared" si="35"/>
        <v>-</v>
      </c>
      <c r="M66" s="4">
        <f t="shared" si="35"/>
        <v>0.9631689709966248</v>
      </c>
      <c r="N66" s="21"/>
    </row>
    <row r="67" spans="2:14" ht="14.1" customHeight="1">
      <c r="B67" s="359" t="str">
        <f>IF(Indice_index!$Z$1=1,"Impostos indiretos","Indirect taxes")</f>
        <v>Impostos indiretos</v>
      </c>
      <c r="C67" s="360"/>
      <c r="D67" s="4">
        <f t="shared" si="34"/>
        <v>48.423966409999593</v>
      </c>
      <c r="E67" s="4">
        <f t="shared" si="34"/>
        <v>0.22760633000001462</v>
      </c>
      <c r="F67" s="4">
        <f t="shared" si="34"/>
        <v>8.8859040485820913</v>
      </c>
      <c r="G67" s="4">
        <f t="shared" si="34"/>
        <v>11.741085159999997</v>
      </c>
      <c r="H67" s="4">
        <f t="shared" si="34"/>
        <v>69.278561948580318</v>
      </c>
      <c r="I67" s="4">
        <f t="shared" si="35"/>
        <v>0.78590707337794929</v>
      </c>
      <c r="J67" s="4">
        <f t="shared" si="35"/>
        <v>0.14449271386910817</v>
      </c>
      <c r="K67" s="4">
        <f t="shared" si="35"/>
        <v>4.0722094218252831</v>
      </c>
      <c r="L67" s="4">
        <f t="shared" si="35"/>
        <v>32.369793486645918</v>
      </c>
      <c r="M67" s="4">
        <f t="shared" si="35"/>
        <v>1.0539004323639447</v>
      </c>
      <c r="N67" s="21"/>
    </row>
    <row r="68" spans="2:14" ht="14.1" customHeight="1">
      <c r="B68" s="352" t="str">
        <f>IF(Indice_index!$Z$1=1,"Contribuições de Segurança Social","Social security contributions")</f>
        <v>Contribuições de Segurança Social</v>
      </c>
      <c r="C68" s="353"/>
      <c r="D68" s="4">
        <f t="shared" si="34"/>
        <v>2.5214178400000016</v>
      </c>
      <c r="E68" s="4">
        <f t="shared" si="34"/>
        <v>27.537032450000083</v>
      </c>
      <c r="F68" s="4">
        <f t="shared" si="34"/>
        <v>0</v>
      </c>
      <c r="G68" s="4">
        <f t="shared" si="34"/>
        <v>390.73116809000021</v>
      </c>
      <c r="H68" s="4">
        <f t="shared" si="34"/>
        <v>420.78961838000032</v>
      </c>
      <c r="I68" s="4">
        <f t="shared" si="35"/>
        <v>18.640240590324137</v>
      </c>
      <c r="J68" s="4">
        <f t="shared" si="35"/>
        <v>4.4988734032998714</v>
      </c>
      <c r="K68" s="4" t="str">
        <f t="shared" si="35"/>
        <v>-</v>
      </c>
      <c r="L68" s="4">
        <f t="shared" si="35"/>
        <v>8.2785238148387918</v>
      </c>
      <c r="M68" s="4">
        <f t="shared" si="35"/>
        <v>7.8719493583439144</v>
      </c>
      <c r="N68" s="153"/>
    </row>
    <row r="69" spans="2:14" ht="14.1" customHeight="1">
      <c r="B69" s="352" t="str">
        <f>IF(Indice_index!$Z$1=1,"Transferências correntes","Current transfers")</f>
        <v>Transferências correntes</v>
      </c>
      <c r="C69" s="353"/>
      <c r="D69" s="4">
        <f t="shared" si="34"/>
        <v>17.540929250000005</v>
      </c>
      <c r="E69" s="4">
        <f t="shared" si="34"/>
        <v>684.92429387000266</v>
      </c>
      <c r="F69" s="4">
        <f t="shared" si="34"/>
        <v>39.478217723305988</v>
      </c>
      <c r="G69" s="4">
        <f t="shared" si="34"/>
        <v>55.465422500000386</v>
      </c>
      <c r="H69" s="4">
        <f t="shared" si="34"/>
        <v>31.893019153305488</v>
      </c>
      <c r="I69" s="4">
        <f t="shared" si="35"/>
        <v>10.694802064496095</v>
      </c>
      <c r="J69" s="4">
        <f t="shared" si="35"/>
        <v>14.333662221201376</v>
      </c>
      <c r="K69" s="4">
        <f t="shared" si="35"/>
        <v>3.7490717648686651</v>
      </c>
      <c r="L69" s="4">
        <f t="shared" si="35"/>
        <v>2.5432541312384171</v>
      </c>
      <c r="M69" s="4">
        <f t="shared" si="35"/>
        <v>6.3152131827672235</v>
      </c>
      <c r="N69" s="153"/>
    </row>
    <row r="70" spans="2:14" ht="14.1" customHeight="1">
      <c r="B70" s="359" t="str">
        <f>IF(Indice_index!$Z$1=1,"Administrações Públicas","General Government subsectors")</f>
        <v>Administrações Públicas</v>
      </c>
      <c r="C70" s="360"/>
      <c r="D70" s="4">
        <f t="shared" si="34"/>
        <v>9.4814546199999938</v>
      </c>
      <c r="E70" s="4">
        <f t="shared" si="34"/>
        <v>565.58816054000272</v>
      </c>
      <c r="F70" s="4">
        <f t="shared" si="34"/>
        <v>35.293703170000299</v>
      </c>
      <c r="G70" s="4">
        <f t="shared" si="34"/>
        <v>155.1525258600002</v>
      </c>
      <c r="H70" s="4">
        <f t="shared" si="34"/>
        <v>0</v>
      </c>
      <c r="I70" s="4">
        <f t="shared" si="35"/>
        <v>7.438426964230807</v>
      </c>
      <c r="J70" s="4">
        <f t="shared" si="35"/>
        <v>12.333650229881426</v>
      </c>
      <c r="K70" s="4">
        <f t="shared" si="35"/>
        <v>3.4607110449272316</v>
      </c>
      <c r="L70" s="4">
        <f t="shared" si="35"/>
        <v>8.0046243649498869</v>
      </c>
      <c r="M70" s="4" t="str">
        <f t="shared" si="35"/>
        <v>-</v>
      </c>
      <c r="N70" s="153"/>
    </row>
    <row r="71" spans="2:14" ht="14.1" customHeight="1">
      <c r="B71" s="359" t="str">
        <f>IF(Indice_index!$Z$1=1,"Outras","Others")</f>
        <v>Outras</v>
      </c>
      <c r="C71" s="360"/>
      <c r="D71" s="4">
        <f t="shared" si="34"/>
        <v>8.0594746300000111</v>
      </c>
      <c r="E71" s="4">
        <f t="shared" si="34"/>
        <v>119.33613332999988</v>
      </c>
      <c r="F71" s="4">
        <f t="shared" si="34"/>
        <v>4.1845145533056538</v>
      </c>
      <c r="G71" s="4">
        <f t="shared" si="34"/>
        <v>-99.687103359999981</v>
      </c>
      <c r="H71" s="4">
        <f t="shared" si="34"/>
        <v>31.893019153305488</v>
      </c>
      <c r="I71" s="4">
        <f t="shared" si="35"/>
        <v>22.051910994483745</v>
      </c>
      <c r="J71" s="4">
        <f t="shared" si="35"/>
        <v>61.928513849778653</v>
      </c>
      <c r="K71" s="4">
        <f t="shared" si="35"/>
        <v>12.614035081903252</v>
      </c>
      <c r="L71" s="4">
        <f t="shared" si="35"/>
        <v>-41.09150366343345</v>
      </c>
      <c r="M71" s="4">
        <f t="shared" si="35"/>
        <v>6.3152131827672235</v>
      </c>
      <c r="N71" s="153"/>
    </row>
    <row r="72" spans="2:14" ht="14.1" customHeight="1">
      <c r="B72" s="352" t="str">
        <f>IF(Indice_index!$Z$1=1,"Outras receitas correntes","Other current revenue")</f>
        <v>Outras receitas correntes</v>
      </c>
      <c r="C72" s="353"/>
      <c r="D72" s="4">
        <f t="shared" si="34"/>
        <v>373.60823538</v>
      </c>
      <c r="E72" s="4">
        <f t="shared" si="34"/>
        <v>-20.202506669999821</v>
      </c>
      <c r="F72" s="4">
        <f t="shared" si="34"/>
        <v>24.514772934354312</v>
      </c>
      <c r="G72" s="4">
        <f t="shared" si="34"/>
        <v>7.4936321899999996</v>
      </c>
      <c r="H72" s="4">
        <f t="shared" si="34"/>
        <v>388.43651950435469</v>
      </c>
      <c r="I72" s="4">
        <f t="shared" si="35"/>
        <v>59.740099407773293</v>
      </c>
      <c r="J72" s="4">
        <f t="shared" si="35"/>
        <v>-2.0258602618694175</v>
      </c>
      <c r="K72" s="4">
        <f t="shared" si="35"/>
        <v>5.6478705170093519</v>
      </c>
      <c r="L72" s="4">
        <f t="shared" si="35"/>
        <v>3.7749079815538287</v>
      </c>
      <c r="M72" s="4">
        <f t="shared" si="35"/>
        <v>18.614647223028864</v>
      </c>
      <c r="N72" s="153"/>
    </row>
    <row r="73" spans="2:14" ht="14.1" customHeight="1">
      <c r="B73" s="352" t="str">
        <f>IF(Indice_index!$Z$1=1,"Diferenças de consolidação","Consolidation differences")</f>
        <v>Diferenças de consolidação</v>
      </c>
      <c r="C73" s="353"/>
      <c r="D73" s="4">
        <f t="shared" si="34"/>
        <v>-31.18055798999999</v>
      </c>
      <c r="E73" s="4">
        <f t="shared" si="34"/>
        <v>-44.434699690000329</v>
      </c>
      <c r="F73" s="4">
        <f t="shared" si="34"/>
        <v>23.038275840000011</v>
      </c>
      <c r="G73" s="4">
        <f t="shared" si="34"/>
        <v>0</v>
      </c>
      <c r="H73" s="4">
        <f t="shared" si="34"/>
        <v>-93.133037789997559</v>
      </c>
      <c r="I73" s="4" t="s">
        <v>3</v>
      </c>
      <c r="J73" s="4" t="s">
        <v>3</v>
      </c>
      <c r="K73" s="4" t="s">
        <v>3</v>
      </c>
      <c r="L73" s="4" t="s">
        <v>3</v>
      </c>
      <c r="M73" s="4" t="s">
        <v>3</v>
      </c>
      <c r="N73" s="153"/>
    </row>
    <row r="74" spans="2:14" ht="14.1" customHeight="1">
      <c r="B74" s="357" t="str">
        <f>IF(Indice_index!$Z$1=1,"Receita de capital","Capital revenue")</f>
        <v>Receita de capital</v>
      </c>
      <c r="C74" s="358"/>
      <c r="D74" s="128">
        <f t="shared" si="34"/>
        <v>18.882686490000005</v>
      </c>
      <c r="E74" s="128">
        <f t="shared" si="34"/>
        <v>117.38668924999996</v>
      </c>
      <c r="F74" s="128">
        <f t="shared" si="34"/>
        <v>75.734348562244065</v>
      </c>
      <c r="G74" s="128">
        <f t="shared" si="34"/>
        <v>2.225243E-2</v>
      </c>
      <c r="H74" s="128">
        <f t="shared" si="34"/>
        <v>99.73651260224392</v>
      </c>
      <c r="I74" s="128">
        <f t="shared" ref="I74:M79" si="36">IF(IFERROR((I23-D23)/D23*100,"")&gt;500,"-",IFERROR((I23-D23)/D23*100,""))</f>
        <v>54.010936684902731</v>
      </c>
      <c r="J74" s="128">
        <f t="shared" si="36"/>
        <v>26.462565967889873</v>
      </c>
      <c r="K74" s="128">
        <f t="shared" si="36"/>
        <v>23.269197684004975</v>
      </c>
      <c r="L74" s="128" t="str">
        <f t="shared" si="36"/>
        <v>-</v>
      </c>
      <c r="M74" s="128">
        <f t="shared" si="36"/>
        <v>20.814169156121444</v>
      </c>
      <c r="N74" s="153"/>
    </row>
    <row r="75" spans="2:14" ht="14.1" customHeight="1">
      <c r="B75" s="352" t="str">
        <f>IF(Indice_index!$Z$1=1,"Venda de bens de investimento","Sale of investment goods")</f>
        <v>Venda de bens de investimento</v>
      </c>
      <c r="C75" s="353"/>
      <c r="D75" s="4">
        <f t="shared" si="34"/>
        <v>1.8300000000000004E-5</v>
      </c>
      <c r="E75" s="4">
        <f t="shared" si="34"/>
        <v>-10.266492359999999</v>
      </c>
      <c r="F75" s="4">
        <f t="shared" si="34"/>
        <v>-16.942292221539994</v>
      </c>
      <c r="G75" s="4">
        <f t="shared" si="34"/>
        <v>2.353334E-2</v>
      </c>
      <c r="H75" s="4">
        <f t="shared" si="34"/>
        <v>-27.185232941539994</v>
      </c>
      <c r="I75" s="4">
        <f t="shared" si="36"/>
        <v>191.82389937106925</v>
      </c>
      <c r="J75" s="4">
        <f t="shared" si="36"/>
        <v>-72.816130246566203</v>
      </c>
      <c r="K75" s="4">
        <f t="shared" si="36"/>
        <v>-77.031044662402564</v>
      </c>
      <c r="L75" s="4" t="str">
        <f t="shared" si="36"/>
        <v>-</v>
      </c>
      <c r="M75" s="4">
        <f t="shared" si="36"/>
        <v>-75.319292353260693</v>
      </c>
      <c r="N75" s="153"/>
    </row>
    <row r="76" spans="2:14" ht="14.1" customHeight="1">
      <c r="B76" s="352" t="str">
        <f>IF(Indice_index!$Z$1=1,"Transferências de capital","Capital transfers")</f>
        <v>Transferências de capital</v>
      </c>
      <c r="C76" s="353"/>
      <c r="D76" s="4">
        <f t="shared" si="34"/>
        <v>19.354718680000005</v>
      </c>
      <c r="E76" s="4">
        <f t="shared" si="34"/>
        <v>106.02229170999993</v>
      </c>
      <c r="F76" s="4">
        <f t="shared" si="34"/>
        <v>95.788655879226553</v>
      </c>
      <c r="G76" s="4">
        <f t="shared" si="34"/>
        <v>0</v>
      </c>
      <c r="H76" s="4">
        <f t="shared" si="34"/>
        <v>79.033069069226485</v>
      </c>
      <c r="I76" s="4">
        <f t="shared" si="36"/>
        <v>58.400068380277702</v>
      </c>
      <c r="J76" s="4">
        <f t="shared" si="36"/>
        <v>24.764320495034024</v>
      </c>
      <c r="K76" s="4">
        <f t="shared" si="36"/>
        <v>32.288587158751255</v>
      </c>
      <c r="L76" s="4" t="str">
        <f t="shared" si="36"/>
        <v>-</v>
      </c>
      <c r="M76" s="4">
        <f t="shared" si="36"/>
        <v>18.688344719865917</v>
      </c>
      <c r="N76" s="153"/>
    </row>
    <row r="77" spans="2:14" ht="14.1" customHeight="1">
      <c r="B77" s="359" t="str">
        <f>IF(Indice_index!$Z$1=1,"Administrações Públicas","General Government subsectors")</f>
        <v>Administrações Públicas</v>
      </c>
      <c r="C77" s="360"/>
      <c r="D77" s="4">
        <f t="shared" si="34"/>
        <v>10.085455619999999</v>
      </c>
      <c r="E77" s="4">
        <f t="shared" si="34"/>
        <v>68.773433950000026</v>
      </c>
      <c r="F77" s="4">
        <f t="shared" si="34"/>
        <v>63.273707629999961</v>
      </c>
      <c r="G77" s="4">
        <f t="shared" si="34"/>
        <v>0</v>
      </c>
      <c r="H77" s="4">
        <f t="shared" si="34"/>
        <v>0</v>
      </c>
      <c r="I77" s="4">
        <f t="shared" si="36"/>
        <v>92.455967265660092</v>
      </c>
      <c r="J77" s="4">
        <f t="shared" si="36"/>
        <v>48.773486876510475</v>
      </c>
      <c r="K77" s="4">
        <f t="shared" si="36"/>
        <v>34.553812315017311</v>
      </c>
      <c r="L77" s="4" t="str">
        <f t="shared" si="36"/>
        <v>-</v>
      </c>
      <c r="M77" s="4" t="str">
        <f t="shared" si="36"/>
        <v>-</v>
      </c>
      <c r="N77" s="153"/>
    </row>
    <row r="78" spans="2:14" ht="14.1" customHeight="1">
      <c r="B78" s="359" t="str">
        <f>IF(Indice_index!$Z$1=1,"Outras","Others")</f>
        <v>Outras</v>
      </c>
      <c r="C78" s="360"/>
      <c r="D78" s="4">
        <f t="shared" si="34"/>
        <v>9.2692630600000037</v>
      </c>
      <c r="E78" s="4">
        <f t="shared" si="34"/>
        <v>37.248857759999851</v>
      </c>
      <c r="F78" s="4">
        <f t="shared" si="34"/>
        <v>32.514948249226592</v>
      </c>
      <c r="G78" s="4">
        <f t="shared" si="34"/>
        <v>0</v>
      </c>
      <c r="H78" s="4">
        <f t="shared" si="34"/>
        <v>79.033069069226485</v>
      </c>
      <c r="I78" s="4">
        <f t="shared" si="36"/>
        <v>41.691060638559172</v>
      </c>
      <c r="J78" s="4">
        <f t="shared" si="36"/>
        <v>12.973298673799484</v>
      </c>
      <c r="K78" s="4">
        <f t="shared" si="36"/>
        <v>28.635497322970249</v>
      </c>
      <c r="L78" s="4" t="str">
        <f t="shared" si="36"/>
        <v>-</v>
      </c>
      <c r="M78" s="4">
        <f t="shared" si="36"/>
        <v>18.688344719865917</v>
      </c>
      <c r="N78" s="153"/>
    </row>
    <row r="79" spans="2:14" ht="14.1" customHeight="1">
      <c r="B79" s="352" t="str">
        <f>IF(Indice_index!$Z$1=1,"Outras receitas de capital","Other capital revenue")</f>
        <v>Outras receitas de capital</v>
      </c>
      <c r="C79" s="353"/>
      <c r="D79" s="4">
        <f t="shared" si="34"/>
        <v>0.64795036000000006</v>
      </c>
      <c r="E79" s="4">
        <f t="shared" si="34"/>
        <v>21.630889899999996</v>
      </c>
      <c r="F79" s="4">
        <f t="shared" si="34"/>
        <v>1.447797304557451</v>
      </c>
      <c r="G79" s="4">
        <f t="shared" si="34"/>
        <v>-1.2809100000000001E-3</v>
      </c>
      <c r="H79" s="4">
        <f t="shared" si="34"/>
        <v>23.725356654557444</v>
      </c>
      <c r="I79" s="4">
        <f t="shared" si="36"/>
        <v>251.41470797147346</v>
      </c>
      <c r="J79" s="4" t="str">
        <f t="shared" si="36"/>
        <v>-</v>
      </c>
      <c r="K79" s="4">
        <f t="shared" si="36"/>
        <v>80.017653488052517</v>
      </c>
      <c r="L79" s="4">
        <f t="shared" si="36"/>
        <v>-94.390691436445763</v>
      </c>
      <c r="M79" s="4" t="str">
        <f t="shared" si="36"/>
        <v>-</v>
      </c>
      <c r="N79" s="153"/>
    </row>
    <row r="80" spans="2:14" ht="14.1" customHeight="1">
      <c r="B80" s="361" t="str">
        <f>IF(Indice_index!$Z$1=1,"Diferenças de consolidação","Consolidation differences")</f>
        <v>Diferenças de consolidação</v>
      </c>
      <c r="C80" s="362"/>
      <c r="D80" s="4">
        <f t="shared" ref="D80:H95" si="37">I29-D29</f>
        <v>-1.1200008500000003</v>
      </c>
      <c r="E80" s="4">
        <f t="shared" si="37"/>
        <v>0</v>
      </c>
      <c r="F80" s="4">
        <f t="shared" si="37"/>
        <v>-4.5598123999999984</v>
      </c>
      <c r="G80" s="4">
        <f t="shared" si="37"/>
        <v>0</v>
      </c>
      <c r="H80" s="4">
        <f t="shared" si="37"/>
        <v>24.163319820000027</v>
      </c>
      <c r="I80" s="4" t="s">
        <v>3</v>
      </c>
      <c r="J80" s="4" t="s">
        <v>3</v>
      </c>
      <c r="K80" s="4" t="s">
        <v>3</v>
      </c>
      <c r="L80" s="4" t="s">
        <v>3</v>
      </c>
      <c r="M80" s="4" t="s">
        <v>3</v>
      </c>
      <c r="N80" s="153"/>
    </row>
    <row r="81" spans="2:14" ht="14.1" customHeight="1">
      <c r="B81" s="363" t="str">
        <f>IF(Indice_index!$Z$1=1,"Receita efetiva","Effective revenue")</f>
        <v>Receita efetiva</v>
      </c>
      <c r="C81" s="364"/>
      <c r="D81" s="24">
        <f t="shared" si="37"/>
        <v>328.6236550099984</v>
      </c>
      <c r="E81" s="24">
        <f t="shared" si="37"/>
        <v>765.4384155400021</v>
      </c>
      <c r="F81" s="24">
        <f t="shared" si="37"/>
        <v>312.28395074696618</v>
      </c>
      <c r="G81" s="24">
        <f t="shared" si="37"/>
        <v>465.45356037000147</v>
      </c>
      <c r="H81" s="24">
        <f t="shared" si="37"/>
        <v>956.46060306696745</v>
      </c>
      <c r="I81" s="24">
        <f t="shared" ref="I81:M93" si="38">IF(IFERROR((I30-D30)/D30*100,"")&gt;500,"-",IFERROR((I30-D30)/D30*100,""))</f>
        <v>3.1162502092995257</v>
      </c>
      <c r="J81" s="24">
        <f t="shared" si="38"/>
        <v>10.872810737301737</v>
      </c>
      <c r="K81" s="24">
        <f t="shared" si="38"/>
        <v>11.92912917879438</v>
      </c>
      <c r="L81" s="24">
        <f t="shared" si="38"/>
        <v>6.5230817066201512</v>
      </c>
      <c r="M81" s="25">
        <f t="shared" si="38"/>
        <v>4.9745306271572662</v>
      </c>
      <c r="N81" s="23"/>
    </row>
    <row r="82" spans="2:14" ht="14.1" customHeight="1">
      <c r="B82" s="357" t="str">
        <f>IF(Indice_index!$Z$1=1,"Despesa corrente","Current expenditure")</f>
        <v>Despesa corrente</v>
      </c>
      <c r="C82" s="358"/>
      <c r="D82" s="128">
        <f t="shared" si="37"/>
        <v>1018.6487443799997</v>
      </c>
      <c r="E82" s="128">
        <f t="shared" si="37"/>
        <v>465.56172725000033</v>
      </c>
      <c r="F82" s="128">
        <f t="shared" si="37"/>
        <v>28.977880586758602</v>
      </c>
      <c r="G82" s="128">
        <f t="shared" si="37"/>
        <v>209.69920251999974</v>
      </c>
      <c r="H82" s="128">
        <f t="shared" si="37"/>
        <v>919.83804026675898</v>
      </c>
      <c r="I82" s="128">
        <f t="shared" si="38"/>
        <v>9.5326208892282889</v>
      </c>
      <c r="J82" s="128">
        <f t="shared" si="38"/>
        <v>8.8942684363584714</v>
      </c>
      <c r="K82" s="128">
        <f t="shared" si="38"/>
        <v>1.5984513383066354</v>
      </c>
      <c r="L82" s="128">
        <f t="shared" si="38"/>
        <v>3.5532939668197199</v>
      </c>
      <c r="M82" s="128">
        <f t="shared" si="38"/>
        <v>5.804119631528704</v>
      </c>
      <c r="N82" s="153"/>
    </row>
    <row r="83" spans="2:14" ht="14.1" customHeight="1">
      <c r="B83" s="352" t="str">
        <f>IF(Indice_index!$Z$1=1,"Despesas com o pessoal","Compensation of employees")</f>
        <v>Despesas com o pessoal</v>
      </c>
      <c r="C83" s="353"/>
      <c r="D83" s="4">
        <f t="shared" si="37"/>
        <v>108.52064597000003</v>
      </c>
      <c r="E83" s="4">
        <f t="shared" si="37"/>
        <v>68.594329030001063</v>
      </c>
      <c r="F83" s="4">
        <f t="shared" si="37"/>
        <v>73.558562694776356</v>
      </c>
      <c r="G83" s="4">
        <f t="shared" si="37"/>
        <v>1.2613183699999979</v>
      </c>
      <c r="H83" s="4">
        <f t="shared" si="37"/>
        <v>251.9348560647768</v>
      </c>
      <c r="I83" s="4">
        <f t="shared" si="38"/>
        <v>6.284370451361891</v>
      </c>
      <c r="J83" s="4">
        <f t="shared" si="38"/>
        <v>4.1743645295521894</v>
      </c>
      <c r="K83" s="4">
        <f t="shared" si="38"/>
        <v>8.2413066856058013</v>
      </c>
      <c r="L83" s="4">
        <f t="shared" si="38"/>
        <v>2.5393854001358047</v>
      </c>
      <c r="M83" s="4">
        <f t="shared" si="38"/>
        <v>5.8422498057249674</v>
      </c>
      <c r="N83" s="153"/>
    </row>
    <row r="84" spans="2:14" ht="14.1" customHeight="1">
      <c r="B84" s="359" t="str">
        <f>IF(Indice_index!$Z$1=1,"Remunerações certas e permanentes","Certain and permanent wages")</f>
        <v>Remunerações certas e permanentes</v>
      </c>
      <c r="C84" s="360"/>
      <c r="D84" s="4">
        <f t="shared" si="37"/>
        <v>70.554298070000186</v>
      </c>
      <c r="E84" s="4">
        <f t="shared" si="37"/>
        <v>61.342716970000538</v>
      </c>
      <c r="F84" s="4">
        <f t="shared" si="37"/>
        <v>49.086172504539036</v>
      </c>
      <c r="G84" s="4">
        <f t="shared" si="37"/>
        <v>1.1804471899999953</v>
      </c>
      <c r="H84" s="4">
        <f t="shared" si="37"/>
        <v>182.16363473453976</v>
      </c>
      <c r="I84" s="4">
        <f t="shared" si="38"/>
        <v>5.6684728515367446</v>
      </c>
      <c r="J84" s="4">
        <f t="shared" si="38"/>
        <v>5.4598710071957504</v>
      </c>
      <c r="K84" s="4">
        <f t="shared" si="38"/>
        <v>7.1423527651238636</v>
      </c>
      <c r="L84" s="4">
        <f t="shared" si="38"/>
        <v>2.9569951558968315</v>
      </c>
      <c r="M84" s="4">
        <f t="shared" si="38"/>
        <v>5.8850280892778075</v>
      </c>
      <c r="N84" s="153"/>
    </row>
    <row r="85" spans="2:14" ht="14.1" customHeight="1">
      <c r="B85" s="359" t="str">
        <f>IF(Indice_index!$Z$1=1,"Abonos variáveis ou eventuais","Variable or contingent bonuses")</f>
        <v>Abonos variáveis ou eventuais</v>
      </c>
      <c r="C85" s="360"/>
      <c r="D85" s="4">
        <f t="shared" si="37"/>
        <v>9.0503792000000232</v>
      </c>
      <c r="E85" s="4">
        <f t="shared" si="37"/>
        <v>-18.566185360000134</v>
      </c>
      <c r="F85" s="4">
        <f t="shared" si="37"/>
        <v>7.9426205770044618</v>
      </c>
      <c r="G85" s="4">
        <f t="shared" si="37"/>
        <v>-2.9602299999999859E-2</v>
      </c>
      <c r="H85" s="4">
        <f t="shared" si="37"/>
        <v>-1.6027878829956421</v>
      </c>
      <c r="I85" s="4">
        <f t="shared" si="38"/>
        <v>12.451462309057026</v>
      </c>
      <c r="J85" s="4">
        <f t="shared" si="38"/>
        <v>-7.9895822478480607</v>
      </c>
      <c r="K85" s="4">
        <f t="shared" si="38"/>
        <v>14.797149442371415</v>
      </c>
      <c r="L85" s="4">
        <f t="shared" si="38"/>
        <v>-3.6603235838173718</v>
      </c>
      <c r="M85" s="4">
        <f t="shared" si="38"/>
        <v>-0.44577529992203807</v>
      </c>
      <c r="N85" s="153"/>
    </row>
    <row r="86" spans="2:14" ht="14.1" customHeight="1">
      <c r="B86" s="359" t="str">
        <f>IF(Indice_index!$Z$1=1,"Segurança social","Social security")</f>
        <v>Segurança social</v>
      </c>
      <c r="C86" s="360"/>
      <c r="D86" s="4">
        <f t="shared" si="37"/>
        <v>28.915968699999894</v>
      </c>
      <c r="E86" s="4">
        <f t="shared" si="37"/>
        <v>25.817797420000431</v>
      </c>
      <c r="F86" s="4">
        <f t="shared" si="37"/>
        <v>16.529769613232787</v>
      </c>
      <c r="G86" s="4">
        <f t="shared" si="37"/>
        <v>0.11047348000000135</v>
      </c>
      <c r="H86" s="4">
        <f t="shared" si="37"/>
        <v>71.37400921323308</v>
      </c>
      <c r="I86" s="4">
        <f t="shared" si="38"/>
        <v>7.0618106490136414</v>
      </c>
      <c r="J86" s="4">
        <f t="shared" si="38"/>
        <v>8.9854603621888369</v>
      </c>
      <c r="K86" s="4">
        <f t="shared" si="38"/>
        <v>10.901541054477317</v>
      </c>
      <c r="L86" s="4">
        <f t="shared" si="38"/>
        <v>1.2355844636452942</v>
      </c>
      <c r="M86" s="4">
        <f t="shared" si="38"/>
        <v>8.3247905470585923</v>
      </c>
      <c r="N86" s="153"/>
    </row>
    <row r="87" spans="2:14" ht="14.1" customHeight="1">
      <c r="B87" s="352" t="str">
        <f>IF(Indice_index!$Z$1=1,"Aquisição de bens e serviços","Purchase of goods and services")</f>
        <v>Aquisição de bens e serviços</v>
      </c>
      <c r="C87" s="353"/>
      <c r="D87" s="4">
        <f t="shared" si="37"/>
        <v>0.11692224000000806</v>
      </c>
      <c r="E87" s="4">
        <f t="shared" si="37"/>
        <v>157.75344270999904</v>
      </c>
      <c r="F87" s="4">
        <f t="shared" si="37"/>
        <v>14.175927789654452</v>
      </c>
      <c r="G87" s="4">
        <f t="shared" si="37"/>
        <v>-4.9342231199999995</v>
      </c>
      <c r="H87" s="4">
        <f t="shared" si="37"/>
        <v>167.1113348796539</v>
      </c>
      <c r="I87" s="4">
        <f t="shared" si="38"/>
        <v>8.7799679580658457E-2</v>
      </c>
      <c r="J87" s="4">
        <f t="shared" si="38"/>
        <v>11.457370778215541</v>
      </c>
      <c r="K87" s="4">
        <f t="shared" si="38"/>
        <v>2.4398952938707983</v>
      </c>
      <c r="L87" s="4">
        <f t="shared" si="38"/>
        <v>-49.771166780070324</v>
      </c>
      <c r="M87" s="4">
        <f t="shared" si="38"/>
        <v>7.9540648450174638</v>
      </c>
      <c r="N87" s="153"/>
    </row>
    <row r="88" spans="2:14" ht="14.1" customHeight="1">
      <c r="B88" s="352" t="str">
        <f>IF(Indice_index!$Z$1=1,"Juros e outros encargos","Interests and other charges")</f>
        <v>Juros e outros encargos</v>
      </c>
      <c r="C88" s="353"/>
      <c r="D88" s="4">
        <f t="shared" si="37"/>
        <v>22.696757029999844</v>
      </c>
      <c r="E88" s="4">
        <f t="shared" si="37"/>
        <v>0.91412119999999497</v>
      </c>
      <c r="F88" s="4">
        <f t="shared" si="37"/>
        <v>-5.371626138041151</v>
      </c>
      <c r="G88" s="4">
        <f t="shared" si="37"/>
        <v>0.24627855999999904</v>
      </c>
      <c r="H88" s="4">
        <f t="shared" si="37"/>
        <v>-7.7815347380410458</v>
      </c>
      <c r="I88" s="4">
        <f t="shared" si="38"/>
        <v>2.0904107836791499</v>
      </c>
      <c r="J88" s="4">
        <f t="shared" si="38"/>
        <v>5.7742766816284821</v>
      </c>
      <c r="K88" s="4">
        <f t="shared" si="38"/>
        <v>-13.145477146362913</v>
      </c>
      <c r="L88" s="4">
        <f t="shared" si="38"/>
        <v>18.243739158132666</v>
      </c>
      <c r="M88" s="4">
        <f t="shared" si="38"/>
        <v>-0.72510556690674788</v>
      </c>
      <c r="N88" s="153"/>
    </row>
    <row r="89" spans="2:14" ht="14.1" customHeight="1">
      <c r="B89" s="352" t="str">
        <f>IF(Indice_index!$Z$1=1,"Transferências correntes","Current transfers")</f>
        <v>Transferências correntes</v>
      </c>
      <c r="C89" s="353"/>
      <c r="D89" s="4">
        <f t="shared" si="37"/>
        <v>885.01298919000055</v>
      </c>
      <c r="E89" s="4">
        <f t="shared" si="37"/>
        <v>218.50514861000056</v>
      </c>
      <c r="F89" s="4">
        <f t="shared" si="37"/>
        <v>-22.810440327707738</v>
      </c>
      <c r="G89" s="4">
        <f t="shared" si="37"/>
        <v>263.58448574999966</v>
      </c>
      <c r="H89" s="4">
        <f t="shared" si="37"/>
        <v>551.4530102722938</v>
      </c>
      <c r="I89" s="4">
        <f t="shared" si="38"/>
        <v>11.528482844070229</v>
      </c>
      <c r="J89" s="4">
        <f t="shared" si="38"/>
        <v>10.440862167472135</v>
      </c>
      <c r="K89" s="4">
        <f t="shared" si="38"/>
        <v>-12.209301470161938</v>
      </c>
      <c r="L89" s="4">
        <f t="shared" si="38"/>
        <v>4.6265258252018651</v>
      </c>
      <c r="M89" s="4">
        <f t="shared" si="38"/>
        <v>6.8747250014344656</v>
      </c>
      <c r="N89" s="153"/>
    </row>
    <row r="90" spans="2:14" ht="14.1" customHeight="1">
      <c r="B90" s="359" t="str">
        <f>IF(Indice_index!$Z$1=1,"Administrações Públicas","General Government subsectors")</f>
        <v>Administrações Públicas</v>
      </c>
      <c r="C90" s="360"/>
      <c r="D90" s="4">
        <f t="shared" si="37"/>
        <v>713.78018135999992</v>
      </c>
      <c r="E90" s="4">
        <f t="shared" si="37"/>
        <v>70.750999859999993</v>
      </c>
      <c r="F90" s="4">
        <f t="shared" si="37"/>
        <v>-0.2511012000000008</v>
      </c>
      <c r="G90" s="4">
        <f t="shared" si="37"/>
        <v>8.5590929300000198</v>
      </c>
      <c r="H90" s="4">
        <f t="shared" si="37"/>
        <v>0</v>
      </c>
      <c r="I90" s="4">
        <f t="shared" si="38"/>
        <v>10.039439405852981</v>
      </c>
      <c r="J90" s="4">
        <f t="shared" si="38"/>
        <v>78.829477973592859</v>
      </c>
      <c r="K90" s="4">
        <f t="shared" si="38"/>
        <v>-1.0134353619824674</v>
      </c>
      <c r="L90" s="4">
        <f t="shared" si="38"/>
        <v>2.0985024975932496</v>
      </c>
      <c r="M90" s="4" t="str">
        <f t="shared" si="38"/>
        <v>-</v>
      </c>
      <c r="N90" s="153"/>
    </row>
    <row r="91" spans="2:14" ht="14.1" customHeight="1">
      <c r="B91" s="359" t="str">
        <f>IF(Indice_index!$Z$1=1,"Outras","Others")</f>
        <v>Outras</v>
      </c>
      <c r="C91" s="360"/>
      <c r="D91" s="4">
        <f t="shared" si="37"/>
        <v>171.23280783000007</v>
      </c>
      <c r="E91" s="4">
        <f t="shared" si="37"/>
        <v>147.75414875000047</v>
      </c>
      <c r="F91" s="4">
        <f t="shared" si="37"/>
        <v>-22.559339127707744</v>
      </c>
      <c r="G91" s="4">
        <f t="shared" si="37"/>
        <v>255.02539281999998</v>
      </c>
      <c r="H91" s="4">
        <f t="shared" si="37"/>
        <v>551.4530102722938</v>
      </c>
      <c r="I91" s="4">
        <f t="shared" si="38"/>
        <v>30.20030930537067</v>
      </c>
      <c r="J91" s="4">
        <f t="shared" si="38"/>
        <v>7.3765083974446615</v>
      </c>
      <c r="K91" s="4">
        <f t="shared" si="38"/>
        <v>-13.921122297352573</v>
      </c>
      <c r="L91" s="4">
        <f t="shared" si="38"/>
        <v>4.8214630346017069</v>
      </c>
      <c r="M91" s="4">
        <f t="shared" si="38"/>
        <v>6.8747250014344656</v>
      </c>
      <c r="N91" s="153"/>
    </row>
    <row r="92" spans="2:14" ht="14.1" customHeight="1">
      <c r="B92" s="352" t="str">
        <f>IF(Indice_index!$Z$1=1,"Subsídios","Subsidies")</f>
        <v>Subsídios</v>
      </c>
      <c r="C92" s="353"/>
      <c r="D92" s="4">
        <f t="shared" si="37"/>
        <v>-3.3351454100000026</v>
      </c>
      <c r="E92" s="4">
        <f t="shared" si="37"/>
        <v>0.98242404999999167</v>
      </c>
      <c r="F92" s="4">
        <f t="shared" si="37"/>
        <v>-31.47715582433608</v>
      </c>
      <c r="G92" s="4">
        <f t="shared" si="37"/>
        <v>-50.630049659999983</v>
      </c>
      <c r="H92" s="4">
        <f t="shared" si="37"/>
        <v>-68.402468234336084</v>
      </c>
      <c r="I92" s="4">
        <f t="shared" si="38"/>
        <v>-5.9367670592924311</v>
      </c>
      <c r="J92" s="4">
        <f t="shared" si="38"/>
        <v>1.3255733436681727</v>
      </c>
      <c r="K92" s="4">
        <f t="shared" si="38"/>
        <v>-37.168219503178015</v>
      </c>
      <c r="L92" s="4">
        <f t="shared" si="38"/>
        <v>-35.404431071677998</v>
      </c>
      <c r="M92" s="4">
        <f t="shared" si="38"/>
        <v>-24.958419176637332</v>
      </c>
      <c r="N92" s="153"/>
    </row>
    <row r="93" spans="2:14" ht="14.1" customHeight="1">
      <c r="B93" s="352" t="str">
        <f>IF(Indice_index!$Z$1=1,"Outras despesas correntes","Other current expenditures")</f>
        <v>Outras despesas correntes</v>
      </c>
      <c r="C93" s="353"/>
      <c r="D93" s="4">
        <f t="shared" si="37"/>
        <v>4.6979998199999997</v>
      </c>
      <c r="E93" s="4">
        <f t="shared" si="37"/>
        <v>-2.3867880499999963</v>
      </c>
      <c r="F93" s="4">
        <f t="shared" si="37"/>
        <v>0.90188662241283879</v>
      </c>
      <c r="G93" s="4">
        <f t="shared" si="37"/>
        <v>0.17139261999999988</v>
      </c>
      <c r="H93" s="4">
        <f t="shared" si="37"/>
        <v>3.3844910124128518</v>
      </c>
      <c r="I93" s="4">
        <f t="shared" si="38"/>
        <v>65.212494881068807</v>
      </c>
      <c r="J93" s="4">
        <f t="shared" si="38"/>
        <v>-7.5607562661574796</v>
      </c>
      <c r="K93" s="4">
        <f t="shared" si="38"/>
        <v>3.349887996025243</v>
      </c>
      <c r="L93" s="4">
        <f t="shared" si="38"/>
        <v>47.528058776493523</v>
      </c>
      <c r="M93" s="4">
        <f t="shared" si="38"/>
        <v>5.1236882868287044</v>
      </c>
      <c r="N93" s="153"/>
    </row>
    <row r="94" spans="2:14" ht="14.1" customHeight="1">
      <c r="B94" s="352" t="str">
        <f>IF(Indice_index!$Z$1=1,"Diferenças de consolidação","Consolidation differences")</f>
        <v>Diferenças de consolidação</v>
      </c>
      <c r="C94" s="353"/>
      <c r="D94" s="4">
        <f t="shared" si="37"/>
        <v>0.93857554000000631</v>
      </c>
      <c r="E94" s="4">
        <f t="shared" si="37"/>
        <v>21.199049699999989</v>
      </c>
      <c r="F94" s="4">
        <f t="shared" si="37"/>
        <v>7.2576999999999885E-4</v>
      </c>
      <c r="G94" s="4">
        <f t="shared" si="37"/>
        <v>0</v>
      </c>
      <c r="H94" s="4">
        <f t="shared" si="37"/>
        <v>22.138351009999994</v>
      </c>
      <c r="I94" s="4" t="s">
        <v>3</v>
      </c>
      <c r="J94" s="4" t="s">
        <v>3</v>
      </c>
      <c r="K94" s="4" t="s">
        <v>3</v>
      </c>
      <c r="L94" s="4" t="s">
        <v>3</v>
      </c>
      <c r="M94" s="4" t="s">
        <v>3</v>
      </c>
      <c r="N94" s="153"/>
    </row>
    <row r="95" spans="2:14" ht="14.1" customHeight="1">
      <c r="B95" s="357" t="str">
        <f>IF(Indice_index!$Z$1=1,"Despesa de capital","Capital expenditure")</f>
        <v>Despesa de capital</v>
      </c>
      <c r="C95" s="358"/>
      <c r="D95" s="128">
        <f t="shared" si="37"/>
        <v>20.824506059999919</v>
      </c>
      <c r="E95" s="128">
        <f t="shared" si="37"/>
        <v>196.07339427000011</v>
      </c>
      <c r="F95" s="128">
        <f t="shared" si="37"/>
        <v>61.965583662417714</v>
      </c>
      <c r="G95" s="128">
        <f t="shared" si="37"/>
        <v>-2.9889043600000003</v>
      </c>
      <c r="H95" s="128">
        <f t="shared" si="37"/>
        <v>163.58511550241747</v>
      </c>
      <c r="I95" s="128">
        <f t="shared" ref="I95:M100" si="39">IF(IFERROR((I44-D44)/D44*100,"")&gt;500,"-",IFERROR((I44-D44)/D44*100,""))</f>
        <v>5.9173126109424965</v>
      </c>
      <c r="J95" s="128">
        <f t="shared" si="39"/>
        <v>24.750468094607665</v>
      </c>
      <c r="K95" s="128">
        <f t="shared" si="39"/>
        <v>14.281104289037291</v>
      </c>
      <c r="L95" s="128">
        <f t="shared" si="39"/>
        <v>-45.55790407029</v>
      </c>
      <c r="M95" s="128">
        <f t="shared" si="39"/>
        <v>12.985689506392136</v>
      </c>
      <c r="N95" s="153"/>
    </row>
    <row r="96" spans="2:14" ht="14.1" customHeight="1">
      <c r="B96" s="352" t="str">
        <f>IF(Indice_index!$Z$1=1,"Investimentos","Investments")</f>
        <v>Investimentos</v>
      </c>
      <c r="C96" s="353"/>
      <c r="D96" s="4">
        <f t="shared" ref="D96:H107" si="40">I45-D45</f>
        <v>8.4382349999999917</v>
      </c>
      <c r="E96" s="4">
        <f t="shared" si="40"/>
        <v>8.2647486500000014</v>
      </c>
      <c r="F96" s="4">
        <f t="shared" si="40"/>
        <v>69.127944581891143</v>
      </c>
      <c r="G96" s="4">
        <f t="shared" si="40"/>
        <v>-0.10031601000000023</v>
      </c>
      <c r="H96" s="4">
        <f t="shared" si="40"/>
        <v>85.730612221891192</v>
      </c>
      <c r="I96" s="4">
        <f t="shared" si="39"/>
        <v>25.662364083623611</v>
      </c>
      <c r="J96" s="4">
        <f t="shared" si="39"/>
        <v>1.5229333068888649</v>
      </c>
      <c r="K96" s="4">
        <f t="shared" si="39"/>
        <v>20.367784682614225</v>
      </c>
      <c r="L96" s="4">
        <f t="shared" si="39"/>
        <v>-6.1015664375585068</v>
      </c>
      <c r="M96" s="4">
        <f t="shared" si="39"/>
        <v>9.3530036668816336</v>
      </c>
      <c r="N96" s="153"/>
    </row>
    <row r="97" spans="2:14" ht="14.1" customHeight="1">
      <c r="B97" s="352" t="str">
        <f>IF(Indice_index!$Z$1=1,"Transferências de capital","Capital transfers")</f>
        <v>Transferências de capital</v>
      </c>
      <c r="C97" s="353"/>
      <c r="D97" s="4">
        <f t="shared" si="40"/>
        <v>12.469182959999898</v>
      </c>
      <c r="E97" s="4">
        <f t="shared" si="40"/>
        <v>195.72997822999994</v>
      </c>
      <c r="F97" s="4">
        <f t="shared" si="40"/>
        <v>-6.6875192414721027</v>
      </c>
      <c r="G97" s="4">
        <f t="shared" si="40"/>
        <v>-2.88858835</v>
      </c>
      <c r="H97" s="4">
        <f t="shared" si="40"/>
        <v>86.333589468527805</v>
      </c>
      <c r="I97" s="4">
        <f t="shared" si="39"/>
        <v>3.9096629683409705</v>
      </c>
      <c r="J97" s="4">
        <f t="shared" si="39"/>
        <v>95.311223119265776</v>
      </c>
      <c r="K97" s="4">
        <f t="shared" si="39"/>
        <v>-7.2651636498925143</v>
      </c>
      <c r="L97" s="4">
        <f t="shared" si="39"/>
        <v>-58.752119076930477</v>
      </c>
      <c r="M97" s="4">
        <f t="shared" si="39"/>
        <v>29.126892045892795</v>
      </c>
      <c r="N97" s="153"/>
    </row>
    <row r="98" spans="2:14" ht="14.1" customHeight="1">
      <c r="B98" s="359" t="str">
        <f>IF(Indice_index!$Z$1=1,"Administrações Públicas","General Government subsectors")</f>
        <v>Administrações Públicas</v>
      </c>
      <c r="C98" s="360"/>
      <c r="D98" s="4">
        <f t="shared" si="40"/>
        <v>14.557111219999911</v>
      </c>
      <c r="E98" s="4">
        <f t="shared" si="40"/>
        <v>97.264987050000002</v>
      </c>
      <c r="F98" s="4">
        <f t="shared" si="40"/>
        <v>0.46736586000000013</v>
      </c>
      <c r="G98" s="4">
        <f t="shared" si="40"/>
        <v>0</v>
      </c>
      <c r="H98" s="4">
        <f t="shared" si="40"/>
        <v>0</v>
      </c>
      <c r="I98" s="4">
        <f t="shared" si="39"/>
        <v>4.6240536864239399</v>
      </c>
      <c r="J98" s="4" t="str">
        <f t="shared" si="39"/>
        <v>-</v>
      </c>
      <c r="K98" s="4">
        <f t="shared" si="39"/>
        <v>52.598539657041485</v>
      </c>
      <c r="L98" s="4" t="str">
        <f t="shared" si="39"/>
        <v>-</v>
      </c>
      <c r="M98" s="4" t="str">
        <f t="shared" si="39"/>
        <v>-</v>
      </c>
      <c r="N98" s="153"/>
    </row>
    <row r="99" spans="2:14" ht="14.1" customHeight="1">
      <c r="B99" s="359" t="str">
        <f>IF(Indice_index!$Z$1=1,"Outras","Others")</f>
        <v>Outras</v>
      </c>
      <c r="C99" s="360"/>
      <c r="D99" s="4">
        <f t="shared" si="40"/>
        <v>-2.08792826</v>
      </c>
      <c r="E99" s="4">
        <f t="shared" si="40"/>
        <v>98.464991179999942</v>
      </c>
      <c r="F99" s="4">
        <f t="shared" si="40"/>
        <v>-7.1548851014721038</v>
      </c>
      <c r="G99" s="4">
        <f t="shared" si="40"/>
        <v>-2.88858835</v>
      </c>
      <c r="H99" s="4">
        <f t="shared" si="40"/>
        <v>86.333589468527805</v>
      </c>
      <c r="I99" s="4">
        <f t="shared" si="39"/>
        <v>-50.682026437532024</v>
      </c>
      <c r="J99" s="4">
        <f t="shared" si="39"/>
        <v>50.183910348173889</v>
      </c>
      <c r="K99" s="4">
        <f t="shared" si="39"/>
        <v>-7.8486623028365425</v>
      </c>
      <c r="L99" s="4">
        <f t="shared" si="39"/>
        <v>-58.752119076930477</v>
      </c>
      <c r="M99" s="4">
        <f t="shared" si="39"/>
        <v>29.126892045892795</v>
      </c>
      <c r="N99" s="153"/>
    </row>
    <row r="100" spans="2:14" ht="14.1" customHeight="1">
      <c r="B100" s="352" t="str">
        <f>IF(Indice_index!$Z$1=1,"Outras despesas de capital","Other capital expenditures")</f>
        <v>Outras despesas de capital</v>
      </c>
      <c r="C100" s="353"/>
      <c r="D100" s="4">
        <f t="shared" si="40"/>
        <v>-8.2911900000000011E-2</v>
      </c>
      <c r="E100" s="4">
        <f t="shared" si="40"/>
        <v>-2.0907599099999992</v>
      </c>
      <c r="F100" s="4">
        <f t="shared" si="40"/>
        <v>-0.47484167800123767</v>
      </c>
      <c r="G100" s="4">
        <f t="shared" si="40"/>
        <v>0</v>
      </c>
      <c r="H100" s="4">
        <f t="shared" si="40"/>
        <v>-2.6485134880012371</v>
      </c>
      <c r="I100" s="4">
        <f t="shared" si="39"/>
        <v>-74.774052888962046</v>
      </c>
      <c r="J100" s="4">
        <f t="shared" si="39"/>
        <v>-15.333130120238748</v>
      </c>
      <c r="K100" s="4">
        <f t="shared" si="39"/>
        <v>-19.369127112316615</v>
      </c>
      <c r="L100" s="4" t="str">
        <f t="shared" si="39"/>
        <v>-</v>
      </c>
      <c r="M100" s="4">
        <f t="shared" si="39"/>
        <v>-16.350873837928678</v>
      </c>
      <c r="N100" s="153"/>
    </row>
    <row r="101" spans="2:14" ht="14.1" customHeight="1">
      <c r="B101" s="352" t="str">
        <f>IF(Indice_index!$Z$1=1,"Diferenças de consolidação","Consolidation differences")</f>
        <v>Diferenças de consolidação</v>
      </c>
      <c r="C101" s="353"/>
      <c r="D101" s="4">
        <f t="shared" si="40"/>
        <v>0</v>
      </c>
      <c r="E101" s="4">
        <f t="shared" si="40"/>
        <v>-5.8305727000000189</v>
      </c>
      <c r="F101" s="4">
        <f t="shared" si="40"/>
        <v>0</v>
      </c>
      <c r="G101" s="4">
        <f t="shared" si="40"/>
        <v>0</v>
      </c>
      <c r="H101" s="4">
        <f t="shared" si="40"/>
        <v>-5.8305727000000189</v>
      </c>
      <c r="I101" s="4" t="s">
        <v>3</v>
      </c>
      <c r="J101" s="4" t="s">
        <v>3</v>
      </c>
      <c r="K101" s="4" t="s">
        <v>3</v>
      </c>
      <c r="L101" s="4" t="s">
        <v>3</v>
      </c>
      <c r="M101" s="4" t="s">
        <v>3</v>
      </c>
      <c r="N101" s="153"/>
    </row>
    <row r="102" spans="2:14" ht="14.1" customHeight="1">
      <c r="B102" s="363" t="str">
        <f>IF(Indice_index!$Z$1=1,"Despesa efetiva","Effective expenditure")</f>
        <v>Despesa efetiva</v>
      </c>
      <c r="C102" s="364"/>
      <c r="D102" s="24">
        <f t="shared" si="40"/>
        <v>1039.4732504399999</v>
      </c>
      <c r="E102" s="24">
        <f t="shared" si="40"/>
        <v>661.63512152000021</v>
      </c>
      <c r="F102" s="24">
        <f t="shared" si="40"/>
        <v>90.943464249176486</v>
      </c>
      <c r="G102" s="24">
        <f t="shared" si="40"/>
        <v>206.71029815999918</v>
      </c>
      <c r="H102" s="24">
        <f t="shared" si="40"/>
        <v>1083.4231557691783</v>
      </c>
      <c r="I102" s="24">
        <f>IF(IFERROR((I51-D51)/D51*100,"")&gt;500,"-",IFERROR((I51-D51)/D51*100,""))</f>
        <v>9.4173522861053893</v>
      </c>
      <c r="J102" s="24">
        <f>IF(IFERROR((J51-E51)/E51*100,"")&gt;500,"-",IFERROR((J51-E51)/E51*100,""))</f>
        <v>10.978576078201113</v>
      </c>
      <c r="K102" s="24">
        <f>IF(IFERROR((K51-F51)/F51*100,"")&gt;500,"-",IFERROR((K51-F51)/F51*100,""))</f>
        <v>4.0477400803918675</v>
      </c>
      <c r="L102" s="24">
        <f>IF(IFERROR((L51-G51)/G51*100,"")&gt;500,"-",IFERROR((L51-G51)/G51*100,""))</f>
        <v>3.498758298517668</v>
      </c>
      <c r="M102" s="25">
        <f>IF(IFERROR((M51-H51)/H51*100,"")&gt;500,"-",IFERROR((M51-H51)/H51*100,""))</f>
        <v>6.3329363416592912</v>
      </c>
      <c r="N102" s="23"/>
    </row>
    <row r="103" spans="2:14" ht="14.1" customHeight="1">
      <c r="B103" s="363" t="str">
        <f>IF(Indice_index!$Z$1=1,"Saldo global","Overall balance")</f>
        <v>Saldo global</v>
      </c>
      <c r="C103" s="364"/>
      <c r="D103" s="24">
        <f t="shared" si="40"/>
        <v>-710.8495954300015</v>
      </c>
      <c r="E103" s="24">
        <f t="shared" si="40"/>
        <v>103.80329402000189</v>
      </c>
      <c r="F103" s="24">
        <f t="shared" si="40"/>
        <v>221.3404864977897</v>
      </c>
      <c r="G103" s="24">
        <f t="shared" si="40"/>
        <v>258.74326221000229</v>
      </c>
      <c r="H103" s="24">
        <f t="shared" si="40"/>
        <v>-126.96255270221081</v>
      </c>
      <c r="I103" s="24"/>
      <c r="J103" s="24"/>
      <c r="K103" s="24"/>
      <c r="L103" s="24"/>
      <c r="M103" s="25"/>
      <c r="N103" s="23"/>
    </row>
    <row r="104" spans="2:14" ht="14.1" customHeight="1">
      <c r="B104" s="352" t="str">
        <f>IF(Indice_index!$Z$1=1,"Despesa primária","Primary expenditure")</f>
        <v>Despesa primária</v>
      </c>
      <c r="C104" s="353"/>
      <c r="D104" s="4">
        <f t="shared" si="40"/>
        <v>1016.7764934099996</v>
      </c>
      <c r="E104" s="4">
        <f t="shared" si="40"/>
        <v>660.7210003199998</v>
      </c>
      <c r="F104" s="4">
        <f t="shared" si="40"/>
        <v>96.315090387217879</v>
      </c>
      <c r="G104" s="4">
        <f t="shared" si="40"/>
        <v>206.46401959999912</v>
      </c>
      <c r="H104" s="4">
        <f t="shared" si="40"/>
        <v>1091.2046905072202</v>
      </c>
      <c r="I104" s="4">
        <f>IF(IFERROR((I53-D53)/D53*100,"")&gt;500,"-",IFERROR((I53-D53)/D53*100,""))</f>
        <v>10.21670859056484</v>
      </c>
      <c r="J104" s="4">
        <f>IF(IFERROR((J53-E53)/E53*100,"")&gt;500,"-",IFERROR((J53-E53)/E53*100,""))</f>
        <v>10.992282946896296</v>
      </c>
      <c r="K104" s="4">
        <f>IF(IFERROR((K53-F53)/F53*100,"")&gt;500,"-",IFERROR((K53-F53)/F53*100,""))</f>
        <v>4.3662324963975072</v>
      </c>
      <c r="L104" s="4">
        <f>IF(IFERROR((L53-G53)/G53*100,"")&gt;500,"-",IFERROR((L53-G53)/G53*100,""))</f>
        <v>3.4953884681837994</v>
      </c>
      <c r="M104" s="4">
        <f>IF(IFERROR((M53-H53)/H53*100,"")&gt;500,"-",IFERROR((M53-H53)/H53*100,""))</f>
        <v>6.8053149927642389</v>
      </c>
      <c r="N104" s="153"/>
    </row>
    <row r="105" spans="2:14" ht="14.1" customHeight="1">
      <c r="B105" s="352" t="str">
        <f>IF(Indice_index!$Z$1=1,"Saldo corrente","Current balance")</f>
        <v>Saldo corrente</v>
      </c>
      <c r="C105" s="353"/>
      <c r="D105" s="4">
        <f t="shared" si="40"/>
        <v>-708.90777586000149</v>
      </c>
      <c r="E105" s="4">
        <f t="shared" si="40"/>
        <v>182.48999904000175</v>
      </c>
      <c r="F105" s="4">
        <f t="shared" si="40"/>
        <v>207.57172159796346</v>
      </c>
      <c r="G105" s="4">
        <f t="shared" si="40"/>
        <v>255.73210542000106</v>
      </c>
      <c r="H105" s="4">
        <f t="shared" si="40"/>
        <v>-63.113949802032948</v>
      </c>
      <c r="I105" s="4"/>
      <c r="J105" s="4"/>
      <c r="K105" s="4"/>
      <c r="L105" s="4"/>
      <c r="M105" s="4"/>
      <c r="N105" s="153"/>
    </row>
    <row r="106" spans="2:14" ht="14.1" customHeight="1">
      <c r="B106" s="352" t="str">
        <f>IF(Indice_index!$Z$1=1,"Saldo de capital","Capital balance")</f>
        <v>Saldo de capital</v>
      </c>
      <c r="C106" s="353"/>
      <c r="D106" s="4">
        <f t="shared" si="40"/>
        <v>-1.9418195699998932</v>
      </c>
      <c r="E106" s="4">
        <f t="shared" si="40"/>
        <v>-78.686705020000147</v>
      </c>
      <c r="F106" s="4">
        <f t="shared" si="40"/>
        <v>13.768764899826351</v>
      </c>
      <c r="G106" s="4">
        <f t="shared" si="40"/>
        <v>3.0111567899999998</v>
      </c>
      <c r="H106" s="4">
        <f t="shared" si="40"/>
        <v>-63.848602900173546</v>
      </c>
      <c r="I106" s="4"/>
      <c r="J106" s="4"/>
      <c r="K106" s="4"/>
      <c r="L106" s="4"/>
      <c r="M106" s="4"/>
      <c r="N106" s="153"/>
    </row>
    <row r="107" spans="2:14" ht="14.1" customHeight="1">
      <c r="B107" s="365" t="str">
        <f>IF(Indice_index!$Z$1=1,"Saldo primário","Primary balance")</f>
        <v>Saldo primário</v>
      </c>
      <c r="C107" s="366"/>
      <c r="D107" s="19">
        <f t="shared" si="40"/>
        <v>-688.1528384000012</v>
      </c>
      <c r="E107" s="19">
        <f t="shared" si="40"/>
        <v>104.71741522000229</v>
      </c>
      <c r="F107" s="19">
        <f t="shared" si="40"/>
        <v>215.96886035974831</v>
      </c>
      <c r="G107" s="19">
        <f t="shared" si="40"/>
        <v>258.98954077000235</v>
      </c>
      <c r="H107" s="19">
        <f t="shared" si="40"/>
        <v>-134.74408744025277</v>
      </c>
      <c r="I107" s="19"/>
      <c r="J107" s="19"/>
      <c r="K107" s="19"/>
      <c r="L107" s="19"/>
      <c r="M107" s="19"/>
      <c r="N107" s="153"/>
    </row>
    <row r="108" spans="2:14" ht="15">
      <c r="B108" s="9" t="str">
        <f>IF(Indice_index!$Z$1=1,"Fonte: Entidade Orçamental.","Source: Budgetary Entity.")</f>
        <v>Fonte: Entidade Orçamental.</v>
      </c>
      <c r="C108" s="9"/>
      <c r="D108" s="9"/>
      <c r="E108" s="9"/>
      <c r="F108" s="9"/>
      <c r="G108" s="9"/>
      <c r="H108" s="9"/>
      <c r="I108" s="9"/>
      <c r="J108" s="9"/>
      <c r="K108" s="9"/>
      <c r="L108" s="9"/>
      <c r="M108" s="9"/>
      <c r="N108" s="153"/>
    </row>
    <row r="109" spans="2:14" ht="14.85" customHeight="1"/>
  </sheetData>
  <mergeCells count="56">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58:N58"/>
    <mergeCell ref="B61:C61"/>
    <mergeCell ref="B62:C63"/>
    <mergeCell ref="B9:C9"/>
    <mergeCell ref="B10:B12"/>
    <mergeCell ref="D10:M10"/>
    <mergeCell ref="C11:H11"/>
    <mergeCell ref="I11:N11"/>
    <mergeCell ref="B59:N59"/>
    <mergeCell ref="B60:N60"/>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1:M52"/>
  <sheetViews>
    <sheetView showGridLines="0" zoomScaleNormal="100" workbookViewId="0"/>
  </sheetViews>
  <sheetFormatPr defaultColWidth="0" defaultRowHeight="15" zeroHeight="1"/>
  <cols>
    <col min="1" max="1" width="9.5703125" style="20" customWidth="1"/>
    <col min="2" max="2" width="35.5703125" style="131" customWidth="1"/>
    <col min="3" max="7" width="9.5703125" style="131" customWidth="1"/>
    <col min="8" max="8" width="2.5703125" style="131" customWidth="1"/>
    <col min="9" max="12" width="9.5703125" style="131" customWidth="1"/>
    <col min="13" max="13" width="9.42578125" style="131" customWidth="1"/>
    <col min="14" max="16384" width="9.42578125" hidden="1"/>
  </cols>
  <sheetData>
    <row r="1" spans="2:12"/>
    <row r="2" spans="2:12">
      <c r="B2" s="12"/>
      <c r="C2" s="13"/>
      <c r="D2" s="11"/>
      <c r="E2" s="11"/>
      <c r="F2" s="11"/>
      <c r="G2" s="11"/>
      <c r="H2" s="11"/>
      <c r="I2" s="11"/>
      <c r="J2" s="11"/>
      <c r="K2" s="11"/>
      <c r="L2" s="10"/>
    </row>
    <row r="3" spans="2:12">
      <c r="B3" s="12"/>
      <c r="C3" s="13"/>
      <c r="D3" s="11"/>
      <c r="E3" s="11"/>
      <c r="F3" s="11"/>
      <c r="G3" s="11"/>
      <c r="H3" s="11"/>
      <c r="I3" s="11"/>
      <c r="J3" s="11"/>
      <c r="K3" s="11"/>
      <c r="L3" s="10"/>
    </row>
    <row r="4" spans="2:12">
      <c r="B4" s="12"/>
      <c r="C4" s="13"/>
      <c r="D4" s="11"/>
      <c r="E4" s="11"/>
      <c r="F4" s="11"/>
      <c r="G4" s="11"/>
      <c r="H4" s="11"/>
      <c r="I4" s="11"/>
      <c r="J4" s="11"/>
      <c r="K4" s="11"/>
      <c r="L4" s="10"/>
    </row>
    <row r="5" spans="2:12">
      <c r="B5" s="12"/>
      <c r="C5" s="13"/>
      <c r="D5" s="11"/>
      <c r="E5" s="11"/>
      <c r="F5" s="11"/>
      <c r="G5" s="11"/>
      <c r="H5" s="11"/>
      <c r="I5" s="11"/>
      <c r="J5" s="11"/>
      <c r="K5" s="11"/>
      <c r="L5" s="10"/>
    </row>
    <row r="6" spans="2:12">
      <c r="B6" s="12"/>
      <c r="C6" s="13"/>
      <c r="D6" s="11"/>
      <c r="E6" s="11"/>
      <c r="F6" s="11"/>
      <c r="G6" s="11"/>
      <c r="H6" s="11"/>
      <c r="I6" s="11"/>
      <c r="J6" s="11"/>
      <c r="K6" s="11"/>
      <c r="L6" s="10"/>
    </row>
    <row r="7" spans="2:12" ht="50.1" customHeight="1">
      <c r="B7" s="12"/>
      <c r="C7" s="13"/>
      <c r="D7" s="11"/>
      <c r="E7" s="11"/>
      <c r="F7" s="11"/>
      <c r="G7" s="11"/>
      <c r="H7" s="11"/>
      <c r="I7" s="11"/>
      <c r="J7" s="11"/>
      <c r="K7" s="11"/>
      <c r="L7" s="10"/>
    </row>
    <row r="8" spans="2:12" ht="15.75">
      <c r="B8" s="1" t="str">
        <f>+'2 - Conta Consol AP'!B8&amp;" - Versão Texto"</f>
        <v>Quadro 2 - Conta Consolidada das Administrações Públicas - Versão Texto</v>
      </c>
      <c r="C8" s="2"/>
      <c r="D8" s="2"/>
      <c r="E8" s="2"/>
      <c r="F8" s="2"/>
      <c r="G8" s="2"/>
      <c r="H8" s="2"/>
      <c r="I8" s="2"/>
      <c r="J8" s="2"/>
      <c r="K8" s="2"/>
      <c r="L8" s="2"/>
    </row>
    <row r="9" spans="2:12" ht="15.75">
      <c r="B9" s="2"/>
      <c r="C9" s="2"/>
      <c r="D9" s="2"/>
      <c r="E9" s="2"/>
      <c r="F9" s="2"/>
      <c r="G9" s="2"/>
      <c r="H9" s="2"/>
      <c r="I9" s="367" t="s">
        <v>312</v>
      </c>
      <c r="J9" s="367"/>
      <c r="K9" s="367"/>
      <c r="L9" s="367"/>
    </row>
    <row r="10" spans="2:12">
      <c r="B10" s="3" t="str">
        <f>+'2 - Conta Consol AP'!B9:C9</f>
        <v>Período: janeiro a fevereiro</v>
      </c>
      <c r="C10" s="3"/>
      <c r="D10" s="3"/>
      <c r="E10" s="3"/>
      <c r="F10" s="3"/>
      <c r="G10" s="3"/>
      <c r="H10" s="3"/>
      <c r="I10" s="3"/>
      <c r="J10" s="3"/>
      <c r="K10" s="3"/>
      <c r="L10" s="3" t="s">
        <v>313</v>
      </c>
    </row>
    <row r="11" spans="2:12" ht="30.75" customHeight="1">
      <c r="B11" s="368"/>
      <c r="C11" s="369" t="str">
        <f>IF(Indice_index!$Z$1=1,"Execução Acumulada","Accumulated Execution")</f>
        <v>Execução Acumulada</v>
      </c>
      <c r="D11" s="370"/>
      <c r="E11" s="371" t="str">
        <f>IF(Indice_index!$Z$1=1,"Variação Homóloga Acumulada","YOY Change Rate")</f>
        <v>Variação Homóloga Acumulada</v>
      </c>
      <c r="F11" s="372"/>
      <c r="G11" s="373" t="s">
        <v>414</v>
      </c>
      <c r="H11" s="132"/>
      <c r="I11" s="369" t="str">
        <f>IF(Indice_index!$Z$1=1,"Execução Acumulada","Accumulated Execution")</f>
        <v>Execução Acumulada</v>
      </c>
      <c r="J11" s="370"/>
      <c r="K11" s="371" t="str">
        <f>IF(Indice_index!$Z$1=1,"Variação Homóloga Acumulada","YOY Change Rate")</f>
        <v>Variação Homóloga Acumulada</v>
      </c>
      <c r="L11" s="372"/>
    </row>
    <row r="12" spans="2:12" ht="24">
      <c r="B12" s="368"/>
      <c r="C12" s="22">
        <v>2024</v>
      </c>
      <c r="D12" s="22">
        <v>2025</v>
      </c>
      <c r="E12" s="22" t="s">
        <v>415</v>
      </c>
      <c r="F12" s="22" t="str">
        <f>IF(Indice_index!$Z$1=1,"Relativa (%)","Relative change (%)")</f>
        <v>Relativa (%)</v>
      </c>
      <c r="G12" s="373"/>
      <c r="I12" s="22">
        <v>2024</v>
      </c>
      <c r="J12" s="22">
        <v>2025</v>
      </c>
      <c r="K12" s="22" t="s">
        <v>415</v>
      </c>
      <c r="L12" s="22" t="str">
        <f>IF(Indice_index!$Z$1=1,"Relativa (%)","Relative change (%)")</f>
        <v>Relativa (%)</v>
      </c>
    </row>
    <row r="13" spans="2:12">
      <c r="B13" s="167" t="str">
        <f>IF(Indice_index!$Z$1=1,"Receita corrente","Current revenue")</f>
        <v>Receita corrente</v>
      </c>
      <c r="C13" s="128">
        <f>+C14+C17+C18+C19+C20</f>
        <v>18747.976720645049</v>
      </c>
      <c r="D13" s="128">
        <f>+D14+D17+D18+D19+D20</f>
        <v>19604.700811109775</v>
      </c>
      <c r="E13" s="128">
        <f t="shared" ref="E13:E44" si="0">+D13-C13</f>
        <v>856.72409046472603</v>
      </c>
      <c r="F13" s="128">
        <f t="shared" ref="F13:F19" si="1">IF(IFERROR((D13-C13)/C13*100,"")&gt;500,"-",IFERROR((D13-C13)/C13*100,""))</f>
        <v>4.5696882561269216</v>
      </c>
      <c r="G13" s="128">
        <f t="shared" ref="G13:G19" si="2">IFERROR((D13-C13)/$C$26*100,"")</f>
        <v>4.4558032117312818</v>
      </c>
      <c r="H13" s="134"/>
      <c r="I13" s="128">
        <f>+I14+I17+I18+I19+I20</f>
        <v>17574.199314559999</v>
      </c>
      <c r="J13" s="128">
        <f>+J14+J17+J18+J19+J20</f>
        <v>18205.298211280002</v>
      </c>
      <c r="K13" s="128">
        <f t="shared" ref="K13:K44" si="3">+J13-I13</f>
        <v>631.09889672000281</v>
      </c>
      <c r="L13" s="128">
        <f t="shared" ref="L13:L19" si="4">IF(IFERROR((J13-I13)/I13*100,"")&gt;500,"-",IFERROR((J13-I13)/I13*100,""))</f>
        <v>3.5910534837120318</v>
      </c>
    </row>
    <row r="14" spans="2:12">
      <c r="B14" s="121" t="str">
        <f>IF(Indice_index!$Z$1=1,"Receita fiscal","Tax")</f>
        <v>Receita fiscal</v>
      </c>
      <c r="C14" s="4">
        <f>+C15+C16</f>
        <v>10670.371014486343</v>
      </c>
      <c r="D14" s="4">
        <f>+D15+D16</f>
        <v>10779.108985703406</v>
      </c>
      <c r="E14" s="4">
        <f t="shared" si="0"/>
        <v>108.7379712170623</v>
      </c>
      <c r="F14" s="4">
        <f t="shared" si="1"/>
        <v>1.0190645767559263</v>
      </c>
      <c r="G14" s="4">
        <f t="shared" si="2"/>
        <v>0.5655438043341432</v>
      </c>
      <c r="H14" s="134"/>
      <c r="I14" s="4">
        <f>+I15+I16</f>
        <v>9870.2040172300003</v>
      </c>
      <c r="J14" s="4">
        <f>+J15+J16</f>
        <v>9829.4236527600006</v>
      </c>
      <c r="K14" s="4">
        <f t="shared" si="3"/>
        <v>-40.780364469999768</v>
      </c>
      <c r="L14" s="4">
        <f t="shared" si="4"/>
        <v>-0.41316637831205111</v>
      </c>
    </row>
    <row r="15" spans="2:12">
      <c r="B15" s="165" t="str">
        <f>IF(Indice_index!$Z$1=1,"Impostos diretos","Direct taxes")</f>
        <v>Impostos diretos</v>
      </c>
      <c r="C15" s="4">
        <f>+'2 - Conta Consol AP'!H15</f>
        <v>4096.8314446063423</v>
      </c>
      <c r="D15" s="4">
        <f>+'2 - Conta Consol AP'!M15</f>
        <v>4136.2908538748234</v>
      </c>
      <c r="E15" s="4">
        <f t="shared" si="0"/>
        <v>39.459409268481068</v>
      </c>
      <c r="F15" s="4">
        <f t="shared" si="1"/>
        <v>0.9631689709966248</v>
      </c>
      <c r="G15" s="4">
        <f t="shared" si="2"/>
        <v>0.20522752249927098</v>
      </c>
      <c r="H15" s="134"/>
      <c r="I15" s="4">
        <f>+'3 - Conta AC + SS'!E14</f>
        <v>3514.87287251</v>
      </c>
      <c r="J15" s="4">
        <f>+'3 - Conta AC + SS'!F14</f>
        <v>3413.6998501400003</v>
      </c>
      <c r="K15" s="4">
        <f t="shared" si="3"/>
        <v>-101.17302236999967</v>
      </c>
      <c r="L15" s="4">
        <f t="shared" si="4"/>
        <v>-2.8784262202277371</v>
      </c>
    </row>
    <row r="16" spans="2:12">
      <c r="B16" s="165" t="str">
        <f>IF(Indice_index!$Z$1=1,"Impostos indiretos","Indirect taxes")</f>
        <v>Impostos indiretos</v>
      </c>
      <c r="C16" s="4">
        <f>+'2 - Conta Consol AP'!H16</f>
        <v>6573.5395698800012</v>
      </c>
      <c r="D16" s="4">
        <f>+'2 - Conta Consol AP'!M16</f>
        <v>6642.8181318285815</v>
      </c>
      <c r="E16" s="4">
        <f t="shared" si="0"/>
        <v>69.278561948580318</v>
      </c>
      <c r="F16" s="4">
        <f t="shared" si="1"/>
        <v>1.0539004323639447</v>
      </c>
      <c r="G16" s="4">
        <f t="shared" si="2"/>
        <v>0.36031628183486747</v>
      </c>
      <c r="H16" s="134"/>
      <c r="I16" s="4">
        <f>+'3 - Conta AC + SS'!E15</f>
        <v>6355.3311447200012</v>
      </c>
      <c r="J16" s="4">
        <f>+'3 - Conta AC + SS'!F15</f>
        <v>6415.7238026200002</v>
      </c>
      <c r="K16" s="4">
        <f t="shared" si="3"/>
        <v>60.392657899998994</v>
      </c>
      <c r="L16" s="4">
        <f t="shared" si="4"/>
        <v>0.95026768117619043</v>
      </c>
    </row>
    <row r="17" spans="2:12">
      <c r="B17" s="121" t="str">
        <f>IF(Indice_index!$Z$1=1,"Contribuições de Segurança Social","Social security contributions")</f>
        <v>Contribuições de Segurança Social</v>
      </c>
      <c r="C17" s="4">
        <f>+'2 - Conta Consol AP'!H17</f>
        <v>5345.4309628399997</v>
      </c>
      <c r="D17" s="4">
        <f>+'2 - Conta Consol AP'!M17</f>
        <v>5766.22058122</v>
      </c>
      <c r="E17" s="4">
        <f t="shared" si="0"/>
        <v>420.78961838000032</v>
      </c>
      <c r="F17" s="4">
        <f t="shared" si="1"/>
        <v>7.8719493583439144</v>
      </c>
      <c r="G17" s="4">
        <f t="shared" si="2"/>
        <v>2.1885175798240066</v>
      </c>
      <c r="H17" s="134"/>
      <c r="I17" s="4">
        <f>+'3 - Conta AC + SS'!E16</f>
        <v>5345.4309628399997</v>
      </c>
      <c r="J17" s="4">
        <f>+'3 - Conta AC + SS'!F16</f>
        <v>5766.22058122</v>
      </c>
      <c r="K17" s="4">
        <f t="shared" si="3"/>
        <v>420.78961838000032</v>
      </c>
      <c r="L17" s="4">
        <f t="shared" si="4"/>
        <v>7.8719493583439144</v>
      </c>
    </row>
    <row r="18" spans="2:12">
      <c r="B18" s="121" t="str">
        <f>IF(Indice_index!$Z$1=1,"Transferências correntes","Current transfers")</f>
        <v>Transferências correntes</v>
      </c>
      <c r="C18" s="4">
        <f>+'2 - Conta Consol AP'!H18</f>
        <v>505.01888424502062</v>
      </c>
      <c r="D18" s="4">
        <f>+'2 - Conta Consol AP'!M18</f>
        <v>536.9119033983261</v>
      </c>
      <c r="E18" s="4">
        <f t="shared" si="0"/>
        <v>31.893019153305488</v>
      </c>
      <c r="F18" s="4">
        <f t="shared" si="1"/>
        <v>6.3152131827672235</v>
      </c>
      <c r="G18" s="4">
        <f t="shared" si="2"/>
        <v>0.16587489339539815</v>
      </c>
      <c r="H18" s="134"/>
      <c r="I18" s="4">
        <f>+'3 - Conta AC + SS'!E17</f>
        <v>498.66071263000009</v>
      </c>
      <c r="J18" s="4">
        <f>+'3 - Conta AC + SS'!F17</f>
        <v>524.07984811000006</v>
      </c>
      <c r="K18" s="4">
        <f t="shared" si="3"/>
        <v>25.419135479999966</v>
      </c>
      <c r="L18" s="4">
        <f t="shared" si="4"/>
        <v>5.0974810800586656</v>
      </c>
    </row>
    <row r="19" spans="2:12">
      <c r="B19" s="121" t="str">
        <f>IF(Indice_index!$Z$1=1,"Outras receitas correntes","Other current revenue")</f>
        <v>Outras receitas correntes</v>
      </c>
      <c r="C19" s="4">
        <f>+'2 - Conta Consol AP'!H21</f>
        <v>2086.7251194736882</v>
      </c>
      <c r="D19" s="4">
        <f>+'2 - Conta Consol AP'!M21</f>
        <v>2475.1616389780429</v>
      </c>
      <c r="E19" s="4">
        <f t="shared" si="0"/>
        <v>388.43651950435469</v>
      </c>
      <c r="F19" s="4">
        <f t="shared" si="1"/>
        <v>18.614647223028864</v>
      </c>
      <c r="G19" s="4">
        <f t="shared" si="2"/>
        <v>2.020249821879482</v>
      </c>
      <c r="H19" s="134"/>
      <c r="I19" s="4">
        <f>+'3 - Conta AC + SS'!E20</f>
        <v>1709.5669847500012</v>
      </c>
      <c r="J19" s="4">
        <f>+'3 - Conta AC + SS'!F20</f>
        <v>2048.0953206900012</v>
      </c>
      <c r="K19" s="4">
        <f t="shared" si="3"/>
        <v>338.52833594000003</v>
      </c>
      <c r="L19" s="4">
        <f t="shared" si="4"/>
        <v>19.80199307542809</v>
      </c>
    </row>
    <row r="20" spans="2:12">
      <c r="B20" s="121" t="str">
        <f>IF(Indice_index!$Z$1=1,"Diferenças de consolidação","Consolidation differences")</f>
        <v>Diferenças de consolidação</v>
      </c>
      <c r="C20" s="4">
        <f>+'2 - Conta Consol AP'!H22</f>
        <v>140.43073959999697</v>
      </c>
      <c r="D20" s="4">
        <f>+'2 - Conta Consol AP'!M22</f>
        <v>47.297701809999417</v>
      </c>
      <c r="E20" s="4">
        <f t="shared" si="0"/>
        <v>-93.133037789997559</v>
      </c>
      <c r="F20" s="4"/>
      <c r="G20" s="4"/>
      <c r="H20" s="134"/>
      <c r="I20" s="4">
        <f>+'3 - Conta AC + SS'!E21</f>
        <v>150.33663710999858</v>
      </c>
      <c r="J20" s="4">
        <f>+'3 - Conta AC + SS'!F21</f>
        <v>37.478808499999566</v>
      </c>
      <c r="K20" s="4">
        <f t="shared" si="3"/>
        <v>-112.85782860999902</v>
      </c>
      <c r="L20" s="4"/>
    </row>
    <row r="21" spans="2:12">
      <c r="B21" s="167" t="str">
        <f>IF(Indice_index!$Z$1=1,"Receita de capital","Capital revenue")</f>
        <v>Receita de capital</v>
      </c>
      <c r="C21" s="128">
        <f>+C22+C23+C24+C25</f>
        <v>479.17604519376857</v>
      </c>
      <c r="D21" s="128">
        <f>+D22+D23+D24+D25</f>
        <v>578.91255779601249</v>
      </c>
      <c r="E21" s="128">
        <f t="shared" si="0"/>
        <v>99.73651260224392</v>
      </c>
      <c r="F21" s="128">
        <f>IF(IFERROR((D21-C21)/C21*100,"")&gt;500,"-",IFERROR((D21-C21)/C21*100,""))</f>
        <v>20.814169156121444</v>
      </c>
      <c r="G21" s="128">
        <f>IFERROR((D21-C21)/$C$26*100,"")</f>
        <v>0.51872741542599754</v>
      </c>
      <c r="H21" s="134"/>
      <c r="I21" s="128">
        <f>+I22+I23+I24+I25</f>
        <v>337.7106879000001</v>
      </c>
      <c r="J21" s="128">
        <f>+J22+J23+J24+J25</f>
        <v>425.21272209000006</v>
      </c>
      <c r="K21" s="128">
        <f t="shared" si="3"/>
        <v>87.502034189999961</v>
      </c>
      <c r="L21" s="128">
        <f>IF(IFERROR((J21-I21)/I21*100,"")&gt;500,"-",IFERROR((J21-I21)/I21*100,""))</f>
        <v>25.910353839885069</v>
      </c>
    </row>
    <row r="22" spans="2:12">
      <c r="B22" s="121" t="str">
        <f>IF(Indice_index!$Z$1=1,"Venda de bens de investimento","Sale of investment goods")</f>
        <v>Venda de bens de investimento</v>
      </c>
      <c r="C22" s="4">
        <f>+'2 - Conta Consol AP'!H24</f>
        <v>36.093319642511354</v>
      </c>
      <c r="D22" s="4">
        <f>+'2 - Conta Consol AP'!M24</f>
        <v>8.9080867009713582</v>
      </c>
      <c r="E22" s="4">
        <f t="shared" si="0"/>
        <v>-27.185232941539994</v>
      </c>
      <c r="F22" s="4">
        <f>IF(IFERROR((D22-C22)/C22*100,"")&gt;500,"-",IFERROR((D22-C22)/C22*100,""))</f>
        <v>-75.319292353260693</v>
      </c>
      <c r="G22" s="4">
        <f>IFERROR((D22-C22)/$C$26*100,"")</f>
        <v>-0.14138980052127331</v>
      </c>
      <c r="H22" s="134"/>
      <c r="I22" s="4">
        <f>+'3 - Conta AC + SS'!E23</f>
        <v>14.09921026</v>
      </c>
      <c r="J22" s="4">
        <f>+'3 - Conta AC + SS'!F23</f>
        <v>3.8562695400000004</v>
      </c>
      <c r="K22" s="4">
        <f t="shared" si="3"/>
        <v>-10.24294072</v>
      </c>
      <c r="L22" s="4">
        <f>IF(IFERROR((J22-I22)/I22*100,"")&gt;500,"-",IFERROR((J22-I22)/I22*100,""))</f>
        <v>-72.649038712895958</v>
      </c>
    </row>
    <row r="23" spans="2:12">
      <c r="B23" s="121" t="str">
        <f>IF(Indice_index!$Z$1=1,"Transferências de capital","Capital transfers")</f>
        <v>Transferências de capital</v>
      </c>
      <c r="C23" s="4">
        <f>+'2 - Conta Consol AP'!H25</f>
        <v>422.90031703671139</v>
      </c>
      <c r="D23" s="4">
        <f>+'2 - Conta Consol AP'!M25</f>
        <v>501.93338610593787</v>
      </c>
      <c r="E23" s="4">
        <f t="shared" si="0"/>
        <v>79.033069069226485</v>
      </c>
      <c r="F23" s="4">
        <f>IF(IFERROR((D23-C23)/C23*100,"")&gt;500,"-",IFERROR((D23-C23)/C23*100,""))</f>
        <v>18.688344719865917</v>
      </c>
      <c r="G23" s="4">
        <f>IFERROR((D23-C23)/$C$26*100,"")</f>
        <v>0.41104925951202598</v>
      </c>
      <c r="H23" s="134"/>
      <c r="I23" s="4">
        <f>+'3 - Conta AC + SS'!E24</f>
        <v>310.0838544400001</v>
      </c>
      <c r="J23" s="4">
        <f>+'3 - Conta AC + SS'!F24</f>
        <v>358.06989871999997</v>
      </c>
      <c r="K23" s="4">
        <f t="shared" si="3"/>
        <v>47.986044279999874</v>
      </c>
      <c r="L23" s="4">
        <f>IF(IFERROR((J23-I23)/I23*100,"")&gt;500,"-",IFERROR((J23-I23)/I23*100,""))</f>
        <v>15.475183113503565</v>
      </c>
    </row>
    <row r="24" spans="2:12">
      <c r="B24" s="121" t="str">
        <f>IF(Indice_index!$Z$1=1,"Outras receitas de capital","Other capital revenue")</f>
        <v>Outras receitas de capital</v>
      </c>
      <c r="C24" s="4">
        <f>+'2 - Conta Consol AP'!H28</f>
        <v>3.4393089145457783</v>
      </c>
      <c r="D24" s="4">
        <f>+'2 - Conta Consol AP'!M28</f>
        <v>27.164665569103224</v>
      </c>
      <c r="E24" s="4">
        <f t="shared" si="0"/>
        <v>23.725356654557444</v>
      </c>
      <c r="F24" s="4" t="str">
        <f>IF(IFERROR((D24-C24)/C24*100,"")&gt;500,"-",IFERROR((D24-C24)/C24*100,""))</f>
        <v>-</v>
      </c>
      <c r="G24" s="4">
        <f>IFERROR((D24-C24)/$C$26*100,"")</f>
        <v>0.12339505980683034</v>
      </c>
      <c r="H24" s="134"/>
      <c r="I24" s="4">
        <f>+'3 - Conta AC + SS'!E27</f>
        <v>1.6299615500000004</v>
      </c>
      <c r="J24" s="4">
        <f>+'3 - Conta AC + SS'!F27</f>
        <v>23.907520899999994</v>
      </c>
      <c r="K24" s="4">
        <f t="shared" si="3"/>
        <v>22.277559349999994</v>
      </c>
      <c r="L24" s="4" t="str">
        <f>IF(IFERROR((J24-I24)/I24*100,"")&gt;500,"-",IFERROR((J24-I24)/I24*100,""))</f>
        <v>-</v>
      </c>
    </row>
    <row r="25" spans="2:12">
      <c r="B25" s="121" t="str">
        <f>IF(Indice_index!$Z$1=1,"Diferenças de consolidação","Consolidation differences")</f>
        <v>Diferenças de consolidação</v>
      </c>
      <c r="C25" s="4">
        <f>+'2 - Conta Consol AP'!H29</f>
        <v>16.743099600000022</v>
      </c>
      <c r="D25" s="4">
        <f>+'2 - Conta Consol AP'!M29</f>
        <v>40.906419420000049</v>
      </c>
      <c r="E25" s="4">
        <f t="shared" si="0"/>
        <v>24.163319820000027</v>
      </c>
      <c r="F25" s="4"/>
      <c r="G25" s="4"/>
      <c r="H25" s="134"/>
      <c r="I25" s="4">
        <f>+'3 - Conta AC + SS'!E28</f>
        <v>11.897661650000002</v>
      </c>
      <c r="J25" s="4">
        <f>+'3 - Conta AC + SS'!F28</f>
        <v>39.379032930000044</v>
      </c>
      <c r="K25" s="4">
        <f t="shared" si="3"/>
        <v>27.48137128000004</v>
      </c>
      <c r="L25" s="4"/>
    </row>
    <row r="26" spans="2:12">
      <c r="B26" s="17" t="str">
        <f>IF(Indice_index!$Z$1=1,"Receita efetiva","Effective revenue")</f>
        <v>Receita efetiva</v>
      </c>
      <c r="C26" s="18">
        <f>+C13+C21</f>
        <v>19227.152765838819</v>
      </c>
      <c r="D26" s="135">
        <f>+D13+D21</f>
        <v>20183.613368905786</v>
      </c>
      <c r="E26" s="135">
        <f t="shared" si="0"/>
        <v>956.46060306696745</v>
      </c>
      <c r="F26" s="135">
        <f>IF(IFERROR((D26-C26)/C26*100,"")&gt;500,"-",IFERROR((D26-C26)/C26*100,""))</f>
        <v>4.9745306271572662</v>
      </c>
      <c r="G26" s="135"/>
      <c r="H26" s="134"/>
      <c r="I26" s="18">
        <f>+I13+I21</f>
        <v>17911.910002459997</v>
      </c>
      <c r="J26" s="135">
        <f>+J13+J21</f>
        <v>18630.510933370002</v>
      </c>
      <c r="K26" s="135">
        <f t="shared" si="3"/>
        <v>718.60093091000454</v>
      </c>
      <c r="L26" s="135">
        <f t="shared" ref="L26:L36" si="5">IF(IFERROR((J26-I26)/I26*100,"")&gt;500,"-",IFERROR((J26-I26)/I26*100,""))</f>
        <v>4.011860995345069</v>
      </c>
    </row>
    <row r="27" spans="2:12">
      <c r="B27" s="167" t="str">
        <f>IF(Indice_index!$Z$1=1,"Despesa corrente","Current expenditure")</f>
        <v>Despesa corrente</v>
      </c>
      <c r="C27" s="128">
        <f>+C28+C32+C33+C34+C35+C36+C37</f>
        <v>15848.020004103355</v>
      </c>
      <c r="D27" s="128">
        <f>+D28+D32+D33+D34+D35+D36+D37</f>
        <v>16767.858044370114</v>
      </c>
      <c r="E27" s="128">
        <f t="shared" si="0"/>
        <v>919.83804026675898</v>
      </c>
      <c r="F27" s="128">
        <f t="shared" ref="F27:F36" si="6">IF(IFERROR((D27-C27)/C27*100,"")&gt;500,"-",IFERROR((D27-C27)/C27*100,""))</f>
        <v>5.804119631528704</v>
      </c>
      <c r="G27" s="128">
        <f t="shared" ref="G27:G36" si="7">IFERROR((D27-C27)/$C$43*100,"")</f>
        <v>5.3767318176897883</v>
      </c>
      <c r="H27" s="134"/>
      <c r="I27" s="128">
        <f>+I28+I32+I33+I34+I35+I36+I37</f>
        <v>15153.726851899997</v>
      </c>
      <c r="J27" s="128">
        <f>+J28+J32+J33+J34+J35+J36+J37</f>
        <v>16055.511420020001</v>
      </c>
      <c r="K27" s="128">
        <f t="shared" si="3"/>
        <v>901.78456812000331</v>
      </c>
      <c r="L27" s="128">
        <f t="shared" si="5"/>
        <v>5.9509094820917676</v>
      </c>
    </row>
    <row r="28" spans="2:12">
      <c r="B28" s="121" t="str">
        <f>IF(Indice_index!$Z$1=1,"Despesas com o pessoal","Compensation of employees")</f>
        <v>Despesas com o pessoal</v>
      </c>
      <c r="C28" s="4">
        <f>+C29+C30+C31</f>
        <v>4312.2917444902732</v>
      </c>
      <c r="D28" s="4">
        <f>+D29+D30+D31</f>
        <v>4564.22660055505</v>
      </c>
      <c r="E28" s="4">
        <f t="shared" si="0"/>
        <v>251.9348560647768</v>
      </c>
      <c r="F28" s="4">
        <f t="shared" si="6"/>
        <v>5.8422498057249674</v>
      </c>
      <c r="G28" s="4">
        <f t="shared" si="7"/>
        <v>1.4726355046109463</v>
      </c>
      <c r="H28" s="134"/>
      <c r="I28" s="4">
        <f>+I29+I30+I31</f>
        <v>3419.7322815199996</v>
      </c>
      <c r="J28" s="4">
        <f>+J29+J30+J31</f>
        <v>3598.10857489</v>
      </c>
      <c r="K28" s="4">
        <f t="shared" si="3"/>
        <v>178.37629337000044</v>
      </c>
      <c r="L28" s="4">
        <f t="shared" si="5"/>
        <v>5.2160894095112003</v>
      </c>
    </row>
    <row r="29" spans="2:12">
      <c r="B29" s="165" t="str">
        <f>IF(Indice_index!$Z$1=1,"Remunerações certas e permanentes","Certain and permanent wages")</f>
        <v>Remunerações certas e permanentes</v>
      </c>
      <c r="C29" s="4">
        <f>+'2 - Conta Consol AP'!H33</f>
        <v>3095.3740911862719</v>
      </c>
      <c r="D29" s="4">
        <f>+'2 - Conta Consol AP'!M33</f>
        <v>3277.5377259208117</v>
      </c>
      <c r="E29" s="4">
        <f t="shared" si="0"/>
        <v>182.16363473453976</v>
      </c>
      <c r="F29" s="4">
        <f t="shared" si="6"/>
        <v>5.8850280892778075</v>
      </c>
      <c r="G29" s="4">
        <f t="shared" si="7"/>
        <v>1.064801593353516</v>
      </c>
      <c r="H29" s="134"/>
      <c r="I29" s="4">
        <f>+'3 - Conta AC + SS'!E32</f>
        <v>2408.1191470699996</v>
      </c>
      <c r="J29" s="4">
        <f>+'3 - Conta AC + SS'!F32</f>
        <v>2541.1966093000001</v>
      </c>
      <c r="K29" s="4">
        <f t="shared" si="3"/>
        <v>133.07746223000049</v>
      </c>
      <c r="L29" s="4">
        <f t="shared" si="5"/>
        <v>5.5261992493983589</v>
      </c>
    </row>
    <row r="30" spans="2:12">
      <c r="B30" s="165" t="str">
        <f>IF(Indice_index!$Z$1=1,"Abonos variáveis ou eventuais","Variable or contingent bonuses")</f>
        <v>Abonos variáveis ou eventuais</v>
      </c>
      <c r="C30" s="4">
        <f>+'2 - Conta Consol AP'!H34</f>
        <v>359.55062635277341</v>
      </c>
      <c r="D30" s="4">
        <f>+'2 - Conta Consol AP'!M34</f>
        <v>357.94783846977776</v>
      </c>
      <c r="E30" s="4">
        <f t="shared" si="0"/>
        <v>-1.6027878829956421</v>
      </c>
      <c r="F30" s="4">
        <f t="shared" si="6"/>
        <v>-0.44577529992203807</v>
      </c>
      <c r="G30" s="4">
        <f t="shared" si="7"/>
        <v>-9.3687804050929663E-3</v>
      </c>
      <c r="H30" s="134"/>
      <c r="I30" s="4">
        <f>+'3 - Conta AC + SS'!E33</f>
        <v>305.87393269000017</v>
      </c>
      <c r="J30" s="4">
        <f>+'3 - Conta AC + SS'!F33</f>
        <v>296.32852423000003</v>
      </c>
      <c r="K30" s="4">
        <f t="shared" si="3"/>
        <v>-9.5454084600001465</v>
      </c>
      <c r="L30" s="4">
        <f t="shared" si="5"/>
        <v>-3.1207002100680192</v>
      </c>
    </row>
    <row r="31" spans="2:12">
      <c r="B31" s="165" t="str">
        <f>IF(Indice_index!$Z$1=1,"Segurança Social","Social security")</f>
        <v>Segurança Social</v>
      </c>
      <c r="C31" s="4">
        <f>+'2 - Conta Consol AP'!H35</f>
        <v>857.36702695122744</v>
      </c>
      <c r="D31" s="4">
        <f>+'2 - Conta Consol AP'!M35</f>
        <v>928.74103616446052</v>
      </c>
      <c r="E31" s="4">
        <f t="shared" si="0"/>
        <v>71.37400921323308</v>
      </c>
      <c r="F31" s="4">
        <f t="shared" si="6"/>
        <v>8.3247905470585923</v>
      </c>
      <c r="G31" s="4">
        <f t="shared" si="7"/>
        <v>0.41720269166252555</v>
      </c>
      <c r="H31" s="134"/>
      <c r="I31" s="4">
        <f>+'3 - Conta AC + SS'!E34</f>
        <v>705.73920175999979</v>
      </c>
      <c r="J31" s="4">
        <f>+'3 - Conta AC + SS'!F34</f>
        <v>760.58344136000005</v>
      </c>
      <c r="K31" s="4">
        <f t="shared" si="3"/>
        <v>54.844239600000265</v>
      </c>
      <c r="L31" s="4">
        <f t="shared" si="5"/>
        <v>7.7711765852353922</v>
      </c>
    </row>
    <row r="32" spans="2:12">
      <c r="B32" s="121" t="str">
        <f>IF(Indice_index!$Z$1=1,"Aquisição de bens e serviços","Purchase of goods and services")</f>
        <v>Aquisição de bens e serviços</v>
      </c>
      <c r="C32" s="4">
        <f>+'2 - Conta Consol AP'!H36</f>
        <v>2100.95514854062</v>
      </c>
      <c r="D32" s="4">
        <f>+'2 - Conta Consol AP'!M36</f>
        <v>2268.0664834202739</v>
      </c>
      <c r="E32" s="4">
        <f t="shared" si="0"/>
        <v>167.1113348796539</v>
      </c>
      <c r="F32" s="4">
        <f t="shared" si="6"/>
        <v>7.9540648450174638</v>
      </c>
      <c r="G32" s="4">
        <f t="shared" si="7"/>
        <v>0.97681634375924919</v>
      </c>
      <c r="H32" s="134"/>
      <c r="I32" s="4">
        <f>+'3 - Conta AC + SS'!E35</f>
        <v>1519.9495691100003</v>
      </c>
      <c r="J32" s="4">
        <f>+'3 - Conta AC + SS'!F35</f>
        <v>1672.8849761999998</v>
      </c>
      <c r="K32" s="4">
        <f t="shared" si="3"/>
        <v>152.93540708999944</v>
      </c>
      <c r="L32" s="4">
        <f t="shared" si="5"/>
        <v>10.061873775164139</v>
      </c>
    </row>
    <row r="33" spans="2:12">
      <c r="B33" s="121" t="str">
        <f>IF(Indice_index!$Z$1=1,"Juros e outros encargos","Interests and other charges")</f>
        <v>Juros e outros encargos</v>
      </c>
      <c r="C33" s="4">
        <f>+'2 - Conta Consol AP'!H37</f>
        <v>1073.1588741259504</v>
      </c>
      <c r="D33" s="4">
        <f>+'2 - Conta Consol AP'!M37</f>
        <v>1065.3773393879094</v>
      </c>
      <c r="E33" s="4">
        <f t="shared" si="0"/>
        <v>-7.7815347380410458</v>
      </c>
      <c r="F33" s="4">
        <f t="shared" si="6"/>
        <v>-0.72510556690674788</v>
      </c>
      <c r="G33" s="4">
        <f t="shared" si="7"/>
        <v>-4.5485426330433149E-2</v>
      </c>
      <c r="H33" s="134"/>
      <c r="I33" s="4">
        <f>+'3 - Conta AC + SS'!E36</f>
        <v>1044.5400703099999</v>
      </c>
      <c r="J33" s="4">
        <f>+'3 - Conta AC + SS'!F36</f>
        <v>1041.19231341</v>
      </c>
      <c r="K33" s="4">
        <f t="shared" si="3"/>
        <v>-3.3477568999999221</v>
      </c>
      <c r="L33" s="4">
        <f t="shared" si="5"/>
        <v>-0.32050057198919812</v>
      </c>
    </row>
    <row r="34" spans="2:12">
      <c r="B34" s="121" t="str">
        <f>IF(Indice_index!$Z$1=1,"Transferências correntes","Current transfers")</f>
        <v>Transferências correntes</v>
      </c>
      <c r="C34" s="4">
        <f>+'2 - Conta Consol AP'!H38</f>
        <v>8021.4555514181111</v>
      </c>
      <c r="D34" s="4">
        <f>+'2 - Conta Consol AP'!M38</f>
        <v>8572.9085616904049</v>
      </c>
      <c r="E34" s="4">
        <f t="shared" si="0"/>
        <v>551.4530102722938</v>
      </c>
      <c r="F34" s="4">
        <f t="shared" si="6"/>
        <v>6.8747250014344656</v>
      </c>
      <c r="G34" s="4">
        <f t="shared" si="7"/>
        <v>3.2234097922629754</v>
      </c>
      <c r="H34" s="134"/>
      <c r="I34" s="4">
        <f>+'3 - Conta AC + SS'!E37</f>
        <v>8878.6653106099984</v>
      </c>
      <c r="J34" s="4">
        <f>+'3 - Conta AC + SS'!F37</f>
        <v>9494.2065664900019</v>
      </c>
      <c r="K34" s="4">
        <f t="shared" si="3"/>
        <v>615.54125588000352</v>
      </c>
      <c r="L34" s="4">
        <f t="shared" si="5"/>
        <v>6.9328129211541762</v>
      </c>
    </row>
    <row r="35" spans="2:12">
      <c r="B35" s="121" t="str">
        <f>IF(Indice_index!$Z$1=1,"Subsídios","Subsidies")</f>
        <v>Subsídios</v>
      </c>
      <c r="C35" s="4">
        <f>+'2 - Conta Consol AP'!H41</f>
        <v>274.06570804919068</v>
      </c>
      <c r="D35" s="4">
        <f>+'2 - Conta Consol AP'!M41</f>
        <v>205.66323981485459</v>
      </c>
      <c r="E35" s="4">
        <f t="shared" si="0"/>
        <v>-68.402468234336084</v>
      </c>
      <c r="F35" s="4">
        <f t="shared" si="6"/>
        <v>-24.958419176637332</v>
      </c>
      <c r="G35" s="4">
        <f t="shared" si="7"/>
        <v>-0.39983313503474022</v>
      </c>
      <c r="H35" s="134"/>
      <c r="I35" s="4">
        <f>+'3 - Conta AC + SS'!E40</f>
        <v>242.16586427999999</v>
      </c>
      <c r="J35" s="4">
        <f>+'3 - Conta AC + SS'!F40</f>
        <v>185.33331506000005</v>
      </c>
      <c r="K35" s="4">
        <f t="shared" si="3"/>
        <v>-56.832549219999947</v>
      </c>
      <c r="L35" s="4">
        <f t="shared" si="5"/>
        <v>-23.468439447059442</v>
      </c>
    </row>
    <row r="36" spans="2:12">
      <c r="B36" s="121" t="str">
        <f>IF(Indice_index!$Z$1=1,"Outras despesas correntes","Other current expenditures")</f>
        <v>Outras despesas correntes</v>
      </c>
      <c r="C36" s="4">
        <f>+'2 - Conta Consol AP'!H42</f>
        <v>66.055755599208695</v>
      </c>
      <c r="D36" s="4">
        <f>+'2 - Conta Consol AP'!M42</f>
        <v>69.440246611621546</v>
      </c>
      <c r="E36" s="4">
        <f t="shared" si="0"/>
        <v>3.3844910124128518</v>
      </c>
      <c r="F36" s="4">
        <f t="shared" si="6"/>
        <v>5.1236882868287044</v>
      </c>
      <c r="G36" s="4">
        <f t="shared" si="7"/>
        <v>1.9783374590431065E-2</v>
      </c>
      <c r="H36" s="134"/>
      <c r="I36" s="4">
        <f>+'3 - Conta AC + SS'!E41</f>
        <v>39.132866729999989</v>
      </c>
      <c r="J36" s="4">
        <f>+'3 - Conta AC + SS'!F41</f>
        <v>41.615471119999988</v>
      </c>
      <c r="K36" s="4">
        <f t="shared" si="3"/>
        <v>2.4826043899999988</v>
      </c>
      <c r="L36" s="4">
        <f t="shared" si="5"/>
        <v>6.344039160557557</v>
      </c>
    </row>
    <row r="37" spans="2:12">
      <c r="B37" s="121" t="str">
        <f>IF(Indice_index!$Z$1=1,"Diferenças de consolidação","Consolidation differences")</f>
        <v>Diferenças de consolidação</v>
      </c>
      <c r="C37" s="4">
        <f>+'2 - Conta Consol AP'!H43</f>
        <v>3.7221880000000006E-2</v>
      </c>
      <c r="D37" s="4">
        <f>+'2 - Conta Consol AP'!M43</f>
        <v>22.175572889999994</v>
      </c>
      <c r="E37" s="4">
        <f t="shared" si="0"/>
        <v>22.138351009999994</v>
      </c>
      <c r="F37" s="4"/>
      <c r="G37" s="4"/>
      <c r="H37" s="134"/>
      <c r="I37" s="4">
        <f>+'3 - Conta AC + SS'!E42</f>
        <v>9.5408893400005148</v>
      </c>
      <c r="J37" s="4">
        <f>+'3 - Conta AC + SS'!F42</f>
        <v>22.170202849999995</v>
      </c>
      <c r="K37" s="4">
        <f t="shared" si="3"/>
        <v>12.629313509999481</v>
      </c>
      <c r="L37" s="4"/>
    </row>
    <row r="38" spans="2:12">
      <c r="B38" s="167" t="str">
        <f>IF(Indice_index!$Z$1=1,"Despesa de capital","Capital expenditure")</f>
        <v>Despesa de capital</v>
      </c>
      <c r="C38" s="128">
        <f>+C39+C40+C41+C42</f>
        <v>1259.7337663271062</v>
      </c>
      <c r="D38" s="128">
        <f>+D39+D40+D41+D42</f>
        <v>1423.3188818295237</v>
      </c>
      <c r="E38" s="128">
        <f t="shared" si="0"/>
        <v>163.58511550241747</v>
      </c>
      <c r="F38" s="128">
        <f>IF(IFERROR((D38-C38)/C38*100,"")&gt;500,"-",IFERROR((D38-C38)/C38*100,""))</f>
        <v>12.985689506392136</v>
      </c>
      <c r="G38" s="128">
        <f>IFERROR((D38-C38)/$C$43*100,"")</f>
        <v>0.9562045239694924</v>
      </c>
      <c r="H38" s="134"/>
      <c r="I38" s="128">
        <f>+I39+I40+I41+I42</f>
        <v>1009.83969473</v>
      </c>
      <c r="J38" s="128">
        <f>+J39+J40+J41+J42</f>
        <v>1174.9590967199999</v>
      </c>
      <c r="K38" s="128">
        <f t="shared" si="3"/>
        <v>165.11940198999991</v>
      </c>
      <c r="L38" s="128">
        <f>IF(IFERROR((J38-I38)/I38*100,"")&gt;500,"-",IFERROR((J38-I38)/I38*100,""))</f>
        <v>16.351050850120103</v>
      </c>
    </row>
    <row r="39" spans="2:12">
      <c r="B39" s="121" t="str">
        <f>IF(Indice_index!$Z$1=1,"Investimentos","Investments")</f>
        <v>Investimentos</v>
      </c>
      <c r="C39" s="4">
        <f>+'2 - Conta Consol AP'!H45</f>
        <v>916.61048445279255</v>
      </c>
      <c r="D39" s="4">
        <f>+'2 - Conta Consol AP'!M45</f>
        <v>1002.3410966746837</v>
      </c>
      <c r="E39" s="4">
        <f t="shared" si="0"/>
        <v>85.730612221891192</v>
      </c>
      <c r="F39" s="4">
        <f>IF(IFERROR((D39-C39)/C39*100,"")&gt;500,"-",IFERROR((D39-C39)/C39*100,""))</f>
        <v>9.3530036668816336</v>
      </c>
      <c r="G39" s="4">
        <f>IFERROR((D39-C39)/$C$43*100,"")</f>
        <v>0.50112138257490291</v>
      </c>
      <c r="H39" s="134"/>
      <c r="I39" s="4">
        <f>+'3 - Conta AC + SS'!E44</f>
        <v>577.21203901999991</v>
      </c>
      <c r="J39" s="4">
        <f>+'3 - Conta AC + SS'!F44</f>
        <v>593.81470665999996</v>
      </c>
      <c r="K39" s="4">
        <f t="shared" si="3"/>
        <v>16.60266764000005</v>
      </c>
      <c r="L39" s="4">
        <f>IF(IFERROR((J39-I39)/I39*100,"")&gt;500,"-",IFERROR((J39-I39)/I39*100,""))</f>
        <v>2.8763550511157621</v>
      </c>
    </row>
    <row r="40" spans="2:12">
      <c r="B40" s="121" t="str">
        <f>IF(Indice_index!$Z$1=1,"Transferências de capital","Capital transfers")</f>
        <v>Transferências de capital</v>
      </c>
      <c r="C40" s="4">
        <f>+'2 - Conta Consol AP'!H46</f>
        <v>296.40508617431351</v>
      </c>
      <c r="D40" s="4">
        <f>+'2 - Conta Consol AP'!M46</f>
        <v>382.73867564284132</v>
      </c>
      <c r="E40" s="4">
        <f t="shared" si="0"/>
        <v>86.333589468527805</v>
      </c>
      <c r="F40" s="4">
        <f>IF(IFERROR((D40-C40)/C40*100,"")&gt;500,"-",IFERROR((D40-C40)/C40*100,""))</f>
        <v>29.126892045892795</v>
      </c>
      <c r="G40" s="4">
        <f>IFERROR((D40-C40)/$C$43*100,"")</f>
        <v>0.50464596712719412</v>
      </c>
      <c r="H40" s="134"/>
      <c r="I40" s="4">
        <f>+'3 - Conta AC + SS'!E45</f>
        <v>388.36099887000006</v>
      </c>
      <c r="J40" s="4">
        <f>+'3 - Conta AC + SS'!F45</f>
        <v>544.88197773000002</v>
      </c>
      <c r="K40" s="4">
        <f t="shared" si="3"/>
        <v>156.52097885999996</v>
      </c>
      <c r="L40" s="4">
        <f>IF(IFERROR((J40-I40)/I40*100,"")&gt;500,"-",IFERROR((J40-I40)/I40*100,""))</f>
        <v>40.302960213673202</v>
      </c>
    </row>
    <row r="41" spans="2:12">
      <c r="B41" s="121" t="str">
        <f>IF(Indice_index!$Z$1=1,"Outras despesas de capital","Other capital expenditures")</f>
        <v>Outras despesas de capital</v>
      </c>
      <c r="C41" s="4">
        <f>+'2 - Conta Consol AP'!H49</f>
        <v>16.197993539999999</v>
      </c>
      <c r="D41" s="4">
        <f>+'2 - Conta Consol AP'!M49</f>
        <v>13.549480051998762</v>
      </c>
      <c r="E41" s="4">
        <f t="shared" si="0"/>
        <v>-2.6485134880012371</v>
      </c>
      <c r="F41" s="4">
        <f>IF(IFERROR((D41-C41)/C41*100,"")&gt;500,"-",IFERROR((D41-C41)/C41*100,""))</f>
        <v>-16.350873837928678</v>
      </c>
      <c r="G41" s="4">
        <f>IFERROR((D41-C41)/$C$43*100,"")</f>
        <v>-1.5481363149959551E-2</v>
      </c>
      <c r="H41" s="134"/>
      <c r="I41" s="4">
        <f>+'3 - Conta AC + SS'!E48</f>
        <v>13.746454679999999</v>
      </c>
      <c r="J41" s="4">
        <f>+'3 - Conta AC + SS'!F48</f>
        <v>11.572782869999999</v>
      </c>
      <c r="K41" s="4">
        <f t="shared" si="3"/>
        <v>-2.1736718100000001</v>
      </c>
      <c r="L41" s="4">
        <f>IF(IFERROR((J41-I41)/I41*100,"")&gt;500,"-",IFERROR((J41-I41)/I41*100,""))</f>
        <v>-15.812599398174426</v>
      </c>
    </row>
    <row r="42" spans="2:12">
      <c r="B42" s="121" t="str">
        <f>IF(Indice_index!$Z$1=1,"Diferenças de consolidação","Consolidation differences")</f>
        <v>Diferenças de consolidação</v>
      </c>
      <c r="C42" s="4">
        <f>+'2 - Conta Consol AP'!H50</f>
        <v>30.520202159999997</v>
      </c>
      <c r="D42" s="4">
        <f>+'2 - Conta Consol AP'!M50</f>
        <v>24.689629459999978</v>
      </c>
      <c r="E42" s="4">
        <f t="shared" si="0"/>
        <v>-5.8305727000000189</v>
      </c>
      <c r="F42" s="4"/>
      <c r="G42" s="4"/>
      <c r="H42" s="134"/>
      <c r="I42" s="4">
        <f>+'3 - Conta AC + SS'!E49</f>
        <v>30.520202159999997</v>
      </c>
      <c r="J42" s="4">
        <f>+'3 - Conta AC + SS'!F49</f>
        <v>24.689629459999978</v>
      </c>
      <c r="K42" s="4">
        <f t="shared" si="3"/>
        <v>-5.8305727000000189</v>
      </c>
      <c r="L42" s="4"/>
    </row>
    <row r="43" spans="2:12">
      <c r="B43" s="17" t="str">
        <f>IF(Indice_index!$Z$1=1,"Despesa efetiva","Effective expenditure")</f>
        <v>Despesa efetiva</v>
      </c>
      <c r="C43" s="18">
        <f>+C27+C38</f>
        <v>17107.75377043046</v>
      </c>
      <c r="D43" s="135">
        <f>+D27+D38</f>
        <v>18191.176926199638</v>
      </c>
      <c r="E43" s="135">
        <f t="shared" si="0"/>
        <v>1083.4231557691783</v>
      </c>
      <c r="F43" s="135">
        <f>IF(IFERROR((D43-C43)/C43*100,"")&gt;500,"-",IFERROR((D43-C43)/C43*100,""))</f>
        <v>6.3329363416592912</v>
      </c>
      <c r="G43" s="135"/>
      <c r="H43" s="133"/>
      <c r="I43" s="18">
        <f>+I27+I38</f>
        <v>16163.566546629998</v>
      </c>
      <c r="J43" s="135">
        <f>+J27+J38</f>
        <v>17230.470516739999</v>
      </c>
      <c r="K43" s="135">
        <f t="shared" si="3"/>
        <v>1066.903970110001</v>
      </c>
      <c r="L43" s="135">
        <f>IF(IFERROR((J43-I43)/I43*100,"")&gt;500,"-",IFERROR((J43-I43)/I43*100,""))</f>
        <v>6.6006717455093078</v>
      </c>
    </row>
    <row r="44" spans="2:12">
      <c r="B44" s="17" t="str">
        <f>IF(Indice_index!$Z$1=1,"Saldo global","Overall balance")</f>
        <v>Saldo global</v>
      </c>
      <c r="C44" s="18">
        <f>+C26-C43</f>
        <v>2119.398995408359</v>
      </c>
      <c r="D44" s="135">
        <f>+D26-D43</f>
        <v>1992.4364427061482</v>
      </c>
      <c r="E44" s="135">
        <f t="shared" si="0"/>
        <v>-126.96255270221081</v>
      </c>
      <c r="F44" s="135"/>
      <c r="G44" s="135"/>
      <c r="H44" s="133"/>
      <c r="I44" s="18">
        <f>+I26-I43</f>
        <v>1748.3434558299996</v>
      </c>
      <c r="J44" s="135">
        <f>+J26-J43</f>
        <v>1400.0404166300032</v>
      </c>
      <c r="K44" s="135">
        <f t="shared" si="3"/>
        <v>-348.30303919999642</v>
      </c>
      <c r="L44" s="135"/>
    </row>
    <row r="45" spans="2:12">
      <c r="B45" s="121" t="str">
        <f>IF(Indice_index!$Z$1=1,"Despesa primária","Primary expenditure")</f>
        <v>Despesa primária</v>
      </c>
      <c r="C45" s="4">
        <f>+C43-C33</f>
        <v>16034.594896304508</v>
      </c>
      <c r="D45" s="4">
        <f>+D43-D33</f>
        <v>17125.799586811729</v>
      </c>
      <c r="E45" s="4">
        <f>+D45-C45</f>
        <v>1091.2046905072202</v>
      </c>
      <c r="F45" s="4">
        <f>IF(IFERROR((D45-C45)/C45*100,"")&gt;500,"-",IFERROR((D45-C45)/C45*100,""))</f>
        <v>6.8053149927642389</v>
      </c>
      <c r="G45" s="4">
        <f>IFERROR((D45-C45)/$C$43*100,"")</f>
        <v>6.3784217679897299</v>
      </c>
      <c r="H45" s="134"/>
      <c r="I45" s="4">
        <f>+I43-I33</f>
        <v>15119.026476319998</v>
      </c>
      <c r="J45" s="4">
        <f>+J43-J33</f>
        <v>16189.278203329999</v>
      </c>
      <c r="K45" s="4">
        <f>+J45-I45</f>
        <v>1070.2517270100016</v>
      </c>
      <c r="L45" s="4"/>
    </row>
    <row r="46" spans="2:12">
      <c r="B46" s="121" t="str">
        <f>IF(Indice_index!$Z$1=1,"Saldo corrente","Current balance")</f>
        <v>Saldo corrente</v>
      </c>
      <c r="C46" s="4">
        <f>+C13-C27</f>
        <v>2899.9567165416938</v>
      </c>
      <c r="D46" s="4">
        <f>+D13-D27</f>
        <v>2836.8427667396609</v>
      </c>
      <c r="E46" s="4">
        <f>+D46-C46</f>
        <v>-63.113949802032948</v>
      </c>
      <c r="F46" s="4"/>
      <c r="G46" s="4"/>
      <c r="H46" s="134"/>
      <c r="I46" s="4">
        <f>+I13-I27</f>
        <v>2420.4724626600018</v>
      </c>
      <c r="J46" s="4">
        <f>+J13-J27</f>
        <v>2149.7867912600013</v>
      </c>
      <c r="K46" s="4">
        <f>+J46-I46</f>
        <v>-270.6856714000005</v>
      </c>
      <c r="L46" s="4"/>
    </row>
    <row r="47" spans="2:12">
      <c r="B47" s="121" t="str">
        <f>IF(Indice_index!$Z$1=1,"Saldo de capital","Capital balance")</f>
        <v>Saldo de capital</v>
      </c>
      <c r="C47" s="4">
        <f>+C21-C38</f>
        <v>-780.55772113333762</v>
      </c>
      <c r="D47" s="4">
        <f>+D21-D38</f>
        <v>-844.40632403351117</v>
      </c>
      <c r="E47" s="4">
        <f>+D47-C47</f>
        <v>-63.848602900173546</v>
      </c>
      <c r="F47" s="4"/>
      <c r="G47" s="4"/>
      <c r="H47" s="134"/>
      <c r="I47" s="4">
        <f>+I21-I38</f>
        <v>-672.12900682999998</v>
      </c>
      <c r="J47" s="4">
        <f>+J21-J38</f>
        <v>-749.74637462999988</v>
      </c>
      <c r="K47" s="4">
        <f>+J47-I47</f>
        <v>-77.617367799999897</v>
      </c>
      <c r="L47" s="4"/>
    </row>
    <row r="48" spans="2:12">
      <c r="B48" s="166" t="str">
        <f>IF(Indice_index!$Z$1=1,"Saldo primário","Primary balance")</f>
        <v>Saldo primário</v>
      </c>
      <c r="C48" s="19">
        <f>+C26-C45</f>
        <v>3192.5578695343102</v>
      </c>
      <c r="D48" s="19">
        <f>+D26-D45</f>
        <v>3057.8137820940574</v>
      </c>
      <c r="E48" s="19">
        <f>+D48-C48</f>
        <v>-134.74408744025277</v>
      </c>
      <c r="F48" s="19"/>
      <c r="G48" s="19"/>
      <c r="H48" s="134"/>
      <c r="I48" s="19">
        <f>+I26-I45</f>
        <v>2792.88352614</v>
      </c>
      <c r="J48" s="19">
        <f>+J26-J45</f>
        <v>2441.2327300400029</v>
      </c>
      <c r="K48" s="19">
        <f>+J48-I48</f>
        <v>-351.65079609999702</v>
      </c>
      <c r="L48" s="19"/>
    </row>
    <row r="49" spans="2:12">
      <c r="B49" s="9"/>
      <c r="C49" s="9"/>
      <c r="D49" s="9"/>
      <c r="E49" s="9"/>
      <c r="F49" s="9"/>
      <c r="G49" s="9"/>
      <c r="I49" s="9"/>
      <c r="J49" s="9"/>
      <c r="K49" s="9"/>
      <c r="L49" s="9"/>
    </row>
    <row r="50" spans="2:12">
      <c r="B50" s="133" t="s">
        <v>314</v>
      </c>
    </row>
    <row r="51" spans="2:12"/>
    <row r="52" spans="2:12"/>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85" customHeight="1" zeroHeight="1"/>
  <cols>
    <col min="1" max="1" width="8.5703125" style="20" customWidth="1"/>
    <col min="2" max="2" width="37" style="27" customWidth="1"/>
    <col min="3" max="9" width="10.42578125" style="27" customWidth="1"/>
    <col min="10" max="10" width="8.5703125" style="27" customWidth="1"/>
    <col min="11" max="15" width="0" hidden="1" customWidth="1"/>
    <col min="16" max="16384" width="9.42578125" hidden="1"/>
  </cols>
  <sheetData>
    <row r="1" spans="1:10" ht="14.85" customHeight="1"/>
    <row r="2" spans="1:10" ht="15"/>
    <row r="3" spans="1:10" ht="15"/>
    <row r="4" spans="1:10" ht="15"/>
    <row r="5" spans="1:10" ht="18" customHeight="1">
      <c r="A5"/>
      <c r="B5" s="254" t="str">
        <f>IF(Indice_index!$Z$1=1,"ANEXOS ESTATÍSTICOS","STATISTICAL ANNEXES")</f>
        <v>ANEXOS ESTATÍSTICOS</v>
      </c>
      <c r="C5"/>
      <c r="D5"/>
      <c r="E5"/>
      <c r="F5"/>
      <c r="G5"/>
      <c r="H5"/>
      <c r="I5"/>
      <c r="J5"/>
    </row>
    <row r="6" spans="1:10" ht="18" customHeight="1">
      <c r="A6"/>
      <c r="B6" s="255" t="str">
        <f>IF(Indice_index!$Z$1=1,"Fevereiro de 2026","February 2026")</f>
        <v>Fevereiro de 2026</v>
      </c>
      <c r="C6"/>
      <c r="D6"/>
      <c r="E6"/>
      <c r="F6"/>
      <c r="G6"/>
      <c r="H6"/>
      <c r="I6"/>
      <c r="J6"/>
    </row>
    <row r="7" spans="1:10" ht="49.5" customHeight="1">
      <c r="B7" s="12"/>
      <c r="C7" s="13"/>
      <c r="D7" s="11"/>
      <c r="E7" s="11"/>
      <c r="F7" s="11"/>
      <c r="G7" s="11"/>
      <c r="H7" s="11"/>
      <c r="I7" s="11"/>
    </row>
    <row r="8" spans="1:10" ht="15.7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1:10" ht="15">
      <c r="B9" s="3" t="str">
        <f>IF(Indice_index!$Z$1=1,"Período: janeiro a fevereiro","Period: January to February")</f>
        <v>Período: janeiro a fevereiro</v>
      </c>
      <c r="C9" s="3"/>
      <c r="D9" s="3"/>
      <c r="E9" s="3"/>
      <c r="F9" s="3"/>
      <c r="G9" s="3"/>
      <c r="H9" s="3"/>
      <c r="I9" s="3" t="str">
        <f>IF(Indice_index!$Z$1=1,"€ Milhões","€ Millions")</f>
        <v>€ Milhões</v>
      </c>
    </row>
    <row r="10" spans="1:10"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0"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0" ht="14.1" customHeight="1">
      <c r="B12" s="167" t="str">
        <f>IF(Indice_index!$Z$1=1,"Receita corrente","Current revenue")</f>
        <v>Receita corrente</v>
      </c>
      <c r="C12" s="324">
        <f>+C14+C15+C16+C17+C20+C21</f>
        <v>116344.5645313</v>
      </c>
      <c r="D12" s="128">
        <f>SUM(D14:D17)+D20+D21</f>
        <v>124087.95783400002</v>
      </c>
      <c r="E12" s="324">
        <f>+E14+E15+E16+E17+E20+E21</f>
        <v>17574.199314559999</v>
      </c>
      <c r="F12" s="324">
        <f>+F14+F15+F16+F17+F20+F21</f>
        <v>18205.298211280002</v>
      </c>
      <c r="G12" s="128">
        <f>IFERROR(IF(F12/D12*100&lt;-500,"-",IF(F12/D12*100&gt;500,"-",F12/D12*100)),"-")</f>
        <v>14.671285214987851</v>
      </c>
      <c r="H12" s="128">
        <f t="shared" ref="H12:H20" si="0">IF(IFERROR((F12-E12)/E12*100,"")&gt;500,"-",IFERROR((F12-E12)/E12*100,""))</f>
        <v>3.5910534837120318</v>
      </c>
      <c r="I12" s="128">
        <f>IFERROR((F12-E12)/$E$29*100,"")</f>
        <v>3.5233478542116869</v>
      </c>
    </row>
    <row r="13" spans="1:10" ht="14.1" customHeight="1">
      <c r="B13" s="121" t="str">
        <f>IF(Indice_index!$Z$1=1,"Receita fiscal","Tax")</f>
        <v>Receita fiscal</v>
      </c>
      <c r="C13" s="325">
        <f>+C14+C15</f>
        <v>65806.102069200002</v>
      </c>
      <c r="D13" s="4">
        <f>+D14+D15</f>
        <v>68173.233223000003</v>
      </c>
      <c r="E13" s="325">
        <f>+E14+E15</f>
        <v>9870.2040172300003</v>
      </c>
      <c r="F13" s="325">
        <f>+F14+F15</f>
        <v>9829.4236527600006</v>
      </c>
      <c r="G13" s="4">
        <f>IFERROR(IF(F13/D13*100&lt;-500,"-",IF(F13/D13*100&gt;500,"-",F13/D13*100)),"-")</f>
        <v>14.418303471990516</v>
      </c>
      <c r="H13" s="4">
        <f t="shared" si="0"/>
        <v>-0.41316637831205111</v>
      </c>
      <c r="I13" s="4">
        <f t="shared" ref="I13:I20" si="1">IFERROR((F13-E13)/$E$29*100,"")</f>
        <v>-0.22767178075592748</v>
      </c>
    </row>
    <row r="14" spans="1:10" ht="14.1" customHeight="1">
      <c r="B14" s="165" t="str">
        <f>IF(Indice_index!$Z$1=1,"Impostos diretos ","Direct taxes")</f>
        <v xml:space="preserve">Impostos diretos </v>
      </c>
      <c r="C14" s="325">
        <v>28835.30717819</v>
      </c>
      <c r="D14" s="4">
        <v>29467.748506</v>
      </c>
      <c r="E14" s="325">
        <v>3514.87287251</v>
      </c>
      <c r="F14" s="325">
        <v>3413.6998501400003</v>
      </c>
      <c r="G14" s="4">
        <f t="shared" ref="G14:G27" si="2">IFERROR(IF(F14/D14*100&lt;-500,"-",IF(F14/D14*100&gt;500,"-",F14/D14*100)),"-")</f>
        <v>11.584528928109076</v>
      </c>
      <c r="H14" s="4">
        <f t="shared" si="0"/>
        <v>-2.8784262202277371</v>
      </c>
      <c r="I14" s="4">
        <f t="shared" si="1"/>
        <v>-0.56483659395399322</v>
      </c>
    </row>
    <row r="15" spans="1:10" ht="14.1" customHeight="1">
      <c r="B15" s="165" t="str">
        <f>IF(Indice_index!$Z$1=1,"Impostos indiretos","Indirect taxes")</f>
        <v>Impostos indiretos</v>
      </c>
      <c r="C15" s="325">
        <v>36970.794891010002</v>
      </c>
      <c r="D15" s="4">
        <v>38705.484716999999</v>
      </c>
      <c r="E15" s="325">
        <v>6355.3311447200012</v>
      </c>
      <c r="F15" s="325">
        <v>6415.7238026200002</v>
      </c>
      <c r="G15" s="4">
        <f t="shared" si="2"/>
        <v>16.575748500579103</v>
      </c>
      <c r="H15" s="4">
        <f t="shared" si="0"/>
        <v>0.95026768117619043</v>
      </c>
      <c r="I15" s="4">
        <f t="shared" si="1"/>
        <v>0.33716481319806069</v>
      </c>
    </row>
    <row r="16" spans="1:10" ht="14.1" customHeight="1">
      <c r="B16" s="121" t="str">
        <f>IF(Indice_index!$Z$1=1,"Contribuições para Segurança Social, CGA e ADSE","Social security, CGA and ADSE contributions")</f>
        <v>Contribuições para Segurança Social, CGA e ADSE</v>
      </c>
      <c r="C16" s="325">
        <v>34837.418473089994</v>
      </c>
      <c r="D16" s="4">
        <v>36584.781092999998</v>
      </c>
      <c r="E16" s="325">
        <v>5345.4309628399997</v>
      </c>
      <c r="F16" s="325">
        <v>5766.22058122</v>
      </c>
      <c r="G16" s="4">
        <f t="shared" si="2"/>
        <v>15.761254841356118</v>
      </c>
      <c r="H16" s="4">
        <f t="shared" si="0"/>
        <v>7.8719493583439144</v>
      </c>
      <c r="I16" s="4">
        <f t="shared" si="1"/>
        <v>2.3492169083152477</v>
      </c>
    </row>
    <row r="17" spans="2:9" ht="14.1" customHeight="1">
      <c r="B17" s="121" t="str">
        <f>IF(Indice_index!$Z$1=1,"Transferências correntes","Current transfers")</f>
        <v>Transferências correntes</v>
      </c>
      <c r="C17" s="325">
        <f>+C18+C19</f>
        <v>3684.5709813500011</v>
      </c>
      <c r="D17" s="4">
        <f>+D18+D19</f>
        <v>5644.8584259999998</v>
      </c>
      <c r="E17" s="325">
        <f>+E18+E19</f>
        <v>498.66071263000009</v>
      </c>
      <c r="F17" s="325">
        <f>+F18+F19</f>
        <v>524.07984811000006</v>
      </c>
      <c r="G17" s="4">
        <f t="shared" si="2"/>
        <v>9.2841982660912894</v>
      </c>
      <c r="H17" s="4">
        <f t="shared" si="0"/>
        <v>5.0974810800586656</v>
      </c>
      <c r="I17" s="4">
        <f t="shared" si="1"/>
        <v>0.14191192048479997</v>
      </c>
    </row>
    <row r="18" spans="2:9" ht="14.1" customHeight="1">
      <c r="B18" s="165" t="str">
        <f>IF(Indice_index!$Z$1=1,"Administrações Públicas","General Government subsectors")</f>
        <v>Administrações Públicas</v>
      </c>
      <c r="C18" s="325">
        <v>155.56029497</v>
      </c>
      <c r="D18" s="4">
        <v>158.034199</v>
      </c>
      <c r="E18" s="325">
        <v>26.815309560000003</v>
      </c>
      <c r="F18" s="325">
        <v>24.525940440000003</v>
      </c>
      <c r="G18" s="4">
        <f t="shared" si="2"/>
        <v>15.519387952224189</v>
      </c>
      <c r="H18" s="4">
        <f t="shared" si="0"/>
        <v>-8.5375449978583049</v>
      </c>
      <c r="I18" s="4">
        <f t="shared" si="1"/>
        <v>-1.2781267434269048E-2</v>
      </c>
    </row>
    <row r="19" spans="2:9" ht="14.1" customHeight="1">
      <c r="B19" s="165" t="str">
        <f>IF(Indice_index!$Z$1=1,"Outras","Others")</f>
        <v>Outras</v>
      </c>
      <c r="C19" s="325">
        <v>3529.0106863800011</v>
      </c>
      <c r="D19" s="4">
        <v>5486.8242270000001</v>
      </c>
      <c r="E19" s="325">
        <v>471.84540307000009</v>
      </c>
      <c r="F19" s="325">
        <v>499.55390767</v>
      </c>
      <c r="G19" s="4">
        <f t="shared" si="2"/>
        <v>9.1046092785651034</v>
      </c>
      <c r="H19" s="4">
        <f t="shared" si="0"/>
        <v>5.8723693014106253</v>
      </c>
      <c r="I19" s="4">
        <f t="shared" si="1"/>
        <v>0.15469318791906875</v>
      </c>
    </row>
    <row r="20" spans="2:9" ht="14.1" customHeight="1">
      <c r="B20" s="121" t="str">
        <f>IF(Indice_index!$Z$1=1,"Outras receitas correntes","Other current revenue")</f>
        <v>Outras receitas correntes</v>
      </c>
      <c r="C20" s="325">
        <v>11997.122728239998</v>
      </c>
      <c r="D20" s="4">
        <v>13328.286270000001</v>
      </c>
      <c r="E20" s="325">
        <v>1709.5669847500012</v>
      </c>
      <c r="F20" s="325">
        <v>2048.0953206900012</v>
      </c>
      <c r="G20" s="4">
        <f t="shared" si="2"/>
        <v>15.366531594537856</v>
      </c>
      <c r="H20" s="4">
        <f t="shared" si="0"/>
        <v>19.80199307542809</v>
      </c>
      <c r="I20" s="4">
        <f t="shared" si="1"/>
        <v>1.8899622424046736</v>
      </c>
    </row>
    <row r="21" spans="2:9" ht="14.1" customHeight="1">
      <c r="B21" s="121" t="str">
        <f>IF(Indice_index!$Z$1=1,"Diferenças de consolidação","Consolidation differences")</f>
        <v>Diferenças de consolidação</v>
      </c>
      <c r="C21" s="325">
        <v>19.350279419999708</v>
      </c>
      <c r="D21" s="4">
        <v>356.79882200000566</v>
      </c>
      <c r="E21" s="325">
        <v>150.33663710999858</v>
      </c>
      <c r="F21" s="325">
        <v>37.478808499999566</v>
      </c>
      <c r="G21" s="4"/>
      <c r="H21" s="4"/>
      <c r="I21" s="4"/>
    </row>
    <row r="22" spans="2:9" ht="14.1" customHeight="1">
      <c r="B22" s="167" t="str">
        <f>IF(Indice_index!$Z$1=1,"Receita de capital","Capital revenue")</f>
        <v>Receita de capital</v>
      </c>
      <c r="C22" s="324">
        <f>+C23+C24+C27+C28</f>
        <v>2604.6224312799991</v>
      </c>
      <c r="D22" s="128">
        <f>+D23+D24+D27+D28</f>
        <v>5093.80771</v>
      </c>
      <c r="E22" s="324">
        <f>+E23+E24+E27+E28</f>
        <v>337.7106879000001</v>
      </c>
      <c r="F22" s="324">
        <f>+F23+F24+F27+F28</f>
        <v>425.21272209000006</v>
      </c>
      <c r="G22" s="128">
        <f t="shared" si="2"/>
        <v>8.3476398462241921</v>
      </c>
      <c r="H22" s="128">
        <f t="shared" ref="H22:H27" si="3">IF(IFERROR((F22-E22)/E22*100,"")&gt;500,"-",IFERROR((F22-E22)/E22*100,""))</f>
        <v>25.910353839885069</v>
      </c>
      <c r="I22" s="128">
        <f t="shared" ref="I22:I27" si="4">IFERROR((F22-E22)/$E$29*100,"")</f>
        <v>0.48851314113337191</v>
      </c>
    </row>
    <row r="23" spans="2:9" ht="14.1" customHeight="1">
      <c r="B23" s="121" t="str">
        <f>IF(Indice_index!$Z$1=1,"Venda de bens de investimento","Sale of investment goods")</f>
        <v>Venda de bens de investimento</v>
      </c>
      <c r="C23" s="325">
        <v>73.320874760000009</v>
      </c>
      <c r="D23" s="4">
        <v>1216.278648</v>
      </c>
      <c r="E23" s="325">
        <v>14.09921026</v>
      </c>
      <c r="F23" s="325">
        <v>3.8562695400000004</v>
      </c>
      <c r="G23" s="4">
        <f t="shared" si="2"/>
        <v>0.31705477575727375</v>
      </c>
      <c r="H23" s="4">
        <f t="shared" si="3"/>
        <v>-72.649038712895958</v>
      </c>
      <c r="I23" s="4">
        <f t="shared" si="4"/>
        <v>-5.7185083659940503E-2</v>
      </c>
    </row>
    <row r="24" spans="2:9" ht="14.1" customHeight="1">
      <c r="B24" s="121" t="str">
        <f>IF(Indice_index!$Z$1=1,"Transferências de capital","Capital transfers")</f>
        <v>Transferências de capital</v>
      </c>
      <c r="C24" s="325">
        <f>+C25+C26</f>
        <v>2363.4555428499993</v>
      </c>
      <c r="D24" s="4">
        <f>+D25+D26</f>
        <v>3824.992178</v>
      </c>
      <c r="E24" s="325">
        <f>+E25+E26</f>
        <v>310.0838544400001</v>
      </c>
      <c r="F24" s="325">
        <f>+F25+F26</f>
        <v>358.06989871999997</v>
      </c>
      <c r="G24" s="4">
        <f t="shared" si="2"/>
        <v>9.3613236853003556</v>
      </c>
      <c r="H24" s="4">
        <f t="shared" si="3"/>
        <v>15.475183113503565</v>
      </c>
      <c r="I24" s="4">
        <f t="shared" si="4"/>
        <v>0.26790020870699738</v>
      </c>
    </row>
    <row r="25" spans="2:9" ht="14.1" customHeight="1">
      <c r="B25" s="165" t="str">
        <f>IF(Indice_index!$Z$1=1,"Administrações Públicas","General Government subsectors")</f>
        <v>Administrações Públicas</v>
      </c>
      <c r="C25" s="325">
        <v>8.3846109200000001</v>
      </c>
      <c r="D25" s="4">
        <v>12.504012999999999</v>
      </c>
      <c r="E25" s="325">
        <v>0.73123620000000011</v>
      </c>
      <c r="F25" s="325">
        <v>2.1991596600000003</v>
      </c>
      <c r="G25" s="4">
        <f t="shared" si="2"/>
        <v>17.587630946960793</v>
      </c>
      <c r="H25" s="4">
        <f t="shared" si="3"/>
        <v>200.74545817069779</v>
      </c>
      <c r="I25" s="4">
        <f t="shared" si="4"/>
        <v>8.1952369110742385E-3</v>
      </c>
    </row>
    <row r="26" spans="2:9" ht="14.1" customHeight="1">
      <c r="B26" s="165" t="str">
        <f>IF(Indice_index!$Z$1=1,"Outras","Others")</f>
        <v>Outras</v>
      </c>
      <c r="C26" s="325">
        <v>2355.0709319299995</v>
      </c>
      <c r="D26" s="4">
        <v>3812.4881649999998</v>
      </c>
      <c r="E26" s="325">
        <v>309.35261824000008</v>
      </c>
      <c r="F26" s="325">
        <v>355.87073905999995</v>
      </c>
      <c r="G26" s="4">
        <f t="shared" si="2"/>
        <v>9.3343434433979411</v>
      </c>
      <c r="H26" s="4">
        <f t="shared" si="3"/>
        <v>15.037248136012366</v>
      </c>
      <c r="I26" s="4">
        <f t="shared" si="4"/>
        <v>0.25970497179592311</v>
      </c>
    </row>
    <row r="27" spans="2:9" ht="14.1" customHeight="1">
      <c r="B27" s="121" t="str">
        <f>IF(Indice_index!$Z$1=1,"Outras receitas de capital","Other capital revenue")</f>
        <v>Outras receitas de capital</v>
      </c>
      <c r="C27" s="325">
        <v>133.85086358999999</v>
      </c>
      <c r="D27" s="4">
        <v>33.231650999999999</v>
      </c>
      <c r="E27" s="325">
        <v>1.6299615500000004</v>
      </c>
      <c r="F27" s="325">
        <v>23.907520899999994</v>
      </c>
      <c r="G27" s="4">
        <f t="shared" si="2"/>
        <v>71.94201967275113</v>
      </c>
      <c r="H27" s="4" t="str">
        <f t="shared" si="3"/>
        <v>-</v>
      </c>
      <c r="I27" s="4">
        <f t="shared" si="4"/>
        <v>0.12437288567740919</v>
      </c>
    </row>
    <row r="28" spans="2:9" ht="14.1" customHeight="1">
      <c r="B28" s="121" t="str">
        <f>IF(Indice_index!$Z$1=1,"Diferenças de consolidação","Consolidation differences")</f>
        <v>Diferenças de consolidação</v>
      </c>
      <c r="C28" s="325">
        <v>33.995150079999874</v>
      </c>
      <c r="D28" s="4">
        <v>19.305233000000172</v>
      </c>
      <c r="E28" s="325">
        <v>11.897661650000002</v>
      </c>
      <c r="F28" s="325">
        <v>39.379032930000044</v>
      </c>
      <c r="G28" s="4"/>
      <c r="H28" s="4"/>
      <c r="I28" s="4"/>
    </row>
    <row r="29" spans="2:9" ht="14.1" customHeight="1">
      <c r="B29" s="29" t="str">
        <f>IF(Indice_index!$Z$1=1,"Receita efetiva","Effective revenue")</f>
        <v>Receita efetiva</v>
      </c>
      <c r="C29" s="18">
        <f>+C12+C22</f>
        <v>118949.18696258</v>
      </c>
      <c r="D29" s="18">
        <f>+D12+D22</f>
        <v>129181.76554400001</v>
      </c>
      <c r="E29" s="18">
        <f>+E12+E22</f>
        <v>17911.910002459997</v>
      </c>
      <c r="F29" s="18">
        <f>+F12+F22</f>
        <v>18630.510933370002</v>
      </c>
      <c r="G29" s="18">
        <f>IFERROR(IF(F29/D29*100&lt;-500,"-",IF(F29/D29*100&gt;500,"-",F29/D29*100)),"-")</f>
        <v>14.42193552233527</v>
      </c>
      <c r="H29" s="18">
        <f t="shared" ref="H29:H41" si="5">IF(IFERROR((F29-E29)/E29*100,"")&gt;500,"-",IFERROR((F29-E29)/E29*100,""))</f>
        <v>4.011860995345069</v>
      </c>
      <c r="I29" s="18"/>
    </row>
    <row r="30" spans="2:9" ht="14.1" customHeight="1">
      <c r="B30" s="167" t="str">
        <f>IF(Indice_index!$Z$1=1,"Despesa corrente","Current expenditure")</f>
        <v>Despesa corrente</v>
      </c>
      <c r="C30" s="128">
        <f>+C31+C35+C36+C37+C40+C41+C42</f>
        <v>109849.91586104</v>
      </c>
      <c r="D30" s="128">
        <f>+D31+D35+D36+D37+D40+D41+D42</f>
        <v>118539.822969</v>
      </c>
      <c r="E30" s="128">
        <f>+E31+E35+E36+E37+E40+E41+E42</f>
        <v>15153.726851899997</v>
      </c>
      <c r="F30" s="128">
        <f>+F31+F35+F36+F37+F40+F41+F42</f>
        <v>16055.511420020001</v>
      </c>
      <c r="G30" s="128">
        <f t="shared" ref="G30:G48" si="6">IFERROR(IF(F30/D30*100&lt;-500,"-",IF(F30/D30*100&gt;500,"-",F30/D30*100)),"-")</f>
        <v>13.544403068847814</v>
      </c>
      <c r="H30" s="128">
        <f t="shared" si="5"/>
        <v>5.9509094820917676</v>
      </c>
      <c r="I30" s="128">
        <f t="shared" ref="I30:I41" si="7">IFERROR((F30-E30)/$E$50*100,"")</f>
        <v>5.5791187267887965</v>
      </c>
    </row>
    <row r="31" spans="2:9" ht="14.1" customHeight="1">
      <c r="B31" s="121" t="str">
        <f>IF(Indice_index!$Z$1=1,"Despesas com o pessoal","Employees")</f>
        <v>Despesas com o pessoal</v>
      </c>
      <c r="C31" s="4">
        <f>+C32+C33+C34</f>
        <v>24138.04956838</v>
      </c>
      <c r="D31" s="4">
        <f>+D32+D33+D34</f>
        <v>25374.369186999997</v>
      </c>
      <c r="E31" s="4">
        <f>+E32+E33+E34</f>
        <v>3419.7322815199996</v>
      </c>
      <c r="F31" s="4">
        <f>+F32+F33+F34</f>
        <v>3598.10857489</v>
      </c>
      <c r="G31" s="4">
        <f t="shared" si="6"/>
        <v>14.18009073791443</v>
      </c>
      <c r="H31" s="4">
        <f t="shared" si="5"/>
        <v>5.2160894095112003</v>
      </c>
      <c r="I31" s="4">
        <f t="shared" si="7"/>
        <v>1.1035701363025647</v>
      </c>
    </row>
    <row r="32" spans="2:9" ht="14.1" customHeight="1">
      <c r="B32" s="165" t="str">
        <f>IF(Indice_index!$Z$1=1,"Remunerações certas e permanentes","Certain and permanent wages")</f>
        <v>Remunerações certas e permanentes</v>
      </c>
      <c r="C32" s="4">
        <v>17166.454233230001</v>
      </c>
      <c r="D32" s="4">
        <v>18204.176166222649</v>
      </c>
      <c r="E32" s="4">
        <v>2408.1191470699996</v>
      </c>
      <c r="F32" s="4">
        <v>2541.1966093000001</v>
      </c>
      <c r="G32" s="4">
        <f t="shared" si="6"/>
        <v>13.959415609343095</v>
      </c>
      <c r="H32" s="4">
        <f t="shared" si="5"/>
        <v>5.5261992493983589</v>
      </c>
      <c r="I32" s="4">
        <f t="shared" si="7"/>
        <v>0.82331743953964354</v>
      </c>
    </row>
    <row r="33" spans="2:9" ht="14.1" customHeight="1">
      <c r="B33" s="165" t="str">
        <f>IF(Indice_index!$Z$1=1,"Abonos variáveis ou eventuais","Variable or contingent bonuses")</f>
        <v>Abonos variáveis ou eventuais</v>
      </c>
      <c r="C33" s="4">
        <v>1821.7026785399999</v>
      </c>
      <c r="D33" s="4">
        <v>1849.7222499477307</v>
      </c>
      <c r="E33" s="4">
        <v>305.87393269000017</v>
      </c>
      <c r="F33" s="4">
        <v>296.32852423000003</v>
      </c>
      <c r="G33" s="4">
        <f t="shared" si="6"/>
        <v>16.02016325631449</v>
      </c>
      <c r="H33" s="4">
        <f t="shared" si="5"/>
        <v>-3.1207002100680192</v>
      </c>
      <c r="I33" s="4">
        <f t="shared" si="7"/>
        <v>-5.9055088073927002E-2</v>
      </c>
    </row>
    <row r="34" spans="2:9" ht="14.1" customHeight="1">
      <c r="B34" s="165" t="str">
        <f>IF(Indice_index!$Z$1=1,"Segurança social","Social security")</f>
        <v>Segurança social</v>
      </c>
      <c r="C34" s="4">
        <v>5149.8926566099972</v>
      </c>
      <c r="D34" s="4">
        <v>5320.4707708296173</v>
      </c>
      <c r="E34" s="4">
        <v>705.73920175999979</v>
      </c>
      <c r="F34" s="4">
        <v>760.58344136000005</v>
      </c>
      <c r="G34" s="4">
        <f t="shared" si="6"/>
        <v>14.295416216362424</v>
      </c>
      <c r="H34" s="4">
        <f t="shared" si="5"/>
        <v>7.7711765852353922</v>
      </c>
      <c r="I34" s="4">
        <f t="shared" si="7"/>
        <v>0.33930778483684931</v>
      </c>
    </row>
    <row r="35" spans="2:9" ht="14.1" customHeight="1">
      <c r="B35" s="121" t="str">
        <f>IF(Indice_index!$Z$1=1,"Aquisição de bens e serviços","Purchase of goods and services")</f>
        <v>Aquisição de bens e serviços</v>
      </c>
      <c r="C35" s="4">
        <v>14951.545211879999</v>
      </c>
      <c r="D35" s="4">
        <v>14826.747297000002</v>
      </c>
      <c r="E35" s="4">
        <v>1519.9495691100003</v>
      </c>
      <c r="F35" s="4">
        <v>1672.8849761999998</v>
      </c>
      <c r="G35" s="4">
        <f t="shared" si="6"/>
        <v>11.28288587300929</v>
      </c>
      <c r="H35" s="4">
        <f t="shared" si="5"/>
        <v>10.061873775164139</v>
      </c>
      <c r="I35" s="4">
        <f t="shared" si="7"/>
        <v>0.94617364706482754</v>
      </c>
    </row>
    <row r="36" spans="2:9" ht="14.1" customHeight="1">
      <c r="B36" s="121" t="str">
        <f>IF(Indice_index!$Z$1=1,"Juros e outros encargos","Interests and other charges")</f>
        <v>Juros e outros encargos</v>
      </c>
      <c r="C36" s="4">
        <v>6557.27181784</v>
      </c>
      <c r="D36" s="4">
        <v>6909.5666259999989</v>
      </c>
      <c r="E36" s="4">
        <v>1044.5400703099999</v>
      </c>
      <c r="F36" s="4">
        <v>1041.19231341</v>
      </c>
      <c r="G36" s="4">
        <f t="shared" si="6"/>
        <v>15.068851199612126</v>
      </c>
      <c r="H36" s="4">
        <f>IF(IFERROR((F36-E36)/E36*100,"")&gt;500,"-",IFERROR((F36-E36)/E36*100,""))</f>
        <v>-0.32050057198919812</v>
      </c>
      <c r="I36" s="4">
        <f t="shared" si="7"/>
        <v>-2.0711746323696784E-2</v>
      </c>
    </row>
    <row r="37" spans="2:9" ht="14.1" customHeight="1">
      <c r="B37" s="121" t="str">
        <f>IF(Indice_index!$Z$1=1,"Transferências correntes","Current transfers")</f>
        <v>Transferências correntes</v>
      </c>
      <c r="C37" s="4">
        <f>+C38+C39</f>
        <v>61496.290284539995</v>
      </c>
      <c r="D37" s="4">
        <f>+D38+D39</f>
        <v>65666.756034999999</v>
      </c>
      <c r="E37" s="4">
        <f>+E38+E39</f>
        <v>8878.6653106099984</v>
      </c>
      <c r="F37" s="4">
        <f>+F38+F39</f>
        <v>9494.2065664900019</v>
      </c>
      <c r="G37" s="4">
        <f t="shared" si="6"/>
        <v>14.458162911884431</v>
      </c>
      <c r="H37" s="4">
        <f>IF(IFERROR((F37-E37)/E37*100,"")&gt;500,"-",IFERROR((F37-E37)/E37*100,""))</f>
        <v>6.9328129211541762</v>
      </c>
      <c r="I37" s="4">
        <f t="shared" si="7"/>
        <v>3.8082019466696231</v>
      </c>
    </row>
    <row r="38" spans="2:9" ht="14.1" customHeight="1">
      <c r="B38" s="165" t="str">
        <f>IF(Indice_index!$Z$1=1,"Administrações Públicas","General Government subsectors")</f>
        <v>Administrações Públicas</v>
      </c>
      <c r="C38" s="4">
        <v>6772.7901169500001</v>
      </c>
      <c r="D38" s="4">
        <v>7567.1383450000003</v>
      </c>
      <c r="E38" s="4">
        <v>1019.26091172</v>
      </c>
      <c r="F38" s="4">
        <v>1060.7898182000001</v>
      </c>
      <c r="G38" s="4">
        <f t="shared" si="6"/>
        <v>14.018374844447226</v>
      </c>
      <c r="H38" s="4">
        <f>IF(IFERROR((F38-E38)/E38*100,"")&gt;500,"-",IFERROR((F38-E38)/E38*100,""))</f>
        <v>4.0744137249333194</v>
      </c>
      <c r="I38" s="4">
        <f t="shared" si="7"/>
        <v>0.2569291026222098</v>
      </c>
    </row>
    <row r="39" spans="2:9" ht="14.1" customHeight="1">
      <c r="B39" s="165" t="str">
        <f>IF(Indice_index!$Z$1=1,"Outras","Others")</f>
        <v>Outras</v>
      </c>
      <c r="C39" s="4">
        <v>54723.500167589998</v>
      </c>
      <c r="D39" s="4">
        <v>58099.617689999999</v>
      </c>
      <c r="E39" s="4">
        <v>7859.4043988899994</v>
      </c>
      <c r="F39" s="4">
        <v>8433.4167482900011</v>
      </c>
      <c r="G39" s="4">
        <f t="shared" si="6"/>
        <v>14.51544275779554</v>
      </c>
      <c r="H39" s="4">
        <f>IF(IFERROR((F39-E39)/E39*100,"")&gt;500,"-",IFERROR((F39-E39)/E39*100,""))</f>
        <v>7.3035095316010308</v>
      </c>
      <c r="I39" s="4">
        <f t="shared" si="7"/>
        <v>3.5512728440474031</v>
      </c>
    </row>
    <row r="40" spans="2:9" ht="14.1" customHeight="1">
      <c r="B40" s="121" t="str">
        <f>IF(Indice_index!$Z$1=1,"Subsídios","Subsidies")</f>
        <v>Subsídios</v>
      </c>
      <c r="C40" s="4">
        <v>1810.58310921</v>
      </c>
      <c r="D40" s="4">
        <v>2040.3294730000002</v>
      </c>
      <c r="E40" s="4">
        <v>242.16586427999999</v>
      </c>
      <c r="F40" s="4">
        <v>185.33331506000005</v>
      </c>
      <c r="G40" s="4">
        <f t="shared" si="6"/>
        <v>9.0834993814746525</v>
      </c>
      <c r="H40" s="4">
        <f>IF(IFERROR((F40-E40)/E40*100,"")&gt;500,"-",IFERROR((F40-E40)/E40*100,""))</f>
        <v>-23.468439447059442</v>
      </c>
      <c r="I40" s="4">
        <f t="shared" si="7"/>
        <v>-0.35160896610314746</v>
      </c>
    </row>
    <row r="41" spans="2:9" ht="14.1" customHeight="1">
      <c r="B41" s="121" t="str">
        <f>IF(Indice_index!$Z$1=1,"Outras despesas correntes","Other current expenditure")</f>
        <v>Outras despesas correntes</v>
      </c>
      <c r="C41" s="4">
        <v>597.63510646000054</v>
      </c>
      <c r="D41" s="4">
        <v>3721.5520940000001</v>
      </c>
      <c r="E41" s="4">
        <v>39.132866729999989</v>
      </c>
      <c r="F41" s="4">
        <v>41.615471119999988</v>
      </c>
      <c r="G41" s="4">
        <f t="shared" si="6"/>
        <v>1.1182289020512093</v>
      </c>
      <c r="H41" s="4">
        <f t="shared" si="5"/>
        <v>6.344039160557557</v>
      </c>
      <c r="I41" s="4">
        <f t="shared" si="7"/>
        <v>1.5359261106377578E-2</v>
      </c>
    </row>
    <row r="42" spans="2:9" ht="14.1" customHeight="1">
      <c r="B42" s="121" t="str">
        <f>IF(Indice_index!$Z$1=1,"Diferenças de consolidação","Consolidation differences")</f>
        <v>Diferenças de consolidação</v>
      </c>
      <c r="C42" s="4">
        <v>298.54076273000464</v>
      </c>
      <c r="D42" s="4">
        <v>0.5022569999993135</v>
      </c>
      <c r="E42" s="4">
        <v>9.5408893400005148</v>
      </c>
      <c r="F42" s="4">
        <v>22.170202849999995</v>
      </c>
      <c r="G42" s="4"/>
      <c r="H42" s="4"/>
      <c r="I42" s="4"/>
    </row>
    <row r="43" spans="2:9" ht="14.1" customHeight="1">
      <c r="B43" s="167" t="str">
        <f>IF(Indice_index!$Z$1=1,"Despesa de capital","Capital expenditure")</f>
        <v>Despesa de capital</v>
      </c>
      <c r="C43" s="128">
        <f>+C44+C45+C48+C49</f>
        <v>9151.7342960500009</v>
      </c>
      <c r="D43" s="128">
        <f>+D44+D45+D48+D49</f>
        <v>12431.7799119964</v>
      </c>
      <c r="E43" s="128">
        <f>+E44+E45+E48+E49</f>
        <v>1009.83969473</v>
      </c>
      <c r="F43" s="128">
        <f>+F44+F45+F48+F49</f>
        <v>1174.9590967199999</v>
      </c>
      <c r="G43" s="128">
        <f t="shared" si="6"/>
        <v>9.451254004152613</v>
      </c>
      <c r="H43" s="128">
        <f t="shared" ref="H43:H48" si="8">IF(IFERROR((F43-E43)/E43*100,"")&gt;500,"-",IFERROR((F43-E43)/E43*100,""))</f>
        <v>16.351050850120103</v>
      </c>
      <c r="I43" s="128">
        <f t="shared" ref="I43:I48" si="9">IFERROR((F43-E43)/$E$50*100,"")</f>
        <v>1.0215530187205266</v>
      </c>
    </row>
    <row r="44" spans="2:9" ht="14.1" customHeight="1">
      <c r="B44" s="121" t="str">
        <f>IF(Indice_index!$Z$1=1,"Investimento","Investments")</f>
        <v>Investimento</v>
      </c>
      <c r="C44" s="4">
        <v>5505.886799320001</v>
      </c>
      <c r="D44" s="4">
        <v>8177.0436189963993</v>
      </c>
      <c r="E44" s="4">
        <v>577.21203901999991</v>
      </c>
      <c r="F44" s="4">
        <v>593.81470665999996</v>
      </c>
      <c r="G44" s="4">
        <f t="shared" si="6"/>
        <v>7.2619730837742704</v>
      </c>
      <c r="H44" s="4">
        <f t="shared" si="8"/>
        <v>2.8763550511157621</v>
      </c>
      <c r="I44" s="4">
        <f t="shared" si="9"/>
        <v>0.10271661017451376</v>
      </c>
    </row>
    <row r="45" spans="2:9" ht="14.1" customHeight="1">
      <c r="B45" s="121" t="str">
        <f>IF(Indice_index!$Z$1=1,"Transferências de capital","Capital transfers")</f>
        <v>Transferências de capital</v>
      </c>
      <c r="C45" s="4">
        <f>+C46+C47</f>
        <v>3354.2594194100002</v>
      </c>
      <c r="D45" s="4">
        <f>+D46+D47</f>
        <v>4038.9601170000005</v>
      </c>
      <c r="E45" s="4">
        <f>+E46+E47</f>
        <v>388.36099887000006</v>
      </c>
      <c r="F45" s="4">
        <f>+F46+F47</f>
        <v>544.88197773000002</v>
      </c>
      <c r="G45" s="4">
        <f t="shared" si="6"/>
        <v>13.490650116513638</v>
      </c>
      <c r="H45" s="4">
        <f t="shared" si="8"/>
        <v>40.302960213673202</v>
      </c>
      <c r="I45" s="4">
        <f t="shared" si="9"/>
        <v>0.96835669533982638</v>
      </c>
    </row>
    <row r="46" spans="2:9" ht="14.1" customHeight="1">
      <c r="B46" s="165" t="str">
        <f>IF(Indice_index!$Z$1=1,"Administrações Públicas","General Government subsectors")</f>
        <v>Administrações Públicas</v>
      </c>
      <c r="C46" s="4">
        <v>1745.38564769</v>
      </c>
      <c r="D46" s="4">
        <v>1176.9376260000001</v>
      </c>
      <c r="E46" s="4">
        <v>183.11648026</v>
      </c>
      <c r="F46" s="4">
        <v>246.14898454999997</v>
      </c>
      <c r="G46" s="4">
        <f t="shared" si="6"/>
        <v>20.914361059776326</v>
      </c>
      <c r="H46" s="4">
        <f t="shared" si="8"/>
        <v>34.422081617395961</v>
      </c>
      <c r="I46" s="4">
        <f t="shared" si="9"/>
        <v>0.38996655910165967</v>
      </c>
    </row>
    <row r="47" spans="2:9" ht="14.1" customHeight="1">
      <c r="B47" s="165" t="str">
        <f>IF(Indice_index!$Z$1=1,"Outras","Others")</f>
        <v>Outras</v>
      </c>
      <c r="C47" s="4">
        <v>1608.8737717199999</v>
      </c>
      <c r="D47" s="4">
        <v>2862.0224910000002</v>
      </c>
      <c r="E47" s="4">
        <v>205.24451861000006</v>
      </c>
      <c r="F47" s="4">
        <v>298.73299317999999</v>
      </c>
      <c r="G47" s="4">
        <f t="shared" si="6"/>
        <v>10.437828288191463</v>
      </c>
      <c r="H47" s="4">
        <f t="shared" si="8"/>
        <v>45.549803328801261</v>
      </c>
      <c r="I47" s="4">
        <f t="shared" si="9"/>
        <v>0.57839013623816637</v>
      </c>
    </row>
    <row r="48" spans="2:9" ht="14.1" customHeight="1">
      <c r="B48" s="121" t="str">
        <f>IF(Indice_index!$Z$1=1,"Outras despesas de capital","Other capital expenditure")</f>
        <v>Outras despesas de capital</v>
      </c>
      <c r="C48" s="4">
        <v>106.00231536000001</v>
      </c>
      <c r="D48" s="4">
        <v>215.77617599999999</v>
      </c>
      <c r="E48" s="4">
        <v>13.746454679999999</v>
      </c>
      <c r="F48" s="4">
        <v>11.572782869999999</v>
      </c>
      <c r="G48" s="4">
        <f t="shared" si="6"/>
        <v>5.3633274463071405</v>
      </c>
      <c r="H48" s="4">
        <f t="shared" si="8"/>
        <v>-15.812599398174426</v>
      </c>
      <c r="I48" s="4">
        <f t="shared" si="9"/>
        <v>-1.3447971422205683E-2</v>
      </c>
    </row>
    <row r="49" spans="2:9" ht="14.1" customHeight="1">
      <c r="B49" s="121" t="str">
        <f>IF(Indice_index!$Z$1=1,"Diferenças de consolidação","Consolidation differences")</f>
        <v>Diferenças de consolidação</v>
      </c>
      <c r="C49" s="4">
        <v>185.58576195999976</v>
      </c>
      <c r="D49" s="4">
        <v>0</v>
      </c>
      <c r="E49" s="4">
        <v>30.520202159999997</v>
      </c>
      <c r="F49" s="4">
        <v>24.689629459999978</v>
      </c>
      <c r="G49" s="4"/>
      <c r="H49" s="4"/>
      <c r="I49" s="4"/>
    </row>
    <row r="50" spans="2:9" ht="14.1" customHeight="1">
      <c r="B50" s="29" t="str">
        <f>IF(Indice_index!$Z$1=1,"Despesa efetiva","Effective Expenditure")</f>
        <v>Despesa efetiva</v>
      </c>
      <c r="C50" s="18">
        <f>+C30+C43</f>
        <v>119001.65015709</v>
      </c>
      <c r="D50" s="18">
        <f>+D30+D43</f>
        <v>130971.6028809964</v>
      </c>
      <c r="E50" s="18">
        <f>+E30+E43</f>
        <v>16163.566546629998</v>
      </c>
      <c r="F50" s="18">
        <f>+F30+F43</f>
        <v>17230.470516739999</v>
      </c>
      <c r="G50" s="18">
        <f>IFERROR(IF(F50/D50*100&lt;-500,"-",IF(F50/D50*100&gt;500,"-",F50/D50*100)),"-")</f>
        <v>13.155882754520437</v>
      </c>
      <c r="H50" s="18">
        <f>IF(IFERROR((F50-E50)/E50*100,"")&gt;500,"-",IFERROR((F50-E50)/E50*100,""))</f>
        <v>6.6006717455093078</v>
      </c>
      <c r="I50" s="18"/>
    </row>
    <row r="51" spans="2:9" ht="14.1" customHeight="1">
      <c r="B51" s="29" t="str">
        <f>IF(Indice_index!$Z$1=1,"Saldo global","Overall balance")</f>
        <v>Saldo global</v>
      </c>
      <c r="C51" s="18">
        <f>+C29-C50</f>
        <v>-52.463194509997265</v>
      </c>
      <c r="D51" s="18">
        <f>+D29-D50</f>
        <v>-1789.8373369963956</v>
      </c>
      <c r="E51" s="18">
        <f>+E29-E50</f>
        <v>1748.3434558299996</v>
      </c>
      <c r="F51" s="18">
        <f>+F29-F50</f>
        <v>1400.0404166300032</v>
      </c>
      <c r="G51" s="18"/>
      <c r="H51" s="18"/>
      <c r="I51" s="18"/>
    </row>
    <row r="52" spans="2:9" ht="14.1" customHeight="1">
      <c r="B52" s="121" t="str">
        <f>IF(Indice_index!$Z$1=1,"Despesa primária","Primary expenditure")</f>
        <v>Despesa primária</v>
      </c>
      <c r="C52" s="4">
        <f>+C50-C36</f>
        <v>112444.37833925</v>
      </c>
      <c r="D52" s="4">
        <f>+D50-D36</f>
        <v>124062.0362549964</v>
      </c>
      <c r="E52" s="4">
        <f>+E50-E36</f>
        <v>15119.026476319998</v>
      </c>
      <c r="F52" s="4">
        <f>+F50-F36</f>
        <v>16189.278203329999</v>
      </c>
      <c r="G52" s="4">
        <f>IFERROR(IF(F52/D52*100&lt;-500,"-",IF(F52/D52*100&gt;500,"-",F52/D52*100)),"-")</f>
        <v>13.049341032944719</v>
      </c>
      <c r="H52" s="4">
        <f>IF(IFERROR((F52-E52)/E52*100,"")&gt;500,"-",IFERROR((F52-E52)/E52*100,""))</f>
        <v>7.0788402195489972</v>
      </c>
      <c r="I52" s="4">
        <f>IFERROR((F52-E52)/$E$50*100,"")</f>
        <v>6.6213834918330088</v>
      </c>
    </row>
    <row r="53" spans="2:9" ht="14.1" customHeight="1">
      <c r="B53" s="121" t="str">
        <f>IF(Indice_index!$Z$1=1,"Saldo corrente","Current balance")</f>
        <v>Saldo corrente</v>
      </c>
      <c r="C53" s="4">
        <f>+C12-C30</f>
        <v>6494.6486702599941</v>
      </c>
      <c r="D53" s="4">
        <f>+D12-D30</f>
        <v>5548.1348650000145</v>
      </c>
      <c r="E53" s="4">
        <f>+E12-E30</f>
        <v>2420.4724626600018</v>
      </c>
      <c r="F53" s="4">
        <f>+F12-F30</f>
        <v>2149.7867912600013</v>
      </c>
      <c r="G53" s="4"/>
      <c r="H53" s="4"/>
      <c r="I53" s="4"/>
    </row>
    <row r="54" spans="2:9" ht="14.1" customHeight="1">
      <c r="B54" s="121" t="str">
        <f>IF(Indice_index!$Z$1=1,"Saldo de capital","Capital balance")</f>
        <v>Saldo de capital</v>
      </c>
      <c r="C54" s="4">
        <f>+C22-C43</f>
        <v>-6547.1118647700023</v>
      </c>
      <c r="D54" s="4">
        <f>+D22-D43</f>
        <v>-7337.9722019964001</v>
      </c>
      <c r="E54" s="4">
        <f>+E22-E43</f>
        <v>-672.12900682999998</v>
      </c>
      <c r="F54" s="4">
        <f>+F22-F43</f>
        <v>-749.74637462999988</v>
      </c>
      <c r="G54" s="4"/>
      <c r="H54" s="4"/>
      <c r="I54" s="4"/>
    </row>
    <row r="55" spans="2:9" ht="14.1" customHeight="1">
      <c r="B55" s="121" t="str">
        <f>IF(Indice_index!$Z$1=1,"Saldo primário","Primary balance")</f>
        <v>Saldo primário</v>
      </c>
      <c r="C55" s="4">
        <f>+C51+C36</f>
        <v>6504.8086233300028</v>
      </c>
      <c r="D55" s="4">
        <f>+D51+D36</f>
        <v>5119.7292890036033</v>
      </c>
      <c r="E55" s="4">
        <f>+E51+E36</f>
        <v>2792.8835261399995</v>
      </c>
      <c r="F55" s="4">
        <f>+F51+F36</f>
        <v>2441.2327300400029</v>
      </c>
      <c r="G55" s="4"/>
      <c r="H55" s="4"/>
      <c r="I55" s="4"/>
    </row>
    <row r="56" spans="2:9" ht="14.1" customHeight="1">
      <c r="B56" s="121" t="str">
        <f>IF(Indice_index!$Z$1=1,"Ativos financeiros líquidos de reembolsos","Financial assets net of reimbursements")</f>
        <v>Ativos financeiros líquidos de reembolsos</v>
      </c>
      <c r="C56" s="4">
        <v>2434.5925556100033</v>
      </c>
      <c r="D56" s="4">
        <v>-10551.679559609991</v>
      </c>
      <c r="E56" s="4">
        <v>2429.1648196499982</v>
      </c>
      <c r="F56" s="4">
        <v>2232.9608091799973</v>
      </c>
      <c r="G56" s="4"/>
      <c r="H56" s="4"/>
      <c r="I56" s="4"/>
    </row>
    <row r="57" spans="2:9" ht="14.1" customHeight="1">
      <c r="B57" s="271" t="str">
        <f>IF(Indice_index!$Z$1=1,"dos quais Receitas de:","of which revenue from:")</f>
        <v>dos quais Receitas de:</v>
      </c>
      <c r="C57" s="4"/>
      <c r="D57" s="4"/>
      <c r="E57" s="4"/>
      <c r="F57" s="4"/>
      <c r="G57" s="4"/>
      <c r="H57" s="4"/>
      <c r="I57" s="4"/>
    </row>
    <row r="58" spans="2:9" ht="14.1" customHeight="1">
      <c r="B58" s="302" t="str">
        <f>IF(Indice_index!$Z$1=1,"Alienação de partes de capital","Disposal of Capital Shares")</f>
        <v>Alienação de partes de capital</v>
      </c>
      <c r="C58" s="4">
        <v>1.2034</v>
      </c>
      <c r="D58" s="4">
        <v>1686</v>
      </c>
      <c r="E58" s="4">
        <v>0</v>
      </c>
      <c r="F58" s="4">
        <v>0</v>
      </c>
      <c r="G58" s="4"/>
      <c r="H58" s="4"/>
      <c r="I58" s="4"/>
    </row>
    <row r="59" spans="2:9" ht="14.1" customHeight="1">
      <c r="B59" s="166" t="str">
        <f>IF(Indice_index!$Z$1=1,"Passivos financeiros líquidos de amortizações","Financial liabilities net of amortizations")</f>
        <v>Passivos financeiros líquidos de amortizações</v>
      </c>
      <c r="C59" s="19">
        <v>3037.4598235899812</v>
      </c>
      <c r="D59" s="19">
        <v>-1420.3670780000102</v>
      </c>
      <c r="E59" s="19">
        <v>-3514.1881146500018</v>
      </c>
      <c r="F59" s="19">
        <v>-2862.2972683199951</v>
      </c>
      <c r="G59" s="19"/>
      <c r="H59" s="19"/>
      <c r="I59" s="19"/>
    </row>
    <row r="60" spans="2:9" ht="15">
      <c r="B60" s="9" t="str">
        <f>IF(Indice_index!$Z$1=1,"Nota:","Note:")</f>
        <v>Nota:</v>
      </c>
      <c r="C60" s="9"/>
      <c r="D60" s="9"/>
      <c r="E60" s="9"/>
      <c r="F60" s="9"/>
      <c r="G60" s="9"/>
      <c r="H60" s="9"/>
      <c r="I60" s="9"/>
    </row>
    <row r="61" spans="2:9" ht="15">
      <c r="B61" s="376" t="str">
        <f>IF(Indice_index!$Z$1=1,"Os dados de 2025 são mensalmente revistos e atualizados face ao publicado nas Sínteses de Execução Orçamental de 2025.","2025 cumulative execution is monthly reviewed and updated and therefore may differ from data published in 2025.")</f>
        <v>Os dados de 2025 são mensalmente revistos e atualizados face ao publicado nas Sínteses de Execução Orçamental de 2025.</v>
      </c>
      <c r="C61" s="376"/>
      <c r="D61" s="376"/>
      <c r="E61" s="376"/>
      <c r="F61" s="376"/>
      <c r="G61" s="376"/>
      <c r="H61" s="376"/>
      <c r="I61" s="376"/>
    </row>
    <row r="62" spans="2:9" ht="15">
      <c r="B62" s="146" t="str">
        <f>IF(Indice_index!$Z$1=1,"Fonte: Entidade Orçamental.","Source: Budgetary Entity.")</f>
        <v>Fonte: Entidade Orçamental.</v>
      </c>
      <c r="C62" s="146"/>
      <c r="D62" s="146"/>
      <c r="E62" s="28"/>
      <c r="F62" s="179"/>
      <c r="I62" s="147"/>
    </row>
    <row r="63" spans="2:9" ht="14.85" customHeight="1"/>
  </sheetData>
  <mergeCells count="4">
    <mergeCell ref="B10:B11"/>
    <mergeCell ref="E10:F10"/>
    <mergeCell ref="H10:I10"/>
    <mergeCell ref="B61:I61"/>
  </mergeCells>
  <conditionalFormatting sqref="C12:I28">
    <cfRule type="cellIs" dxfId="68" priority="1" operator="equal">
      <formula>0</formula>
    </cfRule>
  </conditionalFormatting>
  <conditionalFormatting sqref="C30:I49">
    <cfRule type="cellIs" dxfId="67" priority="2" operator="equal">
      <formula>0</formula>
    </cfRule>
  </conditionalFormatting>
  <conditionalFormatting sqref="C52:I59">
    <cfRule type="cellIs" dxfId="66" priority="3"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D12" formula="1"/>
    <ignoredError sqref="B6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75" zeroHeight="1"/>
  <cols>
    <col min="1" max="1" width="8.5703125" style="46" customWidth="1"/>
    <col min="2" max="2" width="37.5703125" style="46" customWidth="1"/>
    <col min="3" max="4" width="10.42578125" style="46" customWidth="1"/>
    <col min="5" max="6" width="10.42578125" style="47" customWidth="1"/>
    <col min="7" max="9" width="10.42578125" style="46" customWidth="1"/>
    <col min="10" max="10" width="8.5703125" style="46" customWidth="1"/>
    <col min="11" max="16384" width="8.5703125" hidden="1"/>
  </cols>
  <sheetData>
    <row r="1" spans="1:10" ht="14.25" customHeight="1"/>
    <row r="2" spans="1:10" ht="15" customHeight="1"/>
    <row r="3" spans="1:10"/>
    <row r="4" spans="1:10" ht="15" customHeight="1"/>
    <row r="5" spans="1:10" ht="18" customHeight="1">
      <c r="A5"/>
      <c r="B5" s="254" t="str">
        <f>IF(Indice_index!$Z$1=1,"ANEXOS ESTATÍSTICOS","STATISTICAL ANNEXES")</f>
        <v>ANEXOS ESTATÍSTICOS</v>
      </c>
      <c r="C5"/>
      <c r="D5"/>
      <c r="E5"/>
      <c r="F5"/>
      <c r="G5"/>
      <c r="H5"/>
      <c r="I5"/>
      <c r="J5"/>
    </row>
    <row r="6" spans="1:10" ht="18" customHeight="1">
      <c r="A6"/>
      <c r="B6" s="255" t="str">
        <f>IF(Indice_index!$Z$1=1,"Fevereiro de 2026","February 2026")</f>
        <v>Fevereiro de 2026</v>
      </c>
      <c r="C6"/>
      <c r="D6"/>
      <c r="E6"/>
      <c r="F6"/>
      <c r="G6"/>
      <c r="H6"/>
      <c r="I6"/>
      <c r="J6"/>
    </row>
    <row r="7" spans="1:10" ht="49.5" customHeight="1">
      <c r="B7" s="12"/>
      <c r="C7" s="13"/>
      <c r="D7" s="11"/>
      <c r="E7" s="11"/>
      <c r="F7" s="11"/>
      <c r="G7" s="11"/>
      <c r="H7" s="11"/>
      <c r="I7" s="11"/>
    </row>
    <row r="8" spans="1:10">
      <c r="B8" s="1" t="str">
        <f>IF(Indice_index!$Z$1=1,"Quadro 4 - Conta Consolidada da Administração Central","4 - Central Government Account")</f>
        <v>Quadro 4 - Conta Consolidada da Administração Central</v>
      </c>
      <c r="C8" s="2"/>
      <c r="D8" s="2"/>
      <c r="E8" s="2"/>
      <c r="F8" s="2"/>
      <c r="G8" s="2"/>
      <c r="H8" s="2"/>
      <c r="I8" s="2"/>
    </row>
    <row r="9" spans="1:10" ht="15">
      <c r="B9" s="3" t="str">
        <f>+'3 - Conta AC + SS'!B9</f>
        <v>Período: janeiro a fevereiro</v>
      </c>
      <c r="C9" s="3"/>
      <c r="D9" s="3"/>
      <c r="E9" s="3"/>
      <c r="F9" s="3"/>
      <c r="G9" s="3"/>
      <c r="H9" s="3"/>
      <c r="I9" s="3" t="str">
        <f>IF(Indice_index!$Z$1=1,"€ Milhões","€ Millions")</f>
        <v>€ Milhões</v>
      </c>
    </row>
    <row r="10" spans="1:10"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0"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0" ht="14.1" customHeight="1">
      <c r="B12" s="167" t="str">
        <f>IF(Indice_index!$Z$1=1,"Receita corrente","Current revenue")</f>
        <v>Receita corrente</v>
      </c>
      <c r="C12" s="128">
        <f>+C14+C15+C16+C17+C20+C21</f>
        <v>85353.025522270007</v>
      </c>
      <c r="D12" s="128">
        <f>+D14+D15+D16+D17+D20+D21</f>
        <v>90923.958180000001</v>
      </c>
      <c r="E12" s="128">
        <f>+E14+E15+E16+E17+E20+E21</f>
        <v>12838.438796490002</v>
      </c>
      <c r="F12" s="128">
        <f>+F14+F15+F16+F17+F20+F21</f>
        <v>13151.305284280003</v>
      </c>
      <c r="G12" s="128">
        <f>IFERROR(IF(F12/D12*100&lt;-500,"-",IF(F12/D12*100&gt;500,"-",F12/D12*100)),"-")</f>
        <v>14.464070358930783</v>
      </c>
      <c r="H12" s="128">
        <f>IF(IFERROR((F12-E12)/E12*100,"")&gt;500,"-",IFERROR((F12-E12)/E12*100,""))</f>
        <v>2.4369511959315329</v>
      </c>
      <c r="I12" s="128">
        <f t="shared" ref="I12:I20" si="0">IFERROR((F12-E12)/$E$29*100,"")</f>
        <v>2.3744912759468764</v>
      </c>
    </row>
    <row r="13" spans="1:10" ht="14.1" customHeight="1">
      <c r="B13" s="121" t="str">
        <f>IF(Indice_index!$Z$1=1,"Receita fiscal","Tax")</f>
        <v>Receita fiscal</v>
      </c>
      <c r="C13" s="4">
        <f>+C14+C15</f>
        <v>65569.943349770008</v>
      </c>
      <c r="D13" s="4">
        <f>+D14+D15</f>
        <v>67918.501520000005</v>
      </c>
      <c r="E13" s="4">
        <f>+E14+E15</f>
        <v>9833.9322839400011</v>
      </c>
      <c r="F13" s="4">
        <f>+F14+F15</f>
        <v>9781.4108343100015</v>
      </c>
      <c r="G13" s="4">
        <f t="shared" ref="G13:G27" si="1">IFERROR(IF(F13/D13*100&lt;-500,"-",IF(F13/D13*100&gt;500,"-",F13/D13*100)),"-")</f>
        <v>14.40168822250836</v>
      </c>
      <c r="H13" s="4">
        <f t="shared" ref="H13:H27" si="2">IF(IFERROR((F13-E13)/E13*100,"")&gt;500,"-",IFERROR((F13-E13)/E13*100,""))</f>
        <v>-0.534083905741078</v>
      </c>
      <c r="I13" s="4">
        <f t="shared" si="0"/>
        <v>-0.39861004234568242</v>
      </c>
    </row>
    <row r="14" spans="1:10" ht="14.1" customHeight="1">
      <c r="B14" s="165" t="str">
        <f>IF(Indice_index!$Z$1=1,"Impostos diretos ","Direct taxes")</f>
        <v xml:space="preserve">Impostos diretos </v>
      </c>
      <c r="C14" s="4">
        <v>28835.30717819</v>
      </c>
      <c r="D14" s="4">
        <v>29467.748506</v>
      </c>
      <c r="E14" s="4">
        <v>3514.87287251</v>
      </c>
      <c r="F14" s="4">
        <v>3413.6998501400003</v>
      </c>
      <c r="G14" s="4">
        <f t="shared" si="1"/>
        <v>11.584528928109076</v>
      </c>
      <c r="H14" s="4">
        <f t="shared" si="2"/>
        <v>-2.8784262202277371</v>
      </c>
      <c r="I14" s="4">
        <f t="shared" si="0"/>
        <v>-0.767849764529559</v>
      </c>
    </row>
    <row r="15" spans="1:10" ht="14.1" customHeight="1">
      <c r="B15" s="165" t="str">
        <f>IF(Indice_index!$Z$1=1,"Impostos indiretos","Indirect taxes")</f>
        <v>Impostos indiretos</v>
      </c>
      <c r="C15" s="4">
        <v>36734.636171580001</v>
      </c>
      <c r="D15" s="4">
        <v>38450.753014000002</v>
      </c>
      <c r="E15" s="4">
        <v>6319.0594114300011</v>
      </c>
      <c r="F15" s="4">
        <v>6367.7109841700003</v>
      </c>
      <c r="G15" s="4">
        <f t="shared" si="1"/>
        <v>16.560692535336052</v>
      </c>
      <c r="H15" s="4">
        <f t="shared" si="2"/>
        <v>0.76991795095323179</v>
      </c>
      <c r="I15" s="4">
        <f t="shared" si="0"/>
        <v>0.36923972218386963</v>
      </c>
    </row>
    <row r="16" spans="1:10" ht="14.1" customHeight="1">
      <c r="B16" s="121" t="str">
        <f>IF(Indice_index!$Z$1=1,"Contribuições para Segurança Social, CGA e ADSE","Social security, CGA and ADSE contributions")</f>
        <v>Contribuições para Segurança Social, CGA e ADSE</v>
      </c>
      <c r="C16" s="4">
        <v>4691.689316160001</v>
      </c>
      <c r="D16" s="4">
        <v>4493.6075000000001</v>
      </c>
      <c r="E16" s="4">
        <v>625.61403859999996</v>
      </c>
      <c r="F16" s="4">
        <v>655.67248889000007</v>
      </c>
      <c r="G16" s="4">
        <f t="shared" si="1"/>
        <v>14.591227402259769</v>
      </c>
      <c r="H16" s="4">
        <f t="shared" si="2"/>
        <v>4.8046316795040207</v>
      </c>
      <c r="I16" s="4">
        <f t="shared" si="0"/>
        <v>0.22812775023061826</v>
      </c>
    </row>
    <row r="17" spans="2:9" ht="14.1" customHeight="1">
      <c r="B17" s="121" t="str">
        <f>IF(Indice_index!$Z$1=1,"Transferências Correntes","Current transfers")</f>
        <v>Transferências Correntes</v>
      </c>
      <c r="C17" s="4">
        <f>+C18+C19</f>
        <v>4171.361366600001</v>
      </c>
      <c r="D17" s="4">
        <f>+D18+D19</f>
        <v>5761.3689320000003</v>
      </c>
      <c r="E17" s="4">
        <f>+E18+E19</f>
        <v>660.68833771000004</v>
      </c>
      <c r="F17" s="4">
        <f>+F18+F19</f>
        <v>781.97855066</v>
      </c>
      <c r="G17" s="4">
        <f t="shared" si="1"/>
        <v>13.572790770552931</v>
      </c>
      <c r="H17" s="4">
        <f t="shared" si="2"/>
        <v>18.358158609307647</v>
      </c>
      <c r="I17" s="4">
        <f t="shared" si="0"/>
        <v>0.92052860803942627</v>
      </c>
    </row>
    <row r="18" spans="2:9" ht="14.1" customHeight="1">
      <c r="B18" s="165" t="str">
        <f>IF(Indice_index!$Z$1=1,"Administrações Públicas","General Government subsectors")</f>
        <v>Administrações Públicas</v>
      </c>
      <c r="C18" s="4">
        <v>2155.3677807599997</v>
      </c>
      <c r="D18" s="4">
        <v>2386.8044880000002</v>
      </c>
      <c r="E18" s="4">
        <v>431.44078206</v>
      </c>
      <c r="F18" s="4">
        <v>425.33538705000001</v>
      </c>
      <c r="G18" s="4">
        <f t="shared" si="1"/>
        <v>17.820286043051883</v>
      </c>
      <c r="H18" s="4">
        <f t="shared" si="2"/>
        <v>-1.4151177319975572</v>
      </c>
      <c r="I18" s="4">
        <f t="shared" si="0"/>
        <v>-4.6336721103812331E-2</v>
      </c>
    </row>
    <row r="19" spans="2:9" ht="14.1" customHeight="1">
      <c r="B19" s="165" t="str">
        <f>IF(Indice_index!$Z$1=1,"Outras","Others")</f>
        <v>Outras</v>
      </c>
      <c r="C19" s="4">
        <v>2015.9935858400011</v>
      </c>
      <c r="D19" s="4">
        <v>3374.5644440000001</v>
      </c>
      <c r="E19" s="4">
        <v>229.24755565000009</v>
      </c>
      <c r="F19" s="4">
        <v>356.64316360999999</v>
      </c>
      <c r="G19" s="4">
        <f t="shared" si="1"/>
        <v>10.568568759862154</v>
      </c>
      <c r="H19" s="4">
        <f t="shared" si="2"/>
        <v>55.571195775146684</v>
      </c>
      <c r="I19" s="4">
        <f t="shared" si="0"/>
        <v>0.96686532914323808</v>
      </c>
    </row>
    <row r="20" spans="2:9" ht="14.1" customHeight="1">
      <c r="B20" s="121" t="str">
        <f>IF(Indice_index!$Z$1=1,"Outras receitas correntes","Other current revenue")</f>
        <v>Outras receitas correntes</v>
      </c>
      <c r="C20" s="4">
        <v>10900.681210319997</v>
      </c>
      <c r="D20" s="4">
        <v>12412.131274000003</v>
      </c>
      <c r="E20" s="4">
        <v>1567.8674991300013</v>
      </c>
      <c r="F20" s="4">
        <v>1909.8845536700014</v>
      </c>
      <c r="G20" s="4">
        <f t="shared" si="1"/>
        <v>15.387241010499814</v>
      </c>
      <c r="H20" s="4">
        <f t="shared" si="2"/>
        <v>21.814155515678653</v>
      </c>
      <c r="I20" s="4">
        <f t="shared" si="0"/>
        <v>2.5957286699730453</v>
      </c>
    </row>
    <row r="21" spans="2:9" ht="14.1" customHeight="1">
      <c r="B21" s="121" t="str">
        <f>IF(Indice_index!$Z$1=1,"Diferenças de consolidação","Consolidation differences")</f>
        <v>Diferenças de consolidação</v>
      </c>
      <c r="C21" s="4">
        <v>19.350279419999708</v>
      </c>
      <c r="D21" s="4">
        <v>338.34895400000232</v>
      </c>
      <c r="E21" s="4">
        <v>150.33663710999858</v>
      </c>
      <c r="F21" s="4">
        <v>22.358856749999639</v>
      </c>
      <c r="G21" s="4"/>
      <c r="H21" s="4"/>
      <c r="I21" s="4"/>
    </row>
    <row r="22" spans="2:9" ht="14.1" customHeight="1">
      <c r="B22" s="167" t="str">
        <f>IF(Indice_index!$Z$1=1,"Receita de capital","Capital revenue")</f>
        <v>Receita de capital</v>
      </c>
      <c r="C22" s="128">
        <f>+C23+C24+C27+C28</f>
        <v>2605.3531449799993</v>
      </c>
      <c r="D22" s="128">
        <f>+D23+D24+D27+D28</f>
        <v>5096.6631779999989</v>
      </c>
      <c r="E22" s="128">
        <f>+E23+E24+E27+E28</f>
        <v>337.70933087000009</v>
      </c>
      <c r="F22" s="128">
        <f>+F23+F24+F27+F28</f>
        <v>425.18911263000001</v>
      </c>
      <c r="G22" s="128">
        <f t="shared" si="1"/>
        <v>8.3424997450361271</v>
      </c>
      <c r="H22" s="128">
        <f t="shared" si="2"/>
        <v>25.903868730732505</v>
      </c>
      <c r="I22" s="128">
        <f t="shared" ref="I22:I27" si="3">IFERROR((F22-E22)/$E$29*100,"")</f>
        <v>0.66392530589687249</v>
      </c>
    </row>
    <row r="23" spans="2:9" ht="14.1" customHeight="1">
      <c r="B23" s="121" t="str">
        <f>IF(Indice_index!$Z$1=1,"Venda de bens de investimento","Sale of investment goods")</f>
        <v>Venda de bens de investimento</v>
      </c>
      <c r="C23" s="4">
        <v>73.006481570000005</v>
      </c>
      <c r="D23" s="4">
        <v>1215.5939530000001</v>
      </c>
      <c r="E23" s="4">
        <v>14.09921026</v>
      </c>
      <c r="F23" s="4">
        <v>3.8327362000000003</v>
      </c>
      <c r="G23" s="4">
        <f t="shared" si="1"/>
        <v>0.31529740589290345</v>
      </c>
      <c r="H23" s="4">
        <f t="shared" si="2"/>
        <v>-72.815951182218924</v>
      </c>
      <c r="I23" s="4">
        <f t="shared" si="3"/>
        <v>-7.7917111744379056E-2</v>
      </c>
    </row>
    <row r="24" spans="2:9" ht="14.1" customHeight="1">
      <c r="B24" s="121" t="str">
        <f>IF(Indice_index!$Z$1=1,"Transferências de Capital","Capital transfers")</f>
        <v>Transferências de Capital</v>
      </c>
      <c r="C24" s="4">
        <f>+C25+C26</f>
        <v>2364.5825228499994</v>
      </c>
      <c r="D24" s="4">
        <f>+D25+D26</f>
        <v>3831.5733739999996</v>
      </c>
      <c r="E24" s="4">
        <f>+E25+E26</f>
        <v>310.14043444000009</v>
      </c>
      <c r="F24" s="4">
        <f>+F25+F26</f>
        <v>358.06989871999997</v>
      </c>
      <c r="G24" s="4">
        <f t="shared" si="1"/>
        <v>9.3452444666664505</v>
      </c>
      <c r="H24" s="4">
        <f t="shared" si="2"/>
        <v>15.454116573526736</v>
      </c>
      <c r="I24" s="4">
        <f t="shared" si="3"/>
        <v>0.36375930064474093</v>
      </c>
    </row>
    <row r="25" spans="2:9" ht="14.1" customHeight="1">
      <c r="B25" s="165" t="str">
        <f>IF(Indice_index!$Z$1=1,"Administrações Públicas","General Government subsectors")</f>
        <v>Administrações Públicas</v>
      </c>
      <c r="C25" s="4">
        <v>9.5115909199999997</v>
      </c>
      <c r="D25" s="4">
        <v>19.085208999999999</v>
      </c>
      <c r="E25" s="4">
        <v>0.78781619999999997</v>
      </c>
      <c r="F25" s="4">
        <v>2.1991596600000003</v>
      </c>
      <c r="G25" s="4">
        <f t="shared" si="1"/>
        <v>11.522848190973441</v>
      </c>
      <c r="H25" s="4">
        <f t="shared" si="2"/>
        <v>179.14628564378344</v>
      </c>
      <c r="I25" s="4">
        <f t="shared" si="3"/>
        <v>1.0711350892218452E-2</v>
      </c>
    </row>
    <row r="26" spans="2:9" ht="14.1" customHeight="1">
      <c r="B26" s="165" t="str">
        <f>IF(Indice_index!$Z$1=1,"Outras","Others")</f>
        <v>Outras</v>
      </c>
      <c r="C26" s="4">
        <v>2355.0709319299995</v>
      </c>
      <c r="D26" s="4">
        <v>3812.4881649999998</v>
      </c>
      <c r="E26" s="4">
        <v>309.35261824000008</v>
      </c>
      <c r="F26" s="4">
        <v>355.87073905999995</v>
      </c>
      <c r="G26" s="4">
        <f t="shared" si="1"/>
        <v>9.3343434433979411</v>
      </c>
      <c r="H26" s="4">
        <f t="shared" si="2"/>
        <v>15.037248136012366</v>
      </c>
      <c r="I26" s="4">
        <f t="shared" si="3"/>
        <v>0.35304794975252241</v>
      </c>
    </row>
    <row r="27" spans="2:9" ht="14.1" customHeight="1">
      <c r="B27" s="121" t="str">
        <f>IF(Indice_index!$Z$1=1,"Outras receitas de capital","Other capital revenue")</f>
        <v>Outras receitas de capital</v>
      </c>
      <c r="C27" s="4">
        <v>133.84625595</v>
      </c>
      <c r="D27" s="4">
        <v>33.216501000000001</v>
      </c>
      <c r="E27" s="4">
        <v>1.6286045200000003</v>
      </c>
      <c r="F27" s="4">
        <v>23.907444779999995</v>
      </c>
      <c r="G27" s="4">
        <f t="shared" si="1"/>
        <v>71.974603164854699</v>
      </c>
      <c r="H27" s="4" t="str">
        <f t="shared" si="2"/>
        <v>-</v>
      </c>
      <c r="I27" s="4">
        <f t="shared" si="3"/>
        <v>0.16908462203561933</v>
      </c>
    </row>
    <row r="28" spans="2:9" ht="14.1" customHeight="1">
      <c r="B28" s="121" t="str">
        <f>IF(Indice_index!$Z$1=1,"Diferenças de consolidação","Consolidation differences")</f>
        <v>Diferenças de consolidação</v>
      </c>
      <c r="C28" s="4">
        <v>33.917884609999874</v>
      </c>
      <c r="D28" s="4">
        <v>16.279350000000171</v>
      </c>
      <c r="E28" s="4">
        <v>11.841081650000001</v>
      </c>
      <c r="F28" s="4">
        <v>39.379032930000044</v>
      </c>
      <c r="G28" s="4"/>
      <c r="H28" s="4"/>
      <c r="I28" s="4"/>
    </row>
    <row r="29" spans="2:9" ht="14.1" customHeight="1">
      <c r="B29" s="29" t="str">
        <f>IF(Indice_index!$Z$1=1,"Receita efetiva","Effective revenue")</f>
        <v>Receita efetiva</v>
      </c>
      <c r="C29" s="18">
        <f>+C12+C22</f>
        <v>87958.378667250014</v>
      </c>
      <c r="D29" s="18">
        <f>+D12+D22</f>
        <v>96020.621358000004</v>
      </c>
      <c r="E29" s="18">
        <f>+E12+E22</f>
        <v>13176.148127360002</v>
      </c>
      <c r="F29" s="18">
        <f>+F12+F22</f>
        <v>13576.494396910002</v>
      </c>
      <c r="G29" s="18">
        <f>IFERROR(IF(F29/D29*100&lt;-500,"-",IF(F29/D29*100&gt;500,"-",F29/D29*100)),"-")</f>
        <v>14.13914449302704</v>
      </c>
      <c r="H29" s="18">
        <f t="shared" ref="H29:H48" si="4">IF(IFERROR((F29-E29)/E29*100,"")&gt;500,"-",IFERROR((F29-E29)/E29*100,""))</f>
        <v>3.0384165818437436</v>
      </c>
      <c r="I29" s="18"/>
    </row>
    <row r="30" spans="2:9" ht="14.1" customHeight="1">
      <c r="B30" s="167" t="str">
        <f>IF(Indice_index!$Z$1=1,"Despesa corrente","Current expenditure")</f>
        <v>Despesa corrente</v>
      </c>
      <c r="C30" s="128">
        <f>+C31+C35+C36+C37+C40+C41+C42</f>
        <v>85746.665179980017</v>
      </c>
      <c r="D30" s="128">
        <f>+D31+D35+D36+D37+D40+D41+D42</f>
        <v>92011.595238000009</v>
      </c>
      <c r="E30" s="128">
        <f>+E31+E35+E36+E37+E40+E41+E42</f>
        <v>11651.906769359999</v>
      </c>
      <c r="F30" s="128">
        <f>+F31+F35+F36+F37+F40+F41+F42</f>
        <v>12491.191033970001</v>
      </c>
      <c r="G30" s="128">
        <f t="shared" ref="G30:G48" si="5">IFERROR(IF(F30/D30*100&lt;-500,"-",IF(F30/D30*100&gt;500,"-",F30/D30*100)),"-")</f>
        <v>13.575670546369622</v>
      </c>
      <c r="H30" s="128">
        <f t="shared" si="4"/>
        <v>7.2029778578128862</v>
      </c>
      <c r="I30" s="128">
        <f t="shared" ref="I30:I41" si="6">IFERROR((F30-E30)/$E$50*100,"")</f>
        <v>6.6319394938593508</v>
      </c>
    </row>
    <row r="31" spans="2:9" ht="14.1" customHeight="1">
      <c r="B31" s="121" t="str">
        <f>IF(Indice_index!$Z$1=1,"Despesas com o pessoal","Employees")</f>
        <v>Despesas com o pessoal</v>
      </c>
      <c r="C31" s="4">
        <f>+C32+C33+C34</f>
        <v>23785.32746434</v>
      </c>
      <c r="D31" s="4">
        <f>+D32+D33+D34</f>
        <v>24964.771517999998</v>
      </c>
      <c r="E31" s="4">
        <f>+E32+E33+E34</f>
        <v>3370.0620593499998</v>
      </c>
      <c r="F31" s="4">
        <f>+F32+F33+F34</f>
        <v>3547.1770343500007</v>
      </c>
      <c r="G31" s="4">
        <f t="shared" si="5"/>
        <v>14.208730217268078</v>
      </c>
      <c r="H31" s="4">
        <f t="shared" si="4"/>
        <v>5.2555404583309633</v>
      </c>
      <c r="I31" s="4">
        <f t="shared" si="6"/>
        <v>1.3995446443908222</v>
      </c>
    </row>
    <row r="32" spans="2:9" ht="14.1" customHeight="1">
      <c r="B32" s="165" t="str">
        <f>IF(Indice_index!$Z$1=1,"Remunerações Certas e Permanentes","Certain and permanent wages")</f>
        <v>Remunerações Certas e Permanentes</v>
      </c>
      <c r="C32" s="4">
        <v>16885.320131820001</v>
      </c>
      <c r="D32" s="4">
        <v>17879.970764999998</v>
      </c>
      <c r="E32" s="4">
        <v>2368.1986491399998</v>
      </c>
      <c r="F32" s="4">
        <v>2500.0956641800003</v>
      </c>
      <c r="G32" s="4">
        <f t="shared" si="5"/>
        <v>13.982660805430017</v>
      </c>
      <c r="H32" s="4">
        <f t="shared" si="4"/>
        <v>5.5695080768624825</v>
      </c>
      <c r="I32" s="4">
        <f t="shared" si="6"/>
        <v>1.0422368916595985</v>
      </c>
    </row>
    <row r="33" spans="2:9" ht="14.1" customHeight="1">
      <c r="B33" s="165" t="str">
        <f>IF(Indice_index!$Z$1=1,"Abonos Variáveis ou Eventuais","Variable or contingent bonuses")</f>
        <v>Abonos Variáveis ou Eventuais</v>
      </c>
      <c r="C33" s="4">
        <v>1814.8913152599998</v>
      </c>
      <c r="D33" s="4">
        <v>1842.2170060000001</v>
      </c>
      <c r="E33" s="4">
        <v>305.06519818000015</v>
      </c>
      <c r="F33" s="4">
        <v>295.54939202000003</v>
      </c>
      <c r="G33" s="4">
        <f t="shared" si="5"/>
        <v>16.043136669426662</v>
      </c>
      <c r="H33" s="4">
        <f t="shared" si="4"/>
        <v>-3.1192696567064444</v>
      </c>
      <c r="I33" s="4">
        <f t="shared" si="6"/>
        <v>-7.519293920962529E-2</v>
      </c>
    </row>
    <row r="34" spans="2:9" ht="14.1" customHeight="1">
      <c r="B34" s="165" t="str">
        <f>IF(Indice_index!$Z$1=1,"Segurança social","Social security")</f>
        <v>Segurança social</v>
      </c>
      <c r="C34" s="4">
        <v>5085.1160172599975</v>
      </c>
      <c r="D34" s="4">
        <v>5242.5837470000006</v>
      </c>
      <c r="E34" s="4">
        <v>696.79821202999983</v>
      </c>
      <c r="F34" s="4">
        <v>751.5319781500001</v>
      </c>
      <c r="G34" s="4">
        <f t="shared" si="5"/>
        <v>14.335144928873181</v>
      </c>
      <c r="H34" s="4">
        <f t="shared" si="4"/>
        <v>7.8550382557014613</v>
      </c>
      <c r="I34" s="4">
        <f t="shared" si="6"/>
        <v>0.43250069194084706</v>
      </c>
    </row>
    <row r="35" spans="2:9" ht="14.1" customHeight="1">
      <c r="B35" s="121" t="str">
        <f>IF(Indice_index!$Z$1=1,"Aquisição de bens e serviços","Purchase of goods and services")</f>
        <v>Aquisição de bens e serviços</v>
      </c>
      <c r="C35" s="4">
        <v>14849.877697909998</v>
      </c>
      <c r="D35" s="4">
        <v>14586.811144000001</v>
      </c>
      <c r="E35" s="4">
        <v>1510.0357506500004</v>
      </c>
      <c r="F35" s="4">
        <v>1667.9053808599997</v>
      </c>
      <c r="G35" s="4">
        <f t="shared" si="5"/>
        <v>11.434338625451113</v>
      </c>
      <c r="H35" s="4">
        <f t="shared" si="4"/>
        <v>10.454694873418973</v>
      </c>
      <c r="I35" s="4">
        <f t="shared" si="6"/>
        <v>1.2474698735799328</v>
      </c>
    </row>
    <row r="36" spans="2:9" ht="14.1" customHeight="1">
      <c r="B36" s="121" t="str">
        <f>IF(Indice_index!$Z$1=1,"Juros e outros encargos","Interests and other charges")</f>
        <v>Juros e outros encargos</v>
      </c>
      <c r="C36" s="4">
        <v>6639.9970863400004</v>
      </c>
      <c r="D36" s="4">
        <v>7016.5612379999993</v>
      </c>
      <c r="E36" s="4">
        <v>1075.8341356399999</v>
      </c>
      <c r="F36" s="4">
        <v>1057.6071001799999</v>
      </c>
      <c r="G36" s="4">
        <f t="shared" si="5"/>
        <v>15.073011754707641</v>
      </c>
      <c r="H36" s="4">
        <f t="shared" si="4"/>
        <v>-1.6942235662709286</v>
      </c>
      <c r="I36" s="4">
        <f t="shared" si="6"/>
        <v>-0.14402819333127825</v>
      </c>
    </row>
    <row r="37" spans="2:9" ht="14.1" customHeight="1">
      <c r="B37" s="121" t="str">
        <f>IF(Indice_index!$Z$1=1,"Transferências Correntes","Current transfers")</f>
        <v>Transferências Correntes</v>
      </c>
      <c r="C37" s="4">
        <f>+C38+C39</f>
        <v>38569.729451730003</v>
      </c>
      <c r="D37" s="4">
        <f>+D38+D39</f>
        <v>40741.960355000003</v>
      </c>
      <c r="E37" s="4">
        <f>+E38+E39</f>
        <v>5526.8790464699996</v>
      </c>
      <c r="F37" s="4">
        <f>+F38+F39</f>
        <v>6027.30962568</v>
      </c>
      <c r="G37" s="4">
        <f t="shared" si="5"/>
        <v>14.793862575982567</v>
      </c>
      <c r="H37" s="4">
        <f t="shared" si="4"/>
        <v>9.0544876231663469</v>
      </c>
      <c r="I37" s="4">
        <f t="shared" si="6"/>
        <v>3.9543518949922198</v>
      </c>
    </row>
    <row r="38" spans="2:9" ht="14.1" customHeight="1">
      <c r="B38" s="165" t="str">
        <f>IF(Indice_index!$Z$1=1,"Administrações Públicas","General Government subsectors")</f>
        <v>Administrações Públicas</v>
      </c>
      <c r="C38" s="4">
        <v>19378.338536179999</v>
      </c>
      <c r="D38" s="4">
        <v>20819.270326999998</v>
      </c>
      <c r="E38" s="4">
        <v>2956.8523943300002</v>
      </c>
      <c r="F38" s="4">
        <v>3138.2960169599996</v>
      </c>
      <c r="G38" s="4">
        <f t="shared" si="5"/>
        <v>15.073996195198161</v>
      </c>
      <c r="H38" s="4">
        <f t="shared" si="4"/>
        <v>6.136377418701457</v>
      </c>
      <c r="I38" s="4">
        <f t="shared" si="6"/>
        <v>1.4337491807831828</v>
      </c>
    </row>
    <row r="39" spans="2:9" ht="14.1" customHeight="1">
      <c r="B39" s="165" t="str">
        <f>IF(Indice_index!$Z$1=1,"Outras","Others")</f>
        <v>Outras</v>
      </c>
      <c r="C39" s="4">
        <v>19191.39091555</v>
      </c>
      <c r="D39" s="4">
        <v>19922.690028000001</v>
      </c>
      <c r="E39" s="4">
        <v>2570.0266521399994</v>
      </c>
      <c r="F39" s="4">
        <v>2889.0136087199999</v>
      </c>
      <c r="G39" s="4">
        <f t="shared" si="5"/>
        <v>14.501122110817793</v>
      </c>
      <c r="H39" s="4">
        <f t="shared" si="4"/>
        <v>12.411815119286318</v>
      </c>
      <c r="I39" s="4">
        <f t="shared" si="6"/>
        <v>2.5206027142090335</v>
      </c>
    </row>
    <row r="40" spans="2:9" ht="14.1" customHeight="1">
      <c r="B40" s="121" t="str">
        <f>IF(Indice_index!$Z$1=1,"Subsídios","Subsidies")</f>
        <v>Subsídios</v>
      </c>
      <c r="C40" s="4">
        <v>1107.5808831300001</v>
      </c>
      <c r="D40" s="4">
        <v>989.10218099999997</v>
      </c>
      <c r="E40" s="4">
        <v>130.29094646000001</v>
      </c>
      <c r="F40" s="4">
        <v>127.93822510000001</v>
      </c>
      <c r="G40" s="4">
        <f t="shared" si="5"/>
        <v>12.934783438719363</v>
      </c>
      <c r="H40" s="4">
        <f t="shared" si="4"/>
        <v>-1.8057443160275923</v>
      </c>
      <c r="I40" s="4">
        <f t="shared" si="6"/>
        <v>-1.8590966569212348E-2</v>
      </c>
    </row>
    <row r="41" spans="2:9" ht="14.1" customHeight="1">
      <c r="B41" s="121" t="str">
        <f>IF(Indice_index!$Z$1=1,"Outras despesas correntes","Other current expenditure")</f>
        <v>Outras despesas correntes</v>
      </c>
      <c r="C41" s="4">
        <v>589.47254787000054</v>
      </c>
      <c r="D41" s="4">
        <v>3711.8865450000003</v>
      </c>
      <c r="E41" s="4">
        <v>38.772253179999986</v>
      </c>
      <c r="F41" s="4">
        <v>41.083464949999986</v>
      </c>
      <c r="G41" s="4">
        <f t="shared" si="5"/>
        <v>1.1068082079539956</v>
      </c>
      <c r="H41" s="4">
        <f>IF(IFERROR((F41-E41)/E41*100,"")&gt;500,"-",IFERROR((F41-E41)/E41*100,""))</f>
        <v>5.9609942173600574</v>
      </c>
      <c r="I41" s="4">
        <f t="shared" si="6"/>
        <v>1.8262961981371232E-2</v>
      </c>
    </row>
    <row r="42" spans="2:9" ht="14.1" customHeight="1">
      <c r="B42" s="121" t="str">
        <f>IF(Indice_index!$Z$1=1,"Diferenças de consolidação","Consolidation differences")</f>
        <v>Diferenças de consolidação</v>
      </c>
      <c r="C42" s="4">
        <v>204.68004866000774</v>
      </c>
      <c r="D42" s="4">
        <v>0.5022569999993135</v>
      </c>
      <c r="E42" s="4">
        <v>3.2577610000000007E-2</v>
      </c>
      <c r="F42" s="4">
        <v>22.170202849999995</v>
      </c>
      <c r="G42" s="4"/>
      <c r="H42" s="4"/>
      <c r="I42" s="4"/>
    </row>
    <row r="43" spans="2:9" ht="14.1" customHeight="1">
      <c r="B43" s="167" t="str">
        <f>IF(Indice_index!$Z$1=1,"Despesa de capital","Capital expenditure")</f>
        <v>Despesa de capital</v>
      </c>
      <c r="C43" s="128">
        <f>+C44+C45+C48+C49</f>
        <v>8996.4774797800001</v>
      </c>
      <c r="D43" s="128">
        <f>+D44+D45+D48+D49</f>
        <v>12237.379308</v>
      </c>
      <c r="E43" s="128">
        <f>+E44+E45+E48+E49</f>
        <v>1003.2790233800001</v>
      </c>
      <c r="F43" s="128">
        <f>+F44+F45+F48+F49</f>
        <v>1171.3873297299999</v>
      </c>
      <c r="G43" s="128">
        <f t="shared" si="5"/>
        <v>9.572207416699289</v>
      </c>
      <c r="H43" s="128">
        <f t="shared" si="4"/>
        <v>16.755887687519948</v>
      </c>
      <c r="I43" s="128">
        <f t="shared" ref="I43:I48" si="7">IFERROR((F43-E43)/$E$50*100,"")</f>
        <v>1.3283748583639112</v>
      </c>
    </row>
    <row r="44" spans="2:9" ht="14.1" customHeight="1">
      <c r="B44" s="121" t="str">
        <f>IF(Indice_index!$Z$1=1,"Investimento","Investments")</f>
        <v>Investimento</v>
      </c>
      <c r="C44" s="4">
        <v>5411.3326269800009</v>
      </c>
      <c r="D44" s="4">
        <v>8019.2370219999993</v>
      </c>
      <c r="E44" s="4">
        <v>575.56793645999994</v>
      </c>
      <c r="F44" s="4">
        <v>592.27092010999991</v>
      </c>
      <c r="G44" s="4">
        <f t="shared" si="5"/>
        <v>7.3856268181768669</v>
      </c>
      <c r="H44" s="4">
        <f t="shared" si="4"/>
        <v>2.9020003707521962</v>
      </c>
      <c r="I44" s="4">
        <f t="shared" si="7"/>
        <v>0.13198528985312957</v>
      </c>
    </row>
    <row r="45" spans="2:9" ht="14.1" customHeight="1">
      <c r="B45" s="121" t="str">
        <f>IF(Indice_index!$Z$1=1,"Transferências de capital","Capital transfers")</f>
        <v>Transferências de capital</v>
      </c>
      <c r="C45" s="4">
        <f>+C46+C47</f>
        <v>3293.5567754800004</v>
      </c>
      <c r="D45" s="4">
        <f>+D46+D47</f>
        <v>4002.3661099999999</v>
      </c>
      <c r="E45" s="4">
        <f>+E46+E47</f>
        <v>383.44443008000007</v>
      </c>
      <c r="F45" s="4">
        <f>+F46+F47</f>
        <v>542.85399728999994</v>
      </c>
      <c r="G45" s="4">
        <f t="shared" si="5"/>
        <v>13.563326851425892</v>
      </c>
      <c r="H45" s="4">
        <f t="shared" si="4"/>
        <v>41.573055886283541</v>
      </c>
      <c r="I45" s="4">
        <f t="shared" si="7"/>
        <v>1.259638300225111</v>
      </c>
    </row>
    <row r="46" spans="2:9" ht="14.1" customHeight="1">
      <c r="B46" s="165" t="str">
        <f>IF(Indice_index!$Z$1=1,"Administrações Públicas","General Government subsectors")</f>
        <v>Administrações Públicas</v>
      </c>
      <c r="C46" s="4">
        <v>1747.4281641500002</v>
      </c>
      <c r="D46" s="4">
        <v>1184.259139</v>
      </c>
      <c r="E46" s="4">
        <v>183.11648026</v>
      </c>
      <c r="F46" s="4">
        <v>246.14898454999997</v>
      </c>
      <c r="G46" s="4">
        <f t="shared" si="5"/>
        <v>20.785061009353964</v>
      </c>
      <c r="H46" s="4">
        <f t="shared" si="4"/>
        <v>34.422081617395961</v>
      </c>
      <c r="I46" s="4">
        <f t="shared" si="7"/>
        <v>0.49807648281355399</v>
      </c>
    </row>
    <row r="47" spans="2:9" ht="14.1" customHeight="1">
      <c r="B47" s="165" t="str">
        <f>IF(Indice_index!$Z$1=1,"Outras","Others")</f>
        <v>Outras</v>
      </c>
      <c r="C47" s="4">
        <v>1546.12861133</v>
      </c>
      <c r="D47" s="4">
        <v>2818.1069710000002</v>
      </c>
      <c r="E47" s="4">
        <v>200.32794982000004</v>
      </c>
      <c r="F47" s="4">
        <v>296.70501273999997</v>
      </c>
      <c r="G47" s="4">
        <f t="shared" si="5"/>
        <v>10.528522011168183</v>
      </c>
      <c r="H47" s="4">
        <f t="shared" si="4"/>
        <v>48.109643715016936</v>
      </c>
      <c r="I47" s="4">
        <f t="shared" si="7"/>
        <v>0.76156181741155715</v>
      </c>
    </row>
    <row r="48" spans="2:9" ht="14.1" customHeight="1">
      <c r="B48" s="121" t="str">
        <f>IF(Indice_index!$Z$1=1,"Outras despesas de capital","Other capital expenditure")</f>
        <v>Outras despesas de capital</v>
      </c>
      <c r="C48" s="4">
        <v>106.00231536000001</v>
      </c>
      <c r="D48" s="4">
        <v>215.77617599999999</v>
      </c>
      <c r="E48" s="4">
        <v>13.746454679999999</v>
      </c>
      <c r="F48" s="4">
        <v>11.572782869999999</v>
      </c>
      <c r="G48" s="4">
        <f t="shared" si="5"/>
        <v>5.3633274463071405</v>
      </c>
      <c r="H48" s="4">
        <f t="shared" si="4"/>
        <v>-15.812599398174426</v>
      </c>
      <c r="I48" s="4">
        <f t="shared" si="7"/>
        <v>-1.7176135108557533E-2</v>
      </c>
    </row>
    <row r="49" spans="2:9" ht="14.1" customHeight="1">
      <c r="B49" s="121" t="str">
        <f>IF(Indice_index!$Z$1=1,"Diferenças de consolidação","Consolidation differences")</f>
        <v>Diferenças de consolidação</v>
      </c>
      <c r="C49" s="4">
        <v>185.58576195999976</v>
      </c>
      <c r="D49" s="4">
        <v>0</v>
      </c>
      <c r="E49" s="4">
        <v>30.520202159999997</v>
      </c>
      <c r="F49" s="4">
        <v>24.689629459999978</v>
      </c>
      <c r="G49" s="4"/>
      <c r="H49" s="4"/>
      <c r="I49" s="4"/>
    </row>
    <row r="50" spans="2:9" ht="14.1" customHeight="1">
      <c r="B50" s="29" t="str">
        <f>IF(Indice_index!$Z$1=1,"Despesa efetiva","Effective Expenditure")</f>
        <v>Despesa efetiva</v>
      </c>
      <c r="C50" s="267">
        <f>+C30+C43</f>
        <v>94743.142659760022</v>
      </c>
      <c r="D50" s="18">
        <f>+D30+D43</f>
        <v>104248.97454600001</v>
      </c>
      <c r="E50" s="267">
        <f>+E30+E43</f>
        <v>12655.18579274</v>
      </c>
      <c r="F50" s="267">
        <f>+F30+F43</f>
        <v>13662.5783637</v>
      </c>
      <c r="G50" s="18">
        <f>IFERROR(IF(F50/D50*100&lt;-500,"-",IF(F50/D50*100&gt;500,"-",F50/D50*100)),"-")</f>
        <v>13.105719670816876</v>
      </c>
      <c r="H50" s="18">
        <f>IFERROR((F50-E50)/E50*100,"")</f>
        <v>7.9603143522232562</v>
      </c>
      <c r="I50" s="18"/>
    </row>
    <row r="51" spans="2:9" ht="14.1" customHeight="1">
      <c r="B51" s="29" t="str">
        <f>IF(Indice_index!$Z$1=1,"Saldo global","Overall balance")</f>
        <v>Saldo global</v>
      </c>
      <c r="C51" s="267">
        <f>+C29-C50</f>
        <v>-6784.7639925100084</v>
      </c>
      <c r="D51" s="18">
        <f>+D29-D50</f>
        <v>-8228.3531880000082</v>
      </c>
      <c r="E51" s="267">
        <f>+E29-E50</f>
        <v>520.96233462000237</v>
      </c>
      <c r="F51" s="267">
        <f>+F29-F50</f>
        <v>-86.083966789998158</v>
      </c>
      <c r="G51" s="18"/>
      <c r="H51" s="18"/>
      <c r="I51" s="18"/>
    </row>
    <row r="52" spans="2:9" ht="14.1" customHeight="1">
      <c r="B52" s="303" t="str">
        <f>IF(Indice_index!$Z$1=1,"   Por memória:","   Memo item:")</f>
        <v xml:space="preserve">   Por memória:</v>
      </c>
      <c r="C52" s="4"/>
      <c r="D52" s="4"/>
      <c r="E52" s="4"/>
      <c r="F52" s="4"/>
      <c r="G52" s="4"/>
      <c r="H52" s="4"/>
      <c r="I52" s="4"/>
    </row>
    <row r="53" spans="2:9" ht="14.1" customHeight="1">
      <c r="B53" s="165" t="str">
        <f>IF(Indice_index!$Z$1=1,"Despesa primária","Primary expenditure")</f>
        <v>Despesa primária</v>
      </c>
      <c r="C53" s="4">
        <f>+C50-C36</f>
        <v>88103.145573420028</v>
      </c>
      <c r="D53" s="4">
        <f>+D50-D36</f>
        <v>97232.413308000017</v>
      </c>
      <c r="E53" s="4">
        <f>+E50-E36</f>
        <v>11579.3516571</v>
      </c>
      <c r="F53" s="4">
        <f>+F50-F36</f>
        <v>12604.971263520001</v>
      </c>
      <c r="G53" s="4">
        <f>IFERROR(IF(F53/D53*100&lt;-500,"-",IF(F53/D53*100&gt;500,"-",F53/D53*100)),"-")</f>
        <v>12.963754405222499</v>
      </c>
      <c r="H53" s="4">
        <f>IFERROR((F53-E53)/E53*100,"")</f>
        <v>8.8573146130433997</v>
      </c>
      <c r="I53" s="4">
        <f>IFERROR((F53-E53)/$E$50*100,"")</f>
        <v>8.1043425455545375</v>
      </c>
    </row>
    <row r="54" spans="2:9" ht="14.1" customHeight="1">
      <c r="B54" s="165" t="str">
        <f>IF(Indice_index!$Z$1=1,"Saldo corrente","Current balance")</f>
        <v>Saldo corrente</v>
      </c>
      <c r="C54" s="4">
        <f>+C12-C30</f>
        <v>-393.63965771000949</v>
      </c>
      <c r="D54" s="4">
        <f>+D12-D30</f>
        <v>-1087.6370580000075</v>
      </c>
      <c r="E54" s="4">
        <f>+E12-E30</f>
        <v>1186.5320271300025</v>
      </c>
      <c r="F54" s="4">
        <f>+F12-F30</f>
        <v>660.11425031000181</v>
      </c>
      <c r="G54" s="4"/>
      <c r="H54" s="4"/>
      <c r="I54" s="4"/>
    </row>
    <row r="55" spans="2:9" ht="14.1" customHeight="1">
      <c r="B55" s="165" t="str">
        <f>IF(Indice_index!$Z$1=1,"Saldo de capital","Capital balance")</f>
        <v>Saldo de capital</v>
      </c>
      <c r="C55" s="4">
        <f>+C22-C43</f>
        <v>-6391.1243348000007</v>
      </c>
      <c r="D55" s="4">
        <f>+D22-D43</f>
        <v>-7140.7161300000007</v>
      </c>
      <c r="E55" s="4">
        <f>+E22-E43</f>
        <v>-665.5696925100001</v>
      </c>
      <c r="F55" s="4">
        <f>+F22-F43</f>
        <v>-746.19821709999997</v>
      </c>
      <c r="G55" s="4"/>
      <c r="H55" s="4"/>
      <c r="I55" s="4"/>
    </row>
    <row r="56" spans="2:9" ht="14.1" customHeight="1">
      <c r="B56" s="165" t="str">
        <f>IF(Indice_index!$Z$1=1,"Saldo primário","Primary balance")</f>
        <v>Saldo primário</v>
      </c>
      <c r="C56" s="4">
        <f>+C51+C36</f>
        <v>-144.76690617000804</v>
      </c>
      <c r="D56" s="4">
        <f>+D51+D36</f>
        <v>-1211.7919500000089</v>
      </c>
      <c r="E56" s="4">
        <f>+E51+E36</f>
        <v>1596.7964702600023</v>
      </c>
      <c r="F56" s="4">
        <f>+F51+F36</f>
        <v>971.5231333900017</v>
      </c>
      <c r="G56" s="4"/>
      <c r="H56" s="4"/>
      <c r="I56" s="4"/>
    </row>
    <row r="57" spans="2:9" ht="14.1" customHeight="1">
      <c r="B57" s="165" t="str">
        <f>IF(Indice_index!$Z$1=1,"Transferências para a Administração Local","Transfers to Local Administration")</f>
        <v>Transferências para a Administração Local</v>
      </c>
      <c r="C57" s="258">
        <v>6130.9790223599994</v>
      </c>
      <c r="D57" s="4">
        <v>6161.7315399999998</v>
      </c>
      <c r="E57" s="258">
        <v>992.71141892000003</v>
      </c>
      <c r="F57" s="258">
        <v>1025.45648714</v>
      </c>
      <c r="G57" s="4"/>
      <c r="H57" s="4"/>
      <c r="I57" s="4"/>
    </row>
    <row r="58" spans="2:9" ht="14.1" customHeight="1">
      <c r="B58" s="304" t="str">
        <f>IF(Indice_index!$Z$1=1,"Transferências para as Regiões Autónomas","Transfers to the Autonomous Regions")</f>
        <v>Transferências para as Regiões Autónomas</v>
      </c>
      <c r="C58" s="305">
        <v>724.03376300000002</v>
      </c>
      <c r="D58" s="19">
        <v>555.48952999999995</v>
      </c>
      <c r="E58" s="305">
        <v>181.00844075000001</v>
      </c>
      <c r="F58" s="305">
        <v>138.87238249999999</v>
      </c>
      <c r="G58" s="19"/>
      <c r="H58" s="19"/>
      <c r="I58" s="19"/>
    </row>
    <row r="59" spans="2:9" ht="15">
      <c r="B59" s="9" t="str">
        <f>IF(Indice_index!$Z$1=1,"Nota:","Note:")</f>
        <v>Nota:</v>
      </c>
      <c r="C59" s="9"/>
      <c r="D59" s="9"/>
      <c r="E59" s="9"/>
      <c r="F59" s="9"/>
      <c r="G59" s="9"/>
      <c r="H59" s="9"/>
      <c r="I59" s="9"/>
    </row>
    <row r="60" spans="2:9" ht="15">
      <c r="B60" s="376" t="str">
        <f>+'3 - Conta AC + SS'!$B$61</f>
        <v>Os dados de 2025 são mensalmente revistos e atualizados face ao publicado nas Sínteses de Execução Orçamental de 2025.</v>
      </c>
      <c r="C60" s="376"/>
      <c r="D60" s="376"/>
      <c r="E60" s="376"/>
      <c r="F60" s="376"/>
      <c r="G60" s="376"/>
      <c r="H60" s="376"/>
      <c r="I60" s="376"/>
    </row>
    <row r="61" spans="2:9" ht="15">
      <c r="B61" s="27" t="str">
        <f>IF(Indice_index!$Z$1=1,"Fonte: Entidade Orçamental","Source: Budgetary Entity")</f>
        <v>Fonte: Entidade Orçamental</v>
      </c>
      <c r="C61" s="27"/>
      <c r="D61" s="27"/>
      <c r="E61" s="140"/>
      <c r="F61" s="140"/>
      <c r="H61" s="48"/>
      <c r="I61" s="48"/>
    </row>
    <row r="62" spans="2:9">
      <c r="B62" s="47"/>
      <c r="C62" s="47"/>
      <c r="D62" s="47"/>
      <c r="E62" s="31"/>
      <c r="F62" s="31"/>
      <c r="G62" s="48"/>
      <c r="H62" s="47"/>
      <c r="I62" s="47"/>
    </row>
    <row r="63" spans="2:9" ht="15" hidden="1">
      <c r="B63" s="377"/>
      <c r="C63" s="377"/>
      <c r="D63" s="377"/>
      <c r="E63" s="377"/>
      <c r="F63" s="377"/>
      <c r="G63" s="377"/>
      <c r="H63" s="377"/>
      <c r="I63" s="377"/>
    </row>
  </sheetData>
  <mergeCells count="5">
    <mergeCell ref="B10:B11"/>
    <mergeCell ref="E10:F10"/>
    <mergeCell ref="H10:I10"/>
    <mergeCell ref="B60:I60"/>
    <mergeCell ref="B63:I63"/>
  </mergeCells>
  <conditionalFormatting sqref="C12:I28">
    <cfRule type="cellIs" dxfId="65" priority="3" operator="equal">
      <formula>0</formula>
    </cfRule>
  </conditionalFormatting>
  <conditionalFormatting sqref="C30:I49">
    <cfRule type="cellIs" dxfId="64" priority="2" operator="equal">
      <formula>0</formula>
    </cfRule>
  </conditionalFormatting>
  <conditionalFormatting sqref="C52:I58">
    <cfRule type="cellIs" dxfId="63"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85" customHeight="1" zeroHeight="1"/>
  <cols>
    <col min="1" max="1" width="8.5703125" style="49" customWidth="1"/>
    <col min="2" max="2" width="37.5703125" style="30" customWidth="1"/>
    <col min="3" max="4" width="10.42578125" style="30" customWidth="1"/>
    <col min="5" max="9" width="10.42578125" style="49" customWidth="1"/>
    <col min="10" max="10" width="8.5703125" style="49" customWidth="1"/>
    <col min="11" max="11" width="8.5703125" style="49" hidden="1" customWidth="1"/>
    <col min="12" max="15" width="0" hidden="1" customWidth="1"/>
    <col min="16" max="16384" width="9.42578125" hidden="1"/>
  </cols>
  <sheetData>
    <row r="1" spans="1:11" ht="14.85" customHeight="1"/>
    <row r="2" spans="1:11" ht="15"/>
    <row r="3" spans="1:11" ht="15"/>
    <row r="4" spans="1:11" ht="15"/>
    <row r="5" spans="1:11" ht="18" customHeight="1">
      <c r="A5"/>
      <c r="B5" s="254" t="str">
        <f>IF(Indice_index!$Z$1=1,"ANEXOS ESTATÍSTICOS","STATISTICAL ANNEXES")</f>
        <v>ANEXOS ESTATÍSTICOS</v>
      </c>
      <c r="C5"/>
      <c r="D5"/>
      <c r="E5"/>
      <c r="F5"/>
      <c r="G5"/>
      <c r="H5"/>
      <c r="I5"/>
      <c r="J5"/>
      <c r="K5"/>
    </row>
    <row r="6" spans="1:11" ht="18" customHeight="1">
      <c r="A6"/>
      <c r="B6" s="255" t="str">
        <f>IF(Indice_index!$Z$1=1,"Fevereiro de 2026","February 2026")</f>
        <v>Fevereiro de 2026</v>
      </c>
      <c r="C6"/>
      <c r="D6"/>
      <c r="E6"/>
      <c r="F6"/>
      <c r="G6"/>
      <c r="H6"/>
      <c r="I6"/>
      <c r="J6"/>
      <c r="K6"/>
    </row>
    <row r="7" spans="1:11" ht="50.1" customHeight="1">
      <c r="B7" s="12"/>
      <c r="C7" s="13"/>
      <c r="D7" s="11"/>
      <c r="E7" s="11"/>
      <c r="F7" s="11"/>
      <c r="G7" s="11"/>
      <c r="H7" s="11"/>
      <c r="I7" s="11"/>
    </row>
    <row r="8" spans="1:11" ht="15.75">
      <c r="B8" s="1" t="str">
        <f>IF(Indice_index!$Z$1=1,"Quadro 5 - Execução Orçamental do Estado","5 - State Budget Execution")</f>
        <v>Quadro 5 - Execução Orçamental do Estado</v>
      </c>
      <c r="C8" s="2"/>
      <c r="D8" s="2"/>
      <c r="E8" s="2"/>
      <c r="F8" s="2"/>
      <c r="G8" s="2"/>
      <c r="H8" s="2"/>
      <c r="I8" s="2"/>
    </row>
    <row r="9" spans="1:11" ht="15">
      <c r="B9" s="3" t="str">
        <f>+'3 - Conta AC + SS'!B9</f>
        <v>Período: janeiro a fevereiro</v>
      </c>
      <c r="C9" s="3"/>
      <c r="D9" s="3"/>
      <c r="E9" s="3"/>
      <c r="F9" s="3"/>
      <c r="G9" s="3"/>
      <c r="H9" s="3"/>
      <c r="I9" s="3" t="str">
        <f>IF(Indice_index!$Z$1=1,"€ Milhões","€ Millions")</f>
        <v>€ Milhões</v>
      </c>
    </row>
    <row r="10" spans="1:11"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1"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1" ht="14.1" customHeight="1">
      <c r="B12" s="167" t="str">
        <f>IF(Indice_index!$Z$1=1,"Receita corrente","Current revenue")</f>
        <v>Receita corrente</v>
      </c>
      <c r="C12" s="128">
        <f>+C13+C16+C17+C18+C23+C24</f>
        <v>70025.741615840001</v>
      </c>
      <c r="D12" s="128">
        <f>+D13+D16+D17+D18+D23+D24</f>
        <v>72500.27883700002</v>
      </c>
      <c r="E12" s="128">
        <f>+E13+E16+E17+E18+E23+E24</f>
        <v>10510.522750850001</v>
      </c>
      <c r="F12" s="128">
        <f>+F13+F16+F17+F18+F23+F24</f>
        <v>10820.263719370001</v>
      </c>
      <c r="G12" s="128">
        <f>IFERROR(IF(F12/D12*100&lt;-500,"-",IF(F12/D12*100&gt;500,"-",F12/D12*100)),"-")</f>
        <v>14.924444282065236</v>
      </c>
      <c r="H12" s="128">
        <f>IF(IFERROR((F12-E12)/E12*100,"")&gt;500,"-",IFERROR((F12-E12)/E12*100,""))</f>
        <v>2.9469606399448671</v>
      </c>
      <c r="I12" s="128">
        <f t="shared" ref="I12:I23" si="0">IFERROR((F12-E12)/$E$34*100,"-")</f>
        <v>2.9371907446824568</v>
      </c>
    </row>
    <row r="13" spans="1:11" ht="14.1" customHeight="1">
      <c r="B13" s="121" t="str">
        <f>IF(Indice_index!$Z$1=1,"Receita fiscal","Tax")</f>
        <v>Receita fiscal</v>
      </c>
      <c r="C13" s="4">
        <f>SUM(C14:C15)</f>
        <v>64798.709902729999</v>
      </c>
      <c r="D13" s="4">
        <f>SUM(D14:D15)</f>
        <v>67065.129832999999</v>
      </c>
      <c r="E13" s="4">
        <f>SUM(E14:E15)</f>
        <v>9676.4113101100011</v>
      </c>
      <c r="F13" s="4">
        <f>SUM(F14:F15)</f>
        <v>9623.6622541500001</v>
      </c>
      <c r="G13" s="4">
        <f t="shared" ref="G13:G32" si="1">IFERROR(IF(F13/D13*100&lt;-500,"-",IF(F13/D13*100&gt;500,"-",F13/D13*100)),"-")</f>
        <v>14.349725823410827</v>
      </c>
      <c r="H13" s="4">
        <f t="shared" ref="H13:H23" si="2">IF(IFERROR((F13-E13)/E13*100,"")&gt;500,"-",IFERROR((F13-E13)/E13*100,""))</f>
        <v>-0.54513036155137706</v>
      </c>
      <c r="I13" s="4">
        <f t="shared" si="0"/>
        <v>-0.50020518660077662</v>
      </c>
    </row>
    <row r="14" spans="1:11" ht="14.1" customHeight="1">
      <c r="B14" s="165" t="str">
        <f>IF(Indice_index!$Z$1=1,"Impostos diretos","Direct taxes")</f>
        <v>Impostos diretos</v>
      </c>
      <c r="C14" s="4">
        <v>28835.30717819</v>
      </c>
      <c r="D14" s="4">
        <v>29467.748506</v>
      </c>
      <c r="E14" s="4">
        <v>3514.87287251</v>
      </c>
      <c r="F14" s="4">
        <v>3413.6998501400003</v>
      </c>
      <c r="G14" s="4">
        <f t="shared" si="1"/>
        <v>11.584528928109076</v>
      </c>
      <c r="H14" s="4">
        <f t="shared" si="2"/>
        <v>-2.8784262202277371</v>
      </c>
      <c r="I14" s="4">
        <f t="shared" si="0"/>
        <v>-0.95939670601735794</v>
      </c>
    </row>
    <row r="15" spans="1:11" ht="14.1" customHeight="1">
      <c r="B15" s="165" t="str">
        <f>IF(Indice_index!$Z$1=1,"Impostos indiretos","Indirect taxes")</f>
        <v>Impostos indiretos</v>
      </c>
      <c r="C15" s="4">
        <v>35963.402724539999</v>
      </c>
      <c r="D15" s="4">
        <v>37597.381327000003</v>
      </c>
      <c r="E15" s="4">
        <v>6161.5384376000011</v>
      </c>
      <c r="F15" s="4">
        <v>6209.9624040100007</v>
      </c>
      <c r="G15" s="4">
        <f t="shared" si="1"/>
        <v>16.517007793706124</v>
      </c>
      <c r="H15" s="4">
        <f t="shared" si="2"/>
        <v>0.78590707337794929</v>
      </c>
      <c r="I15" s="4">
        <f t="shared" si="0"/>
        <v>0.45919151941658998</v>
      </c>
    </row>
    <row r="16" spans="1:11" ht="14.1" customHeight="1">
      <c r="B16" s="121" t="str">
        <f>IF(Indice_index!$Z$1=1,"Contribuições para Segurança Social, CGA e ADSE","Social security, CGA and ADSE contributions")</f>
        <v>Contribuições para Segurança Social, CGA e ADSE</v>
      </c>
      <c r="C16" s="4">
        <v>88.056825009999997</v>
      </c>
      <c r="D16" s="4">
        <v>88.581599999999995</v>
      </c>
      <c r="E16" s="4">
        <v>13.52674515</v>
      </c>
      <c r="F16" s="4">
        <v>16.048162990000002</v>
      </c>
      <c r="G16" s="4">
        <f t="shared" si="1"/>
        <v>18.116813186937243</v>
      </c>
      <c r="H16" s="4">
        <f t="shared" si="2"/>
        <v>18.640240590324137</v>
      </c>
      <c r="I16" s="4">
        <f t="shared" si="0"/>
        <v>2.390993086420545E-2</v>
      </c>
    </row>
    <row r="17" spans="2:9" ht="14.1" customHeight="1">
      <c r="B17" s="121" t="str">
        <f>IF(Indice_index!$Z$1=1,"Taxas, multas e outras penalidades","Taxes, fines and other penalties")</f>
        <v>Taxas, multas e outras penalidades</v>
      </c>
      <c r="C17" s="4">
        <v>1014.53542926</v>
      </c>
      <c r="D17" s="4">
        <v>1054.0950769999999</v>
      </c>
      <c r="E17" s="4">
        <v>179.70972502999996</v>
      </c>
      <c r="F17" s="4">
        <v>185.28650334000002</v>
      </c>
      <c r="G17" s="4">
        <f t="shared" si="1"/>
        <v>17.577779024197078</v>
      </c>
      <c r="H17" s="4">
        <f t="shared" si="2"/>
        <v>3.1032145361466124</v>
      </c>
      <c r="I17" s="4">
        <f t="shared" si="0"/>
        <v>5.2883096852008468E-2</v>
      </c>
    </row>
    <row r="18" spans="2:9" ht="14.1" customHeight="1">
      <c r="B18" s="121" t="str">
        <f>IF(Indice_index!$Z$1=1,"Transferências correntes","Current transfers")</f>
        <v>Transferências correntes</v>
      </c>
      <c r="C18" s="4">
        <f>SUM(C19:C22)</f>
        <v>1111.7663693999998</v>
      </c>
      <c r="D18" s="4">
        <f>SUM(D19:D22)</f>
        <v>1168.6355290000001</v>
      </c>
      <c r="E18" s="4">
        <f>SUM(E19:E22)</f>
        <v>164.01359411999999</v>
      </c>
      <c r="F18" s="4">
        <f>SUM(F19:F22)</f>
        <v>181.55452336999997</v>
      </c>
      <c r="G18" s="4">
        <f t="shared" si="1"/>
        <v>15.535598470581835</v>
      </c>
      <c r="H18" s="4">
        <f t="shared" si="2"/>
        <v>10.694802064496077</v>
      </c>
      <c r="I18" s="4">
        <f t="shared" si="0"/>
        <v>0.16633593964791582</v>
      </c>
    </row>
    <row r="19" spans="2:9" ht="14.1" customHeight="1">
      <c r="B19" s="165" t="str">
        <f>IF(Indice_index!$Z$1=1,"Administração Central","Central Administration")</f>
        <v>Administração Central</v>
      </c>
      <c r="C19" s="4">
        <v>590.65292630999977</v>
      </c>
      <c r="D19" s="4">
        <v>539.05033000000003</v>
      </c>
      <c r="E19" s="4">
        <v>84.479388499999985</v>
      </c>
      <c r="F19" s="4">
        <v>91.90859915999998</v>
      </c>
      <c r="G19" s="4">
        <f t="shared" si="1"/>
        <v>17.05009607544438</v>
      </c>
      <c r="H19" s="4">
        <f t="shared" si="2"/>
        <v>8.7941103645654319</v>
      </c>
      <c r="I19" s="4">
        <f t="shared" si="0"/>
        <v>7.044921727698171E-2</v>
      </c>
    </row>
    <row r="20" spans="2:9" ht="14.1" customHeight="1">
      <c r="B20" s="165" t="str">
        <f>IF(Indice_index!$Z$1=1,"Outros subsetores das Administrações Públicas","Other General Government subsectors")</f>
        <v>Outros subsetores das Administrações Públicas</v>
      </c>
      <c r="C20" s="4">
        <v>261.15631215999997</v>
      </c>
      <c r="D20" s="4">
        <v>286.86964499999999</v>
      </c>
      <c r="E20" s="4">
        <v>42.986467730000001</v>
      </c>
      <c r="F20" s="4">
        <v>45.03871169</v>
      </c>
      <c r="G20" s="4">
        <f t="shared" si="1"/>
        <v>15.70006184864906</v>
      </c>
      <c r="H20" s="4">
        <f t="shared" si="2"/>
        <v>4.7741628200070734</v>
      </c>
      <c r="I20" s="4">
        <f t="shared" si="0"/>
        <v>1.9460880470363904E-2</v>
      </c>
    </row>
    <row r="21" spans="2:9" ht="14.1" customHeight="1">
      <c r="B21" s="165" t="str">
        <f>IF(Indice_index!$Z$1=1,"União Europeia","European Union")</f>
        <v>União Europeia</v>
      </c>
      <c r="C21" s="4">
        <v>234.56073608999998</v>
      </c>
      <c r="D21" s="4">
        <v>306.20966099999998</v>
      </c>
      <c r="E21" s="4">
        <v>31.314254669999993</v>
      </c>
      <c r="F21" s="4">
        <v>41.237807780000011</v>
      </c>
      <c r="G21" s="4">
        <f t="shared" si="1"/>
        <v>13.467180508063725</v>
      </c>
      <c r="H21" s="4">
        <f t="shared" si="2"/>
        <v>31.690210144158669</v>
      </c>
      <c r="I21" s="4">
        <f t="shared" si="0"/>
        <v>9.4102399460841146E-2</v>
      </c>
    </row>
    <row r="22" spans="2:9" ht="14.1" customHeight="1">
      <c r="B22" s="165" t="str">
        <f>IF(Indice_index!$Z$1=1,"Outras transferências","Other transfers")</f>
        <v>Outras transferências</v>
      </c>
      <c r="C22" s="4">
        <v>25.396394840000028</v>
      </c>
      <c r="D22" s="4">
        <v>36.505893000000015</v>
      </c>
      <c r="E22" s="4">
        <v>5.2334832200000072</v>
      </c>
      <c r="F22" s="4">
        <v>3.3694047400000002</v>
      </c>
      <c r="G22" s="4">
        <f t="shared" si="1"/>
        <v>9.2297556999906814</v>
      </c>
      <c r="H22" s="4">
        <f t="shared" si="2"/>
        <v>-35.618313877005306</v>
      </c>
      <c r="I22" s="4">
        <f t="shared" si="0"/>
        <v>-1.7676557560270659E-2</v>
      </c>
    </row>
    <row r="23" spans="2:9" ht="14.1" customHeight="1">
      <c r="B23" s="121" t="str">
        <f>IF(Indice_index!$Z$1=1,"Outras receitas correntes","Other current revenue")</f>
        <v>Outras receitas correntes</v>
      </c>
      <c r="C23" s="4">
        <v>2993.6157546899999</v>
      </c>
      <c r="D23" s="4">
        <v>3121.8536099999992</v>
      </c>
      <c r="E23" s="4">
        <v>445.67965176000018</v>
      </c>
      <c r="F23" s="4">
        <v>813.71110883000006</v>
      </c>
      <c r="G23" s="4">
        <f t="shared" si="1"/>
        <v>26.064998891155572</v>
      </c>
      <c r="H23" s="4">
        <f t="shared" si="2"/>
        <v>82.577576879858512</v>
      </c>
      <c r="I23" s="4">
        <f t="shared" si="0"/>
        <v>3.4899438541279166</v>
      </c>
    </row>
    <row r="24" spans="2:9" ht="14.1" customHeight="1">
      <c r="B24" s="121" t="str">
        <f>IF(Indice_index!$Z$1=1,"Diferenças de consolidação","Consolidation differences")</f>
        <v>Diferenças de consolidação</v>
      </c>
      <c r="C24" s="4">
        <v>19.057334749999708</v>
      </c>
      <c r="D24" s="4">
        <v>1.9831879999999842</v>
      </c>
      <c r="E24" s="4">
        <v>31.181724679999991</v>
      </c>
      <c r="F24" s="4">
        <v>1.16669E-3</v>
      </c>
      <c r="G24" s="4"/>
      <c r="H24" s="4"/>
      <c r="I24" s="4"/>
    </row>
    <row r="25" spans="2:9" ht="14.1" customHeight="1">
      <c r="B25" s="167" t="str">
        <f>IF(Indice_index!$Z$1=1,"Receita de capital","Capital revenue")</f>
        <v>Receita de capital</v>
      </c>
      <c r="C25" s="128">
        <f>C26+C27+C32+C33</f>
        <v>306.10624623000001</v>
      </c>
      <c r="D25" s="128">
        <f>D26+D27+D32+D33</f>
        <v>1518.688613</v>
      </c>
      <c r="E25" s="128">
        <f>E26+E27+E32+E33</f>
        <v>34.960857279999992</v>
      </c>
      <c r="F25" s="128">
        <f>F26+F27+F32+F33</f>
        <v>53.843543769999997</v>
      </c>
      <c r="G25" s="128">
        <f t="shared" si="1"/>
        <v>3.5453972136946543</v>
      </c>
      <c r="H25" s="128">
        <f t="shared" ref="H25:H32" si="3">IF(IFERROR((F25-E25)/E25*100,"")&gt;500,"-",IFERROR((F25-E25)/E25*100,""))</f>
        <v>54.010936684902731</v>
      </c>
      <c r="I25" s="128">
        <f t="shared" ref="I25:I32" si="4">IFERROR((F25-E25)/$E$34*100,"-")</f>
        <v>0.17905946461708469</v>
      </c>
    </row>
    <row r="26" spans="2:9" ht="14.1" customHeight="1">
      <c r="B26" s="121" t="str">
        <f>IF(Indice_index!$Z$1=1,"Venda de bens de investimento","Sale of investment goods")</f>
        <v>Venda de bens de investimento</v>
      </c>
      <c r="C26" s="4">
        <v>22.13174381</v>
      </c>
      <c r="D26" s="4">
        <v>821.46819900000003</v>
      </c>
      <c r="E26" s="4">
        <v>9.5399999999999984E-6</v>
      </c>
      <c r="F26" s="4">
        <v>2.7840000000000001E-5</v>
      </c>
      <c r="G26" s="4">
        <f t="shared" si="1"/>
        <v>3.3890538956822118E-6</v>
      </c>
      <c r="H26" s="4">
        <f t="shared" si="3"/>
        <v>191.82389937106925</v>
      </c>
      <c r="I26" s="4">
        <f t="shared" si="4"/>
        <v>1.7353400450873287E-7</v>
      </c>
    </row>
    <row r="27" spans="2:9" ht="14.1" customHeight="1">
      <c r="B27" s="121" t="str">
        <f>IF(Indice_index!$Z$1=1,"Transferências de capital","Capital transfers")</f>
        <v>Transferências de capital</v>
      </c>
      <c r="C27" s="4">
        <f>SUM(C28:C31)</f>
        <v>270.86380952000002</v>
      </c>
      <c r="D27" s="4">
        <f>SUM(D28:D31)</f>
        <v>694.0793799999999</v>
      </c>
      <c r="E27" s="4">
        <f>SUM(E28:E31)</f>
        <v>33.141602769999992</v>
      </c>
      <c r="F27" s="4">
        <f>SUM(F28:F31)</f>
        <v>52.496321449999996</v>
      </c>
      <c r="G27" s="4">
        <f t="shared" si="1"/>
        <v>7.5634463380831169</v>
      </c>
      <c r="H27" s="4">
        <f t="shared" si="3"/>
        <v>58.400068380277702</v>
      </c>
      <c r="I27" s="4">
        <f t="shared" si="4"/>
        <v>0.1835356196000206</v>
      </c>
    </row>
    <row r="28" spans="2:9" ht="14.1" customHeight="1">
      <c r="B28" s="165" t="str">
        <f>IF(Indice_index!$Z$1=1,"Administração Central","Central Administration")</f>
        <v>Administração Central</v>
      </c>
      <c r="C28" s="4">
        <v>147.67190382999999</v>
      </c>
      <c r="D28" s="4">
        <v>149.395657</v>
      </c>
      <c r="E28" s="4">
        <v>10.903383329999999</v>
      </c>
      <c r="F28" s="4">
        <v>20.98621893</v>
      </c>
      <c r="G28" s="4">
        <f t="shared" si="1"/>
        <v>14.047408975215388</v>
      </c>
      <c r="H28" s="4">
        <f t="shared" si="3"/>
        <v>92.474375107565834</v>
      </c>
      <c r="I28" s="4">
        <f t="shared" si="4"/>
        <v>9.5612832703344919E-2</v>
      </c>
    </row>
    <row r="29" spans="2:9" ht="14.1" customHeight="1">
      <c r="B29" s="165" t="str">
        <f>IF(Indice_index!$Z$1=1,"Outros subsetores das Administrações Públicas","Other General Government subsectors")</f>
        <v>Outros subsetores das Administrações Públicas</v>
      </c>
      <c r="C29" s="4">
        <v>2.4856129999989207E-2</v>
      </c>
      <c r="D29" s="4">
        <v>2.284E-3</v>
      </c>
      <c r="E29" s="4">
        <v>5.0046500000000549E-3</v>
      </c>
      <c r="F29" s="4">
        <v>7.6246699999984457E-3</v>
      </c>
      <c r="G29" s="4">
        <f t="shared" si="1"/>
        <v>333.82968476350464</v>
      </c>
      <c r="H29" s="4">
        <f t="shared" si="3"/>
        <v>52.351712906963769</v>
      </c>
      <c r="I29" s="4">
        <f t="shared" si="4"/>
        <v>2.4844948770092402E-5</v>
      </c>
    </row>
    <row r="30" spans="2:9" ht="14.1" customHeight="1">
      <c r="B30" s="165" t="str">
        <f>IF(Indice_index!$Z$1=1,"União Europeia","European Union")</f>
        <v>União Europeia</v>
      </c>
      <c r="C30" s="4">
        <v>118.73639897999999</v>
      </c>
      <c r="D30" s="4">
        <v>544.68043899999998</v>
      </c>
      <c r="E30" s="4">
        <v>21.813641519999997</v>
      </c>
      <c r="F30" s="4">
        <v>31.026640449999999</v>
      </c>
      <c r="G30" s="4">
        <f t="shared" si="1"/>
        <v>5.6963015795028396</v>
      </c>
      <c r="H30" s="4">
        <f t="shared" si="3"/>
        <v>42.235034079720229</v>
      </c>
      <c r="I30" s="4">
        <f t="shared" si="4"/>
        <v>8.7364404254512071E-2</v>
      </c>
    </row>
    <row r="31" spans="2:9" ht="14.1" customHeight="1">
      <c r="B31" s="165" t="str">
        <f>IF(Indice_index!$Z$1=1,"Outras transferências","Other transfers")</f>
        <v>Outras transferências</v>
      </c>
      <c r="C31" s="4">
        <v>4.4306505799999911</v>
      </c>
      <c r="D31" s="4">
        <v>9.9999999997635314E-4</v>
      </c>
      <c r="E31" s="4">
        <v>0.41957326999999722</v>
      </c>
      <c r="F31" s="4">
        <v>0.47583739999999963</v>
      </c>
      <c r="G31" s="4" t="str">
        <f t="shared" si="1"/>
        <v>-</v>
      </c>
      <c r="H31" s="4">
        <f t="shared" si="3"/>
        <v>13.409846151544111</v>
      </c>
      <c r="I31" s="4">
        <f t="shared" si="4"/>
        <v>5.3353769339346173E-4</v>
      </c>
    </row>
    <row r="32" spans="2:9" ht="14.1" customHeight="1">
      <c r="B32" s="121" t="str">
        <f>IF(Indice_index!$Z$1=1,"Outras receitas de capital","Other capital revenue")</f>
        <v>Outras receitas de capital</v>
      </c>
      <c r="C32" s="4">
        <v>13.1106929</v>
      </c>
      <c r="D32" s="4">
        <v>2.9259620000000002</v>
      </c>
      <c r="E32" s="4">
        <v>0.25772173999999998</v>
      </c>
      <c r="F32" s="4">
        <v>0.90567209999999998</v>
      </c>
      <c r="G32" s="4">
        <f t="shared" si="1"/>
        <v>30.952968630488019</v>
      </c>
      <c r="H32" s="4">
        <f t="shared" si="3"/>
        <v>251.41470797147346</v>
      </c>
      <c r="I32" s="4">
        <f t="shared" si="4"/>
        <v>6.1443399286161254E-3</v>
      </c>
    </row>
    <row r="33" spans="2:10" ht="14.1" customHeight="1">
      <c r="B33" s="121" t="str">
        <f>IF(Indice_index!$Z$1=1,"Diferenças de consolidação","Consolidation differences")</f>
        <v>Diferenças de consolidação</v>
      </c>
      <c r="C33" s="4">
        <v>0</v>
      </c>
      <c r="D33" s="4">
        <v>0.21507199999999926</v>
      </c>
      <c r="E33" s="4">
        <v>1.5615232300000002</v>
      </c>
      <c r="F33" s="4">
        <v>0.44152237999999999</v>
      </c>
      <c r="G33" s="4"/>
      <c r="H33" s="4"/>
      <c r="I33" s="4"/>
    </row>
    <row r="34" spans="2:10" ht="14.1" customHeight="1">
      <c r="B34" s="29" t="str">
        <f>IF(Indice_index!$Z$1=1,"Receita efetiva","Effective revenue")</f>
        <v>Receita efetiva</v>
      </c>
      <c r="C34" s="18">
        <f>+C12+C25</f>
        <v>70331.847862070004</v>
      </c>
      <c r="D34" s="18">
        <f>+D12+D25</f>
        <v>74018.967450000026</v>
      </c>
      <c r="E34" s="18">
        <f>+E12+E25</f>
        <v>10545.483608130002</v>
      </c>
      <c r="F34" s="18">
        <f>+F12+F25</f>
        <v>10874.107263140002</v>
      </c>
      <c r="G34" s="18">
        <f>IFERROR(IF(F34/D34*100&lt;-500,"-",IF(F34/D34*100&gt;500,"-",F34/D34*100)),"-")</f>
        <v>14.690973999989239</v>
      </c>
      <c r="H34" s="18">
        <f>IFERROR((F34-E34)/E34*100,"-")</f>
        <v>3.1162502092995434</v>
      </c>
      <c r="I34" s="18"/>
    </row>
    <row r="35" spans="2:10" ht="14.1" customHeight="1">
      <c r="B35" s="167" t="str">
        <f>IF(Indice_index!$Z$1=1,"Despesa corrente","Current Expenditure")</f>
        <v>Despesa corrente</v>
      </c>
      <c r="C35" s="128">
        <f>+C36+C40+C41+C42+C47+C48+C49</f>
        <v>72200.196002459983</v>
      </c>
      <c r="D35" s="128">
        <f>+D36+D40+D41+D42+D47+D48+D49</f>
        <v>75514.488364999997</v>
      </c>
      <c r="E35" s="128">
        <f>+E36+E40+E41+E42+E47+E48+E49</f>
        <v>10685.925268789999</v>
      </c>
      <c r="F35" s="128">
        <f>+F36+F40+F41+F42+F47+F48+F49</f>
        <v>11704.574013169999</v>
      </c>
      <c r="G35" s="128">
        <f>IFERROR(IF(F35/D35*100&lt;-500,"-",IF(F35/D35*100&gt;500,"-",F35/D35*100)),"-")</f>
        <v>15.499772648390106</v>
      </c>
      <c r="H35" s="128">
        <f t="shared" ref="H35:H48" si="5">IF(IFERROR((F35-E35)/E35*100,"")&gt;500,"-",IFERROR((F35-E35)/E35*100,""))</f>
        <v>9.5326208892282889</v>
      </c>
      <c r="I35" s="128">
        <f t="shared" ref="I35:I48" si="6">IFERROR((F35-E35)/$E$59*100,"-")</f>
        <v>9.2286877777419996</v>
      </c>
    </row>
    <row r="36" spans="2:10" ht="14.1" customHeight="1">
      <c r="B36" s="121" t="str">
        <f>IF(Indice_index!$Z$1=1,"Despesas com o pessoal","Employees")</f>
        <v>Despesas com o pessoal</v>
      </c>
      <c r="C36" s="4">
        <f>SUM(C37:C39)</f>
        <v>12201.551946549995</v>
      </c>
      <c r="D36" s="4">
        <f>SUM(D37:D39)</f>
        <v>12434.825053</v>
      </c>
      <c r="E36" s="4">
        <f>SUM(E37:E39)</f>
        <v>1726.8340052499998</v>
      </c>
      <c r="F36" s="4">
        <f>SUM(F37:F39)</f>
        <v>1835.3546512199998</v>
      </c>
      <c r="G36" s="4">
        <f t="shared" ref="G36:G57" si="7">IFERROR(IF(F36/D36*100&lt;-500,"-",IF(F36/D36*100&gt;500,"-",F36/D36*100)),"-")</f>
        <v>14.759794716832031</v>
      </c>
      <c r="H36" s="4">
        <f t="shared" si="5"/>
        <v>6.284370451361891</v>
      </c>
      <c r="I36" s="4">
        <f t="shared" si="6"/>
        <v>0.98316830469915362</v>
      </c>
    </row>
    <row r="37" spans="2:10" ht="14.1" customHeight="1">
      <c r="B37" s="165" t="str">
        <f>IF(Indice_index!$Z$1=1,"Remunerações certas e permanentes","Certain and permanent wages")</f>
        <v>Remunerações certas e permanentes</v>
      </c>
      <c r="C37" s="4">
        <v>8790.4717466799975</v>
      </c>
      <c r="D37" s="4">
        <v>9084.1577890000008</v>
      </c>
      <c r="E37" s="4">
        <v>1244.6791211299997</v>
      </c>
      <c r="F37" s="4">
        <v>1315.2334191999998</v>
      </c>
      <c r="G37" s="4">
        <f t="shared" si="7"/>
        <v>14.478319837119241</v>
      </c>
      <c r="H37" s="4">
        <f t="shared" si="5"/>
        <v>5.6684728515367446</v>
      </c>
      <c r="I37" s="4">
        <f t="shared" si="6"/>
        <v>0.63920325024509095</v>
      </c>
    </row>
    <row r="38" spans="2:10" ht="14.1" customHeight="1">
      <c r="B38" s="165" t="str">
        <f>IF(Indice_index!$Z$1=1,"Abonos variáveis ou eventuais","Variable or contingent bonuses")</f>
        <v>Abonos variáveis ou eventuais</v>
      </c>
      <c r="C38" s="4">
        <v>512.82274735999988</v>
      </c>
      <c r="D38" s="4">
        <v>498.69057400000003</v>
      </c>
      <c r="E38" s="4">
        <v>72.685271619999995</v>
      </c>
      <c r="F38" s="4">
        <v>81.735650820000018</v>
      </c>
      <c r="G38" s="4">
        <f t="shared" si="7"/>
        <v>16.390053287832952</v>
      </c>
      <c r="H38" s="4">
        <f t="shared" si="5"/>
        <v>12.451462309057026</v>
      </c>
      <c r="I38" s="4">
        <f t="shared" si="6"/>
        <v>8.1994038050679535E-2</v>
      </c>
    </row>
    <row r="39" spans="2:10" ht="14.1" customHeight="1">
      <c r="B39" s="165" t="str">
        <f>IF(Indice_index!$Z$1=1,"Segurança social","Social security")</f>
        <v>Segurança social</v>
      </c>
      <c r="C39" s="4">
        <v>2898.2574525099972</v>
      </c>
      <c r="D39" s="4">
        <v>2851.97669</v>
      </c>
      <c r="E39" s="4">
        <v>409.46961249999998</v>
      </c>
      <c r="F39" s="4">
        <v>438.38558119999988</v>
      </c>
      <c r="G39" s="4">
        <f t="shared" si="7"/>
        <v>15.371289068986041</v>
      </c>
      <c r="H39" s="4">
        <f t="shared" si="5"/>
        <v>7.0618106490136414</v>
      </c>
      <c r="I39" s="4">
        <f t="shared" si="6"/>
        <v>0.26197101640338383</v>
      </c>
    </row>
    <row r="40" spans="2:10" ht="14.1" customHeight="1">
      <c r="B40" s="121" t="str">
        <f>IF(Indice_index!$Z$1=1,"Aquisição de bens e serviços","Purchase of goods and services")</f>
        <v>Aquisição de bens e serviços</v>
      </c>
      <c r="C40" s="4">
        <v>2195.8524950499996</v>
      </c>
      <c r="D40" s="4">
        <v>2260.340948</v>
      </c>
      <c r="E40" s="4">
        <v>133.16932426</v>
      </c>
      <c r="F40" s="4">
        <v>133.2862465</v>
      </c>
      <c r="G40" s="4">
        <f t="shared" si="7"/>
        <v>5.8967319340887325</v>
      </c>
      <c r="H40" s="4">
        <f t="shared" si="5"/>
        <v>8.7799679580658457E-2</v>
      </c>
      <c r="I40" s="4">
        <f t="shared" si="6"/>
        <v>1.0592845209769024E-3</v>
      </c>
      <c r="J40" s="50"/>
    </row>
    <row r="41" spans="2:10" ht="14.1" customHeight="1">
      <c r="B41" s="121" t="str">
        <f>IF(Indice_index!$Z$1=1,"Juros e outros encargos","Interests")</f>
        <v>Juros e outros encargos</v>
      </c>
      <c r="C41" s="4">
        <v>6708.2695610800001</v>
      </c>
      <c r="D41" s="4">
        <v>7102.8665270000001</v>
      </c>
      <c r="E41" s="4">
        <v>1085.7558336</v>
      </c>
      <c r="F41" s="4">
        <v>1108.4525906299998</v>
      </c>
      <c r="G41" s="4">
        <f t="shared" si="7"/>
        <v>15.605707729639276</v>
      </c>
      <c r="H41" s="4">
        <f t="shared" si="5"/>
        <v>2.0904107836791499</v>
      </c>
      <c r="I41" s="4">
        <f t="shared" si="6"/>
        <v>0.20562660618074774</v>
      </c>
    </row>
    <row r="42" spans="2:10" ht="14.1" customHeight="1">
      <c r="B42" s="121" t="str">
        <f>IF(Indice_index!$Z$1=1,"Transferências correntes","Current transfers")</f>
        <v>Transferências correntes</v>
      </c>
      <c r="C42" s="4">
        <f>SUM(C43:C46)</f>
        <v>50586.400885599993</v>
      </c>
      <c r="D42" s="4">
        <f>SUM(D43:D46)</f>
        <v>52073.351152000003</v>
      </c>
      <c r="E42" s="4">
        <f>SUM(E43:E46)</f>
        <v>7676.7515826699992</v>
      </c>
      <c r="F42" s="4">
        <f>SUM(F43:F46)</f>
        <v>8561.7645718599997</v>
      </c>
      <c r="G42" s="4">
        <f t="shared" si="7"/>
        <v>16.441739166869741</v>
      </c>
      <c r="H42" s="4">
        <f t="shared" si="5"/>
        <v>11.528482844070229</v>
      </c>
      <c r="I42" s="4">
        <f t="shared" si="6"/>
        <v>8.0179832366571286</v>
      </c>
    </row>
    <row r="43" spans="2:10" ht="14.1" customHeight="1">
      <c r="B43" s="165" t="str">
        <f>IF(Indice_index!$Z$1=1,"Administração Central","Central Administration")</f>
        <v>Administração Central</v>
      </c>
      <c r="C43" s="4">
        <v>28468.500949459998</v>
      </c>
      <c r="D43" s="4">
        <v>28889.637772999999</v>
      </c>
      <c r="E43" s="4">
        <v>4193.6805274799999</v>
      </c>
      <c r="F43" s="4">
        <v>4769.1743392400003</v>
      </c>
      <c r="G43" s="4">
        <f t="shared" si="7"/>
        <v>16.508252463093285</v>
      </c>
      <c r="H43" s="4">
        <f t="shared" si="5"/>
        <v>13.722881559264055</v>
      </c>
      <c r="I43" s="4">
        <f t="shared" si="6"/>
        <v>5.2138214826821798</v>
      </c>
    </row>
    <row r="44" spans="2:10" ht="14.1" customHeight="1">
      <c r="B44" s="165" t="str">
        <f>IF(Indice_index!$Z$1=1,"Outros subsetores das Administrações Públicas","Other General Government subsectors")</f>
        <v>Outros subsetores das Administrações Públicas</v>
      </c>
      <c r="C44" s="4">
        <v>18097.331822650001</v>
      </c>
      <c r="D44" s="4">
        <v>19326.178502999999</v>
      </c>
      <c r="E44" s="4">
        <v>2916.0808098299995</v>
      </c>
      <c r="F44" s="4">
        <v>3054.3671794299989</v>
      </c>
      <c r="G44" s="4">
        <f t="shared" si="7"/>
        <v>15.804299742734292</v>
      </c>
      <c r="H44" s="4">
        <f t="shared" si="5"/>
        <v>4.7421995005708109</v>
      </c>
      <c r="I44" s="4">
        <f t="shared" si="6"/>
        <v>1.2528378756630068</v>
      </c>
    </row>
    <row r="45" spans="2:10" ht="14.1" customHeight="1">
      <c r="B45" s="165" t="str">
        <f>IF(Indice_index!$Z$1=1,"União Europeia","European Union")</f>
        <v>União Europeia</v>
      </c>
      <c r="C45" s="4">
        <v>2990.7228256699996</v>
      </c>
      <c r="D45" s="4">
        <v>3055.5460429999998</v>
      </c>
      <c r="E45" s="4">
        <v>430.50387288000002</v>
      </c>
      <c r="F45" s="4">
        <v>610.32566876999999</v>
      </c>
      <c r="G45" s="4">
        <f t="shared" si="7"/>
        <v>19.974356798458494</v>
      </c>
      <c r="H45" s="4">
        <f t="shared" si="5"/>
        <v>41.770076233466099</v>
      </c>
      <c r="I45" s="4">
        <f t="shared" si="6"/>
        <v>1.6291378348595769</v>
      </c>
    </row>
    <row r="46" spans="2:10" ht="14.1" customHeight="1">
      <c r="B46" s="165" t="str">
        <f>IF(Indice_index!$Z$1=1,"Outras transferências","Other transfers")</f>
        <v>Outras transferências</v>
      </c>
      <c r="C46" s="4">
        <v>1029.8452878199996</v>
      </c>
      <c r="D46" s="4">
        <v>801.98883300000034</v>
      </c>
      <c r="E46" s="4">
        <v>136.48637248</v>
      </c>
      <c r="F46" s="4">
        <v>127.89738442000009</v>
      </c>
      <c r="G46" s="4">
        <f t="shared" si="7"/>
        <v>15.947526842932991</v>
      </c>
      <c r="H46" s="4">
        <f t="shared" si="5"/>
        <v>-6.2929272014013646</v>
      </c>
      <c r="I46" s="4">
        <f t="shared" si="6"/>
        <v>-7.7813956547639757E-2</v>
      </c>
    </row>
    <row r="47" spans="2:10" ht="14.1" customHeight="1">
      <c r="B47" s="121" t="str">
        <f>IF(Indice_index!$Z$1=1,"Subsídios","Subsidies")</f>
        <v>Subsídios</v>
      </c>
      <c r="C47" s="4">
        <v>400.19384953999997</v>
      </c>
      <c r="D47" s="4">
        <v>198.83471299999999</v>
      </c>
      <c r="E47" s="4">
        <v>56.177804800000004</v>
      </c>
      <c r="F47" s="4">
        <v>52.842659390000001</v>
      </c>
      <c r="G47" s="4">
        <f t="shared" si="7"/>
        <v>26.576174045625528</v>
      </c>
      <c r="H47" s="4">
        <f t="shared" si="5"/>
        <v>-5.9367670592924311</v>
      </c>
      <c r="I47" s="4">
        <f t="shared" si="6"/>
        <v>-3.0215533913992104E-2</v>
      </c>
    </row>
    <row r="48" spans="2:10" ht="14.1" customHeight="1">
      <c r="B48" s="121" t="str">
        <f>IF(Indice_index!$Z$1=1,"Outras despesas correntes","Other current expenditure")</f>
        <v>Outras despesas correntes</v>
      </c>
      <c r="C48" s="4">
        <v>107.90187450000001</v>
      </c>
      <c r="D48" s="4">
        <v>1443.7743809999999</v>
      </c>
      <c r="E48" s="4">
        <v>7.2041406000000006</v>
      </c>
      <c r="F48" s="4">
        <v>11.90214042</v>
      </c>
      <c r="G48" s="4">
        <f t="shared" si="7"/>
        <v>0.82437675696643353</v>
      </c>
      <c r="H48" s="4">
        <f t="shared" si="5"/>
        <v>65.212494881068807</v>
      </c>
      <c r="I48" s="4">
        <f t="shared" si="6"/>
        <v>4.256263384004557E-2</v>
      </c>
    </row>
    <row r="49" spans="2:9" ht="14.1" customHeight="1">
      <c r="B49" s="121" t="str">
        <f>IF(Indice_index!$Z$1=1,"Diferenças de consolidação","Consolidation differences")</f>
        <v>Diferenças de consolidação</v>
      </c>
      <c r="C49" s="4">
        <v>2.5390140000000005E-2</v>
      </c>
      <c r="D49" s="4">
        <v>0.495591</v>
      </c>
      <c r="E49" s="4">
        <v>3.2577610000000007E-2</v>
      </c>
      <c r="F49" s="4">
        <v>0.97115315000000635</v>
      </c>
      <c r="G49" s="4"/>
      <c r="H49" s="4"/>
      <c r="I49" s="4"/>
    </row>
    <row r="50" spans="2:9" ht="14.1" customHeight="1">
      <c r="B50" s="167" t="str">
        <f>IF(Indice_index!$Z$1=1,"Despesa de capital","Capital expenditure")</f>
        <v>Despesa de capital</v>
      </c>
      <c r="C50" s="128">
        <f>+C51+C52+C57+C58</f>
        <v>5633.2268907200005</v>
      </c>
      <c r="D50" s="128">
        <f>+D51+D52+D57+D58</f>
        <v>6387.1999859999996</v>
      </c>
      <c r="E50" s="128">
        <f>+E51+E52+E57+E58</f>
        <v>351.92506175</v>
      </c>
      <c r="F50" s="128">
        <f>+F51+F52+F57+F58</f>
        <v>372.74956780999992</v>
      </c>
      <c r="G50" s="128">
        <f t="shared" si="7"/>
        <v>5.835883777351949</v>
      </c>
      <c r="H50" s="128">
        <f t="shared" ref="H50:H57" si="8">IF(IFERROR((F50-E50)/E50*100,"")&gt;500,"-",IFERROR((F50-E50)/E50*100,""))</f>
        <v>5.9173126109424965</v>
      </c>
      <c r="I50" s="128">
        <f t="shared" ref="I50:I57" si="9">IFERROR((F50-E50)/$E$59*100,"-")</f>
        <v>0.1886645083633883</v>
      </c>
    </row>
    <row r="51" spans="2:9" ht="14.1" customHeight="1">
      <c r="B51" s="121" t="str">
        <f>IF(Indice_index!$Z$1=1,"Investimento","Investment")</f>
        <v>Investimento</v>
      </c>
      <c r="C51" s="4">
        <v>1708.9936901800002</v>
      </c>
      <c r="D51" s="4">
        <v>1932.8550829999999</v>
      </c>
      <c r="E51" s="4">
        <v>32.881752330000005</v>
      </c>
      <c r="F51" s="4">
        <v>41.319987329999996</v>
      </c>
      <c r="G51" s="4">
        <f t="shared" si="7"/>
        <v>2.1377695458609813</v>
      </c>
      <c r="H51" s="4">
        <f t="shared" si="8"/>
        <v>25.662364083623611</v>
      </c>
      <c r="I51" s="4">
        <f t="shared" si="9"/>
        <v>7.644817375945677E-2</v>
      </c>
    </row>
    <row r="52" spans="2:9" ht="14.1" customHeight="1">
      <c r="B52" s="121" t="str">
        <f>IF(Indice_index!$Z$1=1,"Transferências de capital","Capital transfers")</f>
        <v>Transferências de capital</v>
      </c>
      <c r="C52" s="4">
        <f>SUM(C53:C56)</f>
        <v>3920.1156618900004</v>
      </c>
      <c r="D52" s="4">
        <f>SUM(D53:D56)</f>
        <v>4452.8005579999999</v>
      </c>
      <c r="E52" s="4">
        <f>SUM(E53:E56)</f>
        <v>318.93242617000004</v>
      </c>
      <c r="F52" s="4">
        <f>SUM(F53:F56)</f>
        <v>331.40160912999994</v>
      </c>
      <c r="G52" s="4">
        <f t="shared" si="7"/>
        <v>7.4425432896291861</v>
      </c>
      <c r="H52" s="4">
        <f t="shared" si="8"/>
        <v>3.9096629683409705</v>
      </c>
      <c r="I52" s="4">
        <f t="shared" si="9"/>
        <v>0.11296749445405711</v>
      </c>
    </row>
    <row r="53" spans="2:9" ht="14.1" customHeight="1">
      <c r="B53" s="165" t="str">
        <f>IF(Indice_index!$Z$1=1,"Administração Central","Central Administration")</f>
        <v>Administração Central</v>
      </c>
      <c r="C53" s="4">
        <v>2882.0889149400004</v>
      </c>
      <c r="D53" s="4">
        <v>3858.5784840000001</v>
      </c>
      <c r="E53" s="4">
        <v>139.72987753000001</v>
      </c>
      <c r="F53" s="4">
        <v>182.53236835999999</v>
      </c>
      <c r="G53" s="4">
        <f t="shared" si="7"/>
        <v>4.7305599488746841</v>
      </c>
      <c r="H53" s="4">
        <f t="shared" si="8"/>
        <v>30.632311132463624</v>
      </c>
      <c r="I53" s="4">
        <f t="shared" si="9"/>
        <v>0.38777922827574685</v>
      </c>
    </row>
    <row r="54" spans="2:9" ht="14.1" customHeight="1">
      <c r="B54" s="165" t="str">
        <f>IF(Indice_index!$Z$1=1,"Outros subsetores das Administrações Públicas","Other General Government subsectors")</f>
        <v>Outros subsetores das Administrações Públicas</v>
      </c>
      <c r="C54" s="4">
        <v>1002.90941088</v>
      </c>
      <c r="D54" s="4">
        <v>554.90763800000002</v>
      </c>
      <c r="E54" s="4">
        <v>175.08288649000002</v>
      </c>
      <c r="F54" s="4">
        <v>146.83750687999995</v>
      </c>
      <c r="G54" s="4">
        <f t="shared" si="7"/>
        <v>26.461612135892054</v>
      </c>
      <c r="H54" s="4">
        <f t="shared" si="8"/>
        <v>-16.132575933749713</v>
      </c>
      <c r="I54" s="4">
        <f t="shared" si="9"/>
        <v>-0.25589565689117511</v>
      </c>
    </row>
    <row r="55" spans="2:9" ht="14.1" customHeight="1">
      <c r="B55" s="165" t="str">
        <f>IF(Indice_index!$Z$1=1,"União Europeia","European Union")</f>
        <v>União Europeia</v>
      </c>
      <c r="C55" s="4">
        <v>3.1424859999999999E-2</v>
      </c>
      <c r="D55" s="4">
        <v>2.1410999999999999E-2</v>
      </c>
      <c r="E55" s="4">
        <v>0</v>
      </c>
      <c r="F55" s="4">
        <v>0</v>
      </c>
      <c r="G55" s="4">
        <f t="shared" si="7"/>
        <v>0</v>
      </c>
      <c r="H55" s="4" t="str">
        <f t="shared" si="8"/>
        <v>-</v>
      </c>
      <c r="I55" s="4">
        <f t="shared" si="9"/>
        <v>0</v>
      </c>
    </row>
    <row r="56" spans="2:9" ht="14.1" customHeight="1">
      <c r="B56" s="165" t="str">
        <f>IF(Indice_index!$Z$1=1,"Outras transferências","Other transfers")</f>
        <v>Outras transferências</v>
      </c>
      <c r="C56" s="4">
        <v>35.085911209999999</v>
      </c>
      <c r="D56" s="4">
        <v>39.293025</v>
      </c>
      <c r="E56" s="4">
        <v>4.1196621499999999</v>
      </c>
      <c r="F56" s="4">
        <v>2.0317338899999999</v>
      </c>
      <c r="G56" s="4">
        <f t="shared" si="7"/>
        <v>5.1707240407171495</v>
      </c>
      <c r="H56" s="4">
        <f t="shared" si="8"/>
        <v>-50.682026437532024</v>
      </c>
      <c r="I56" s="4">
        <f t="shared" si="9"/>
        <v>-1.8916076930514541E-2</v>
      </c>
    </row>
    <row r="57" spans="2:9" ht="14.1" customHeight="1">
      <c r="B57" s="121" t="str">
        <f>IF(Indice_index!$Z$1=1,"Outras despesas de capital","Other capital expenditure")</f>
        <v>Outras despesas de capital</v>
      </c>
      <c r="C57" s="4">
        <v>1.5449957400000001</v>
      </c>
      <c r="D57" s="4">
        <v>1.5443450000000001</v>
      </c>
      <c r="E57" s="4">
        <v>0.11088325</v>
      </c>
      <c r="F57" s="4">
        <v>2.7971349999999999E-2</v>
      </c>
      <c r="G57" s="4">
        <f t="shared" si="7"/>
        <v>1.8112112254709922</v>
      </c>
      <c r="H57" s="4">
        <f t="shared" si="8"/>
        <v>-74.774052888962046</v>
      </c>
      <c r="I57" s="4">
        <f t="shared" si="9"/>
        <v>-7.5115985012585106E-4</v>
      </c>
    </row>
    <row r="58" spans="2:9" ht="14.1" customHeight="1">
      <c r="B58" s="121" t="str">
        <f>IF(Indice_index!$Z$1=1,"Diferenças de consolidação","Consolidation differences")</f>
        <v>Diferenças de consolidação</v>
      </c>
      <c r="C58" s="4">
        <v>2.5725429100000099</v>
      </c>
      <c r="D58" s="4">
        <v>0</v>
      </c>
      <c r="E58" s="4">
        <v>0</v>
      </c>
      <c r="F58" s="4">
        <v>0</v>
      </c>
      <c r="G58" s="4"/>
      <c r="H58" s="4"/>
      <c r="I58" s="4"/>
    </row>
    <row r="59" spans="2:9" ht="14.1" customHeight="1">
      <c r="B59" s="29" t="str">
        <f>IF(Indice_index!$Z$1=1,"Despesa efetiva","Effective Expenditure")</f>
        <v>Despesa efetiva</v>
      </c>
      <c r="C59" s="18">
        <f>+C35+C50</f>
        <v>77833.422893179988</v>
      </c>
      <c r="D59" s="18">
        <f>+D35+D50</f>
        <v>81901.68835099999</v>
      </c>
      <c r="E59" s="18">
        <f>+E35+E50</f>
        <v>11037.850330539999</v>
      </c>
      <c r="F59" s="18">
        <f>+F35+F50</f>
        <v>12077.323580979999</v>
      </c>
      <c r="G59" s="18">
        <f>IFERROR(IF(F59/D59*100&lt;-500,"-",IF(F59/D59*100&gt;500,"-",F59/D59*100)),"-")</f>
        <v>14.746122850631735</v>
      </c>
      <c r="H59" s="18">
        <f>IFERROR((F59-E59)/E59*100,"-")</f>
        <v>9.4173522861053893</v>
      </c>
      <c r="I59" s="18"/>
    </row>
    <row r="60" spans="2:9" ht="14.1" customHeight="1">
      <c r="B60" s="29" t="str">
        <f>IF(Indice_index!$Z$1=1,"Saldo global","Overall Balance")</f>
        <v>Saldo global</v>
      </c>
      <c r="C60" s="18">
        <f>+C34-C59</f>
        <v>-7501.5750311099837</v>
      </c>
      <c r="D60" s="18">
        <f>+D34-D59</f>
        <v>-7882.7209009999642</v>
      </c>
      <c r="E60" s="18">
        <f>+E34-E59</f>
        <v>-492.36672240999724</v>
      </c>
      <c r="F60" s="18">
        <f>+F34-F59</f>
        <v>-1203.2163178399969</v>
      </c>
      <c r="G60" s="18"/>
      <c r="H60" s="18"/>
      <c r="I60" s="18"/>
    </row>
    <row r="61" spans="2:9" ht="14.1" customHeight="1">
      <c r="B61" s="121" t="str">
        <f>IF(Indice_index!$Z$1=1,"Despesa primária","Primary Expenditure")</f>
        <v>Despesa primária</v>
      </c>
      <c r="C61" s="4">
        <f>+C59-C41</f>
        <v>71125.153332099988</v>
      </c>
      <c r="D61" s="4">
        <f>+D59-D41</f>
        <v>74798.821823999984</v>
      </c>
      <c r="E61" s="4">
        <f>+E59-E41</f>
        <v>9952.0944969399989</v>
      </c>
      <c r="F61" s="4">
        <f>+F59-F41</f>
        <v>10968.870990349998</v>
      </c>
      <c r="G61" s="4">
        <f>IFERROR(IF(F61/D61*100&lt;-500,"-",IF(F61/D61*100&gt;500,"-",F61/D61*100)),"-")</f>
        <v>14.664497010607352</v>
      </c>
      <c r="H61" s="4">
        <f>IF(IFERROR((F61-E61)/E61*100,"")&gt;500,"-",IFERROR((F61-E61)/E61*100,""))</f>
        <v>10.21670859056484</v>
      </c>
      <c r="I61" s="4"/>
    </row>
    <row r="62" spans="2:9" ht="14.1" customHeight="1">
      <c r="B62" s="121" t="str">
        <f>IF(Indice_index!$Z$1=1,"Saldo corrente","Current balance")</f>
        <v>Saldo corrente</v>
      </c>
      <c r="C62" s="4">
        <f>+C12-C35</f>
        <v>-2174.454386619982</v>
      </c>
      <c r="D62" s="4">
        <f>+D12-D35</f>
        <v>-3014.2095279999776</v>
      </c>
      <c r="E62" s="4">
        <f>+E12-E35</f>
        <v>-175.40251793999778</v>
      </c>
      <c r="F62" s="4">
        <f>+F12-F35</f>
        <v>-884.31029379999745</v>
      </c>
      <c r="G62" s="4"/>
      <c r="H62" s="4"/>
      <c r="I62" s="4"/>
    </row>
    <row r="63" spans="2:9" ht="14.1" customHeight="1">
      <c r="B63" s="121" t="str">
        <f>IF(Indice_index!$Z$1=1,"Saldo de capital","Capital balance")</f>
        <v>Saldo de capital</v>
      </c>
      <c r="C63" s="4">
        <f>+C25-C50</f>
        <v>-5327.1206444900008</v>
      </c>
      <c r="D63" s="4">
        <f>+D25-D50</f>
        <v>-4868.5113729999994</v>
      </c>
      <c r="E63" s="4">
        <f>+E25-E50</f>
        <v>-316.96420447000003</v>
      </c>
      <c r="F63" s="4">
        <f>+F25-F50</f>
        <v>-318.90602403999992</v>
      </c>
      <c r="G63" s="4"/>
      <c r="H63" s="4"/>
      <c r="I63" s="4"/>
    </row>
    <row r="64" spans="2:9" ht="14.1" customHeight="1">
      <c r="B64" s="121" t="str">
        <f>IF(Indice_index!$Z$1=1,"Saldo primário","Primary balance")</f>
        <v>Saldo primário</v>
      </c>
      <c r="C64" s="4">
        <f>+C60+C41</f>
        <v>-793.30547002998355</v>
      </c>
      <c r="D64" s="4">
        <f>+D60+D41</f>
        <v>-779.85437399996408</v>
      </c>
      <c r="E64" s="4">
        <f>+E60+E41</f>
        <v>593.38911119000272</v>
      </c>
      <c r="F64" s="4">
        <f>+F60+F41</f>
        <v>-94.763727209997114</v>
      </c>
      <c r="G64" s="4"/>
      <c r="H64" s="4"/>
      <c r="I64" s="4"/>
    </row>
    <row r="65" spans="2:9" ht="14.1" customHeight="1">
      <c r="B65" s="121" t="str">
        <f>IF(Indice_index!$Z$1=1,"Ativos financeiros líquidos de reembolsos","Financial assets net of reimbursements")</f>
        <v>Ativos financeiros líquidos de reembolsos</v>
      </c>
      <c r="C65" s="4">
        <v>3189.2343796199993</v>
      </c>
      <c r="D65" s="4">
        <v>12674.946944000001</v>
      </c>
      <c r="E65" s="4">
        <v>812.86701519000007</v>
      </c>
      <c r="F65" s="4">
        <v>274.26883997000004</v>
      </c>
      <c r="G65" s="4"/>
      <c r="H65" s="4"/>
      <c r="I65" s="4"/>
    </row>
    <row r="66" spans="2:9" ht="14.1" customHeight="1">
      <c r="B66" s="271" t="str">
        <f>IF(Indice_index!$Z$1=1,"dos quais Receitas de:","of which revenue from:")</f>
        <v>dos quais Receitas de:</v>
      </c>
      <c r="C66" s="4"/>
      <c r="D66" s="4"/>
      <c r="E66" s="4"/>
      <c r="F66" s="4"/>
      <c r="G66" s="4"/>
      <c r="H66" s="4"/>
      <c r="I66" s="4"/>
    </row>
    <row r="67" spans="2:9" ht="14.1" customHeight="1">
      <c r="B67" s="165" t="str">
        <f>IF(Indice_index!$Z$1=1,"Alienação de partes de Capital","Disposal of Capital Shares")</f>
        <v>Alienação de partes de Capital</v>
      </c>
      <c r="C67" s="4">
        <v>2.3999999999999998E-3</v>
      </c>
      <c r="D67" s="4">
        <v>800</v>
      </c>
      <c r="E67" s="4">
        <v>0</v>
      </c>
      <c r="F67" s="4">
        <v>0</v>
      </c>
      <c r="G67" s="4"/>
      <c r="H67" s="4"/>
      <c r="I67" s="4"/>
    </row>
    <row r="68" spans="2:9" ht="14.1" customHeight="1">
      <c r="B68" s="165" t="str">
        <f>IF(Indice_index!$Z$1=1,"Outros Ativos","Other Assets")</f>
        <v>Outros Ativos</v>
      </c>
      <c r="C68" s="4">
        <v>443.48004073999999</v>
      </c>
      <c r="D68" s="4">
        <v>180.15904799999998</v>
      </c>
      <c r="E68" s="4">
        <v>38.478078969999999</v>
      </c>
      <c r="F68" s="4">
        <v>101.74154985000001</v>
      </c>
      <c r="G68" s="4">
        <f>IFERROR(IF(F68/D68*100&lt;-500,"-",IF(F68/D68*100&gt;500,"-",F68/D68*100)),"-")</f>
        <v>56.473183545019637</v>
      </c>
      <c r="H68" s="4">
        <f>IF(IFERROR((F68-E68)/E68*100,"")&gt;500,"-",IFERROR((F68-E68)/E68*100,""))</f>
        <v>164.41431738139607</v>
      </c>
      <c r="I68" s="4"/>
    </row>
    <row r="69" spans="2:9" ht="13.5" customHeight="1">
      <c r="B69" s="166" t="str">
        <f>IF(Indice_index!$Z$1=1,"Passivos financeiros líquidos de amortizações","Financial liabilities net of amortizations")</f>
        <v>Passivos financeiros líquidos de amortizações</v>
      </c>
      <c r="C69" s="19">
        <v>5731.639484209998</v>
      </c>
      <c r="D69" s="19">
        <v>20557.667845000018</v>
      </c>
      <c r="E69" s="19">
        <v>-12140.346223790002</v>
      </c>
      <c r="F69" s="19">
        <v>-11470.502908729995</v>
      </c>
      <c r="G69" s="19"/>
      <c r="H69" s="19"/>
      <c r="I69" s="19"/>
    </row>
    <row r="70" spans="2:9" ht="15">
      <c r="B70" s="9" t="str">
        <f>IF(Indice_index!$Z$1=1,"Notas:","Notes:")</f>
        <v>Notas:</v>
      </c>
      <c r="C70" s="9"/>
      <c r="D70" s="9"/>
      <c r="E70" s="9"/>
      <c r="F70" s="9"/>
      <c r="G70" s="9"/>
      <c r="H70" s="9"/>
      <c r="I70" s="9"/>
    </row>
    <row r="71" spans="2:9" ht="15">
      <c r="B71" s="376" t="str">
        <f>+'3 - Conta AC + SS'!$B$61</f>
        <v>Os dados de 2025 são mensalmente revistos e atualizados face ao publicado nas Sínteses de Execução Orçamental de 2025.</v>
      </c>
      <c r="C71" s="376"/>
      <c r="D71" s="376"/>
      <c r="E71" s="376"/>
      <c r="F71" s="376"/>
      <c r="G71" s="376"/>
      <c r="H71" s="376"/>
      <c r="I71" s="376"/>
    </row>
    <row r="72" spans="2:9" ht="24" customHeight="1">
      <c r="B72" s="378" t="str">
        <f>IF(Indice_index!$Z$1=1,"O período de fevereiro de 2025 encontra-se ajustado de pagamentos efetuados pela Força Aérea (25,4 milhões de euros), os quais, por motivos técnicos, não chegaram a entrar nos sistemas orçamentais centrais ainda nesse período.","The period from February 2025 is adjusted for payments made by the Air Force (25.4 million euros), which, for technical reasons, did not yet enter the central budgetary systems during that period.")</f>
        <v>O período de fevereiro de 2025 encontra-se ajustado de pagamentos efetuados pela Força Aérea (25,4 milhões de euros), os quais, por motivos técnicos, não chegaram a entrar nos sistemas orçamentais centrais ainda nesse período.</v>
      </c>
      <c r="C72" s="378"/>
      <c r="D72" s="378"/>
      <c r="E72" s="378"/>
      <c r="F72" s="378"/>
      <c r="G72" s="378"/>
      <c r="H72" s="378"/>
      <c r="I72" s="378"/>
    </row>
    <row r="73" spans="2:9" ht="34.5" hidden="1" customHeight="1">
      <c r="B73" s="378"/>
      <c r="C73" s="378"/>
      <c r="D73" s="378"/>
      <c r="E73" s="378"/>
      <c r="F73" s="378"/>
      <c r="G73" s="378"/>
      <c r="H73" s="378"/>
      <c r="I73" s="378"/>
    </row>
    <row r="74" spans="2:9" ht="14.85" customHeight="1">
      <c r="B74" s="30" t="str">
        <f>IF(Indice_index!$Z$1=1,"Fonte: Entidade Orçamental.","Source: Budgetary Entity.")</f>
        <v>Fonte: Entidade Orçamental.</v>
      </c>
    </row>
    <row r="75" spans="2:9" ht="14.85" customHeight="1"/>
  </sheetData>
  <mergeCells count="6">
    <mergeCell ref="B73:I73"/>
    <mergeCell ref="B10:B11"/>
    <mergeCell ref="E10:F10"/>
    <mergeCell ref="H10:I10"/>
    <mergeCell ref="B71:I71"/>
    <mergeCell ref="B72:I72"/>
  </mergeCells>
  <conditionalFormatting sqref="C12:I33">
    <cfRule type="cellIs" dxfId="62" priority="3" operator="equal">
      <formula>0</formula>
    </cfRule>
  </conditionalFormatting>
  <conditionalFormatting sqref="C35:I58">
    <cfRule type="cellIs" dxfId="61" priority="2" operator="equal">
      <formula>0</formula>
    </cfRule>
  </conditionalFormatting>
  <conditionalFormatting sqref="C61:I69">
    <cfRule type="cellIs" dxfId="60" priority="1"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C13:D13 C27:D27 D25 C18:D18 E13:F13 E18:F18 E27:F27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5" zeroHeight="1"/>
  <cols>
    <col min="1" max="1" width="8.5703125" style="54" customWidth="1"/>
    <col min="2" max="2" width="44.5703125" style="54" bestFit="1" customWidth="1"/>
    <col min="3" max="9" width="10.42578125" style="54" customWidth="1"/>
    <col min="10" max="10" width="8.5703125" style="54" customWidth="1"/>
    <col min="11" max="16384" width="8.5703125" hidden="1"/>
  </cols>
  <sheetData>
    <row r="1" spans="1:10"/>
    <row r="2" spans="1:10"/>
    <row r="3" spans="1:10"/>
    <row r="4" spans="1:10"/>
    <row r="5" spans="1:10" ht="18" customHeight="1">
      <c r="A5"/>
      <c r="B5" s="254" t="str">
        <f>IF(Indice_index!$Z$1=1,"ANEXOS ESTATÍSTICOS","STATISTICAL ANNEXES")</f>
        <v>ANEXOS ESTATÍSTICOS</v>
      </c>
      <c r="C5"/>
      <c r="D5"/>
      <c r="E5"/>
      <c r="F5"/>
      <c r="G5"/>
      <c r="H5"/>
      <c r="I5"/>
      <c r="J5"/>
    </row>
    <row r="6" spans="1:10" ht="18" customHeight="1">
      <c r="A6"/>
      <c r="B6" s="255" t="str">
        <f>IF(Indice_index!$Z$1=1,"Fevereiro de 2026","February 2026")</f>
        <v>Fevereiro de 2026</v>
      </c>
      <c r="C6"/>
      <c r="D6"/>
      <c r="E6"/>
      <c r="F6"/>
      <c r="G6"/>
      <c r="H6"/>
      <c r="I6"/>
      <c r="J6"/>
    </row>
    <row r="7" spans="1:10" ht="48.75" customHeight="1">
      <c r="B7" s="12"/>
      <c r="C7" s="13"/>
      <c r="D7" s="11"/>
      <c r="E7" s="11"/>
      <c r="F7" s="11"/>
      <c r="G7" s="11"/>
      <c r="H7" s="11"/>
      <c r="I7" s="11"/>
    </row>
    <row r="8" spans="1:10" ht="15.75">
      <c r="B8" s="1" t="str">
        <f>IF(Indice_index!$Z$1=1,"Quadro 6 - Receita do Estado","6 - State Revenue")</f>
        <v>Quadro 6 - Receita do Estado</v>
      </c>
      <c r="C8" s="2"/>
      <c r="D8" s="2"/>
      <c r="E8" s="2"/>
      <c r="F8" s="2"/>
      <c r="G8" s="2"/>
      <c r="H8" s="2"/>
      <c r="I8" s="2"/>
    </row>
    <row r="9" spans="1:10">
      <c r="B9" s="3" t="str">
        <f>+'3 - Conta AC + SS'!B9</f>
        <v>Período: janeiro a fevereiro</v>
      </c>
      <c r="C9" s="3"/>
      <c r="D9" s="3"/>
      <c r="E9" s="3"/>
      <c r="F9" s="3"/>
      <c r="G9" s="3"/>
      <c r="H9" s="3"/>
      <c r="I9" s="3" t="str">
        <f>IF(Indice_index!$Z$1=1,"€ Milhões","€ Millions")</f>
        <v>€ Milhões</v>
      </c>
    </row>
    <row r="10" spans="1:10" ht="26.85" customHeight="1">
      <c r="B10" s="374"/>
      <c r="C10" s="22" t="str">
        <f>IF(Indice_index!$Z$1=1,"Execução Provisória","Provisional Execution")</f>
        <v>Execução Provisória</v>
      </c>
      <c r="D10" s="22" t="str">
        <f>IF(Indice_index!$Z$1=1,"Orçamento Inicial","Budget")</f>
        <v>Orçamento Inicial</v>
      </c>
      <c r="E10" s="375" t="str">
        <f>IF(Indice_index!$Z$1=1,"Execução Acumulada","Accumulated Execution")</f>
        <v>Execução Acumulada</v>
      </c>
      <c r="F10" s="372"/>
      <c r="G10" s="22" t="str">
        <f>IF(Indice_index!$Z$1=1,"Grau de Execução (%)","Execution Rate (%)")</f>
        <v>Grau de Execução (%)</v>
      </c>
      <c r="H10" s="375" t="str">
        <f>IF(Indice_index!$Z$1=1,"Variação Homóloga Acumulada","YOY Change Rate")</f>
        <v>Variação Homóloga Acumulada</v>
      </c>
      <c r="I10" s="372"/>
    </row>
    <row r="11" spans="1:10" ht="26.85" customHeight="1">
      <c r="B11" s="373"/>
      <c r="C11" s="22">
        <v>2025</v>
      </c>
      <c r="D11" s="22">
        <v>2026</v>
      </c>
      <c r="E11" s="22">
        <v>2025</v>
      </c>
      <c r="F11" s="22">
        <v>2026</v>
      </c>
      <c r="G11" s="22">
        <v>2026</v>
      </c>
      <c r="H11" s="22" t="str">
        <f>IF(Indice_index!$Z$1=1,"Relativa (%)","Relative change (%)")</f>
        <v>Relativa (%)</v>
      </c>
      <c r="I11" s="22" t="str">
        <f>IF(Indice_index!$Z$1=1,"Contributo VHA  (pp)","YOY Change Rate Contrib. (pp)")</f>
        <v>Contributo VHA  (pp)</v>
      </c>
    </row>
    <row r="12" spans="1:10" ht="14.1" customHeight="1">
      <c r="B12" s="167" t="str">
        <f>IF(Indice_index!$Z$1=1,"Receita fiscal","Tax revenue")</f>
        <v>Receita fiscal</v>
      </c>
      <c r="C12" s="128">
        <f>SUM(C13,C17)</f>
        <v>64798.709902730006</v>
      </c>
      <c r="D12" s="128">
        <f>SUM(D13,D17)</f>
        <v>67065.129833000014</v>
      </c>
      <c r="E12" s="128">
        <f>SUM(E13,E17)</f>
        <v>9676.4113101099992</v>
      </c>
      <c r="F12" s="128">
        <f>SUM(F13,F17)</f>
        <v>9623.6622541500001</v>
      </c>
      <c r="G12" s="128">
        <f>IFERROR(IF(F12/D12*100&lt;-500,"-",IF(F12/D12*100&gt;500,"-",F12/D12*100)),"-")</f>
        <v>14.349725823410825</v>
      </c>
      <c r="H12" s="128">
        <f t="shared" ref="H12:H25" si="0">IF(IFERROR((F12-E12)/E12*100,"")&gt;500,"-",IFERROR((F12-E12)/E12*100,""))</f>
        <v>-0.5451303615513583</v>
      </c>
      <c r="I12" s="128">
        <f t="shared" ref="I12:I51" si="1">IFERROR((F12-E12)/$E$62*100,"-")</f>
        <v>-0.50020518660075952</v>
      </c>
    </row>
    <row r="13" spans="1:10" ht="14.1" customHeight="1">
      <c r="B13" s="121" t="str">
        <f>IF(Indice_index!$Z$1=1,"Impostos diretos","Direct taxes")</f>
        <v>Impostos diretos</v>
      </c>
      <c r="C13" s="4">
        <f>SUM(C14:C16)</f>
        <v>28835.30717819</v>
      </c>
      <c r="D13" s="4">
        <f>SUM(D14:D16)</f>
        <v>29467.748506000004</v>
      </c>
      <c r="E13" s="4">
        <f>SUM(E14:E16)</f>
        <v>3514.8728725099995</v>
      </c>
      <c r="F13" s="4">
        <f>SUM(F14:F16)</f>
        <v>3413.6998501399999</v>
      </c>
      <c r="G13" s="4">
        <f t="shared" ref="G13:G61" si="2">IFERROR(IF(F13/D13*100&lt;-500,"-",IF(F13/D13*100&gt;500,"-",F13/D13*100)),"-")</f>
        <v>11.584528928109075</v>
      </c>
      <c r="H13" s="4">
        <f t="shared" si="0"/>
        <v>-2.8784262202277375</v>
      </c>
      <c r="I13" s="4">
        <f t="shared" si="1"/>
        <v>-0.95939670601735816</v>
      </c>
    </row>
    <row r="14" spans="1:10" ht="14.1" customHeight="1">
      <c r="B14" s="165" t="str">
        <f>IF(Indice_index!$Z$1=1,"Imposto sobre o Rendimento Pessoas Singulares (IRS)","Personal income tax (IRS)")</f>
        <v>Imposto sobre o Rendimento Pessoas Singulares (IRS)</v>
      </c>
      <c r="C14" s="4">
        <v>18584.11525825</v>
      </c>
      <c r="D14" s="4">
        <v>19495.862944</v>
      </c>
      <c r="E14" s="4">
        <v>3218.3531737799999</v>
      </c>
      <c r="F14" s="4">
        <v>3251.26614445</v>
      </c>
      <c r="G14" s="4">
        <f>IFERROR(IF(F14/D14*100&lt;-500,"-",IF(F14/D14*100&gt;500,"-",F14/D14*100)),"-")</f>
        <v>16.676697788597256</v>
      </c>
      <c r="H14" s="4">
        <f t="shared" si="0"/>
        <v>1.0226649746877627</v>
      </c>
      <c r="I14" s="4">
        <f t="shared" si="1"/>
        <v>0.31210489621003179</v>
      </c>
    </row>
    <row r="15" spans="1:10" ht="14.1" customHeight="1">
      <c r="B15" s="165" t="str">
        <f>IF(Indice_index!$Z$1=1,"Imposto sobre o Rendimento Pessoas Coletivas (IRC)","Corporate income tax (IRC)")</f>
        <v>Imposto sobre o Rendimento Pessoas Coletivas (IRC)</v>
      </c>
      <c r="C15" s="4">
        <v>9986.0073997500003</v>
      </c>
      <c r="D15" s="4">
        <v>9532.4416739999997</v>
      </c>
      <c r="E15" s="4">
        <v>291.45324555000002</v>
      </c>
      <c r="F15" s="4">
        <v>169.02298807</v>
      </c>
      <c r="G15" s="4">
        <f t="shared" si="2"/>
        <v>1.7731342488149171</v>
      </c>
      <c r="H15" s="4">
        <f t="shared" si="0"/>
        <v>-42.006825914380357</v>
      </c>
      <c r="I15" s="4">
        <f t="shared" si="1"/>
        <v>-1.1609733799748443</v>
      </c>
    </row>
    <row r="16" spans="1:10" ht="14.1" customHeight="1">
      <c r="B16" s="165" t="str">
        <f>IF(Indice_index!$Z$1=1,"Outros","Others")</f>
        <v>Outros</v>
      </c>
      <c r="C16" s="4">
        <v>265.18452019</v>
      </c>
      <c r="D16" s="4">
        <v>439.44388800000002</v>
      </c>
      <c r="E16" s="4">
        <v>5.0664531799999999</v>
      </c>
      <c r="F16" s="4">
        <v>-6.5892823800000002</v>
      </c>
      <c r="G16" s="4">
        <f t="shared" si="2"/>
        <v>-1.4994593302888308</v>
      </c>
      <c r="H16" s="4">
        <f t="shared" si="0"/>
        <v>-230.05710594566278</v>
      </c>
      <c r="I16" s="4">
        <f t="shared" si="1"/>
        <v>-0.11052822225254852</v>
      </c>
    </row>
    <row r="17" spans="2:9" ht="14.1" customHeight="1">
      <c r="B17" s="121" t="str">
        <f>IF(Indice_index!$Z$1=1,"Impostos indiretos","Indirect taxes")</f>
        <v>Impostos indiretos</v>
      </c>
      <c r="C17" s="4">
        <f>SUM(C18:C25)</f>
        <v>35963.402724540007</v>
      </c>
      <c r="D17" s="4">
        <f>SUM(D18:D25)</f>
        <v>37597.381327000003</v>
      </c>
      <c r="E17" s="4">
        <f>SUM(E18:E25)</f>
        <v>6161.5384375999993</v>
      </c>
      <c r="F17" s="4">
        <f>SUM(F18:F25)</f>
        <v>6209.9624040099998</v>
      </c>
      <c r="G17" s="4">
        <f t="shared" si="2"/>
        <v>16.517007793706121</v>
      </c>
      <c r="H17" s="4">
        <f t="shared" si="0"/>
        <v>0.78590707337796439</v>
      </c>
      <c r="I17" s="4">
        <f t="shared" si="1"/>
        <v>0.45919151941659875</v>
      </c>
    </row>
    <row r="18" spans="2:9" ht="14.1" customHeight="1">
      <c r="B18" s="165" t="str">
        <f>IF(Indice_index!$Z$1=1,"Imposto sobre os produtos petrolíferos e energéticos (ISP)","Tax on oil and energy products (ISP)")</f>
        <v>Imposto sobre os produtos petrolíferos e energéticos (ISP)</v>
      </c>
      <c r="C18" s="4">
        <v>3721.0990809199998</v>
      </c>
      <c r="D18" s="4">
        <v>4254.1977850000003</v>
      </c>
      <c r="E18" s="4">
        <v>636.76249167000003</v>
      </c>
      <c r="F18" s="4">
        <v>656.32933084000001</v>
      </c>
      <c r="G18" s="4">
        <f t="shared" si="2"/>
        <v>15.427804817965226</v>
      </c>
      <c r="H18" s="4">
        <f t="shared" si="0"/>
        <v>3.0728630260056877</v>
      </c>
      <c r="I18" s="4">
        <f t="shared" si="1"/>
        <v>0.1855471014616627</v>
      </c>
    </row>
    <row r="19" spans="2:9" ht="14.1" customHeight="1">
      <c r="B19" s="165" t="str">
        <f>IF(Indice_index!$Z$1=1,"Imposto sobre o Valor Acrescentado (IVA)","Value-added tax (IVA)")</f>
        <v>Imposto sobre o Valor Acrescentado (IVA)</v>
      </c>
      <c r="C19" s="4">
        <v>26670.033937759999</v>
      </c>
      <c r="D19" s="4">
        <v>27488.495267999999</v>
      </c>
      <c r="E19" s="4">
        <v>4617.1456521399996</v>
      </c>
      <c r="F19" s="4">
        <v>4650.1350461499997</v>
      </c>
      <c r="G19" s="4">
        <f t="shared" si="2"/>
        <v>16.9166591361708</v>
      </c>
      <c r="H19" s="4">
        <f t="shared" si="0"/>
        <v>0.71449758130783303</v>
      </c>
      <c r="I19" s="4">
        <f t="shared" si="1"/>
        <v>0.31282959829900092</v>
      </c>
    </row>
    <row r="20" spans="2:9" ht="14.1" customHeight="1">
      <c r="B20" s="165" t="str">
        <f>IF(Indice_index!$Z$1=1,"Imposto sobre Veículos (ISV)","Tax on vehicles (ISV)")</f>
        <v>Imposto sobre Veículos (ISV)</v>
      </c>
      <c r="C20" s="4">
        <v>438.95030600000001</v>
      </c>
      <c r="D20" s="4">
        <v>511.136056</v>
      </c>
      <c r="E20" s="4">
        <v>74.643802750000006</v>
      </c>
      <c r="F20" s="4">
        <v>75.464960259999998</v>
      </c>
      <c r="G20" s="4">
        <f t="shared" si="2"/>
        <v>14.764162960947525</v>
      </c>
      <c r="H20" s="4">
        <f t="shared" si="0"/>
        <v>1.1001013878543211</v>
      </c>
      <c r="I20" s="4">
        <f t="shared" si="1"/>
        <v>7.7868169968698612E-3</v>
      </c>
    </row>
    <row r="21" spans="2:9" ht="14.1" customHeight="1">
      <c r="B21" s="165" t="str">
        <f>IF(Indice_index!$Z$1=1,"Imposto de consumo sobre o Tabaco","Tax on tobacco")</f>
        <v>Imposto de consumo sobre o Tabaco</v>
      </c>
      <c r="C21" s="4">
        <v>1664.4303028300001</v>
      </c>
      <c r="D21" s="4">
        <v>1675.6859710000001</v>
      </c>
      <c r="E21" s="4">
        <v>240.22148272999999</v>
      </c>
      <c r="F21" s="4">
        <v>211.4654788</v>
      </c>
      <c r="G21" s="4">
        <f t="shared" si="2"/>
        <v>12.619636522576103</v>
      </c>
      <c r="H21" s="4">
        <f t="shared" si="0"/>
        <v>-11.970621279663265</v>
      </c>
      <c r="I21" s="4">
        <f t="shared" si="1"/>
        <v>-0.27268549265801961</v>
      </c>
    </row>
    <row r="22" spans="2:9" ht="14.1" customHeight="1">
      <c r="B22" s="165" t="str">
        <f>IF(Indice_index!$Z$1=1,"Imposto sobre o Álcool e as Bebidas Alcoólicas (IABA)","Tax on alcoholic beverages (IABA)")</f>
        <v>Imposto sobre o Álcool e as Bebidas Alcoólicas (IABA)</v>
      </c>
      <c r="C22" s="4">
        <v>345.69109587000003</v>
      </c>
      <c r="D22" s="4">
        <v>316.72232700000001</v>
      </c>
      <c r="E22" s="4">
        <v>48.94046934</v>
      </c>
      <c r="F22" s="4">
        <v>50.707181810000002</v>
      </c>
      <c r="G22" s="4">
        <f t="shared" si="2"/>
        <v>16.009980189997783</v>
      </c>
      <c r="H22" s="4">
        <f t="shared" si="0"/>
        <v>3.6099213878115246</v>
      </c>
      <c r="I22" s="4">
        <f t="shared" si="1"/>
        <v>1.6753261734131962E-2</v>
      </c>
    </row>
    <row r="23" spans="2:9" ht="14.1" customHeight="1">
      <c r="B23" s="165" t="str">
        <f>IF(Indice_index!$Z$1=1,"Imposto do Selo","Stamp tax")</f>
        <v>Imposto do Selo</v>
      </c>
      <c r="C23" s="4">
        <v>2260.6135258899999</v>
      </c>
      <c r="D23" s="4">
        <v>2458.435528</v>
      </c>
      <c r="E23" s="4">
        <v>399.15210088999999</v>
      </c>
      <c r="F23" s="4">
        <v>406.45950040999998</v>
      </c>
      <c r="G23" s="4">
        <f t="shared" si="2"/>
        <v>16.533258480065374</v>
      </c>
      <c r="H23" s="4">
        <f t="shared" si="0"/>
        <v>1.8307305670461178</v>
      </c>
      <c r="I23" s="4">
        <f t="shared" si="1"/>
        <v>6.9294114822447572E-2</v>
      </c>
    </row>
    <row r="24" spans="2:9" ht="14.1" customHeight="1">
      <c r="B24" s="165" t="str">
        <f>IF(Indice_index!$Z$1=1,"Imposto Único de Circulação (IUC)","Tax on vehicle circulation (IUC)")</f>
        <v>Imposto Único de Circulação (IUC)</v>
      </c>
      <c r="C24" s="4">
        <v>546.72621520999996</v>
      </c>
      <c r="D24" s="4">
        <v>601.70633999999995</v>
      </c>
      <c r="E24" s="4">
        <v>87.674919209999999</v>
      </c>
      <c r="F24" s="4">
        <v>90.111361259999995</v>
      </c>
      <c r="G24" s="4">
        <f t="shared" si="2"/>
        <v>14.975970048778281</v>
      </c>
      <c r="H24" s="4">
        <f t="shared" si="0"/>
        <v>2.778949866111883</v>
      </c>
      <c r="I24" s="4">
        <f t="shared" si="1"/>
        <v>2.310412817977955E-2</v>
      </c>
    </row>
    <row r="25" spans="2:9" ht="14.1" customHeight="1">
      <c r="B25" s="165" t="str">
        <f>IF(Indice_index!$Z$1=1,"Outros","Others")</f>
        <v>Outros</v>
      </c>
      <c r="C25" s="4">
        <v>315.85826006000002</v>
      </c>
      <c r="D25" s="4">
        <v>291.00205200000005</v>
      </c>
      <c r="E25" s="4">
        <v>56.997518870000036</v>
      </c>
      <c r="F25" s="4">
        <v>69.289544479999989</v>
      </c>
      <c r="G25" s="4">
        <f t="shared" si="2"/>
        <v>23.810672125432291</v>
      </c>
      <c r="H25" s="4">
        <f t="shared" si="0"/>
        <v>21.565895943708728</v>
      </c>
      <c r="I25" s="4">
        <f t="shared" si="1"/>
        <v>0.11656199058072086</v>
      </c>
    </row>
    <row r="26" spans="2:9" ht="14.1" customHeight="1">
      <c r="B26" s="167" t="str">
        <f>IF(Indice_index!$Z$1=1,"Contribuições para Segurança Social, CGA e ADSE","Social security, CGA and ADSE contributions")</f>
        <v>Contribuições para Segurança Social, CGA e ADSE</v>
      </c>
      <c r="C26" s="128">
        <f>SUM(C27:C28)</f>
        <v>88.056825009999997</v>
      </c>
      <c r="D26" s="128">
        <f>SUM(D27:D28)</f>
        <v>88.581599999999995</v>
      </c>
      <c r="E26" s="128">
        <f>SUM(E27:E28)</f>
        <v>13.52674515</v>
      </c>
      <c r="F26" s="128">
        <f>SUM(F27:F28)</f>
        <v>16.048162990000002</v>
      </c>
      <c r="G26" s="128">
        <f>IFERROR(IF(F26/D26*100&lt;-500,"-",IF(F26/D26*100&gt;500,"-",F26/D26*100)),"-")</f>
        <v>18.116813186937243</v>
      </c>
      <c r="H26" s="128">
        <f>IF(IFERROR((F26-E26)/E26*100,"")&gt;500,"-",IFERROR((F26-E26)/E26*100,""))</f>
        <v>18.640240590324137</v>
      </c>
      <c r="I26" s="128">
        <f>IFERROR((F26-E26)/$E$62*100,"-")</f>
        <v>2.390993086420545E-2</v>
      </c>
    </row>
    <row r="27" spans="2:9" ht="14.1" hidden="1" customHeight="1">
      <c r="B27" s="121" t="str">
        <f>IF(Indice_index!$Z$1=1,"Comparticipações para a ADSE","ADSE co-payments")</f>
        <v>Comparticipações para a ADSE</v>
      </c>
      <c r="C27" s="4">
        <v>0</v>
      </c>
      <c r="D27" s="4">
        <v>0</v>
      </c>
      <c r="E27" s="4">
        <v>0</v>
      </c>
      <c r="F27" s="4">
        <v>0</v>
      </c>
      <c r="G27" s="4" t="str">
        <f t="shared" si="2"/>
        <v>-</v>
      </c>
      <c r="H27" s="4" t="str">
        <f>IF(IFERROR((F27-E27)/E27*100,"")&gt;500,"-",IFERROR((F27-E27)/E27*100,""))</f>
        <v>-</v>
      </c>
      <c r="I27" s="4">
        <f t="shared" si="1"/>
        <v>0</v>
      </c>
    </row>
    <row r="28" spans="2:9" ht="14.1" customHeight="1">
      <c r="B28" s="121" t="str">
        <f>IF(Indice_index!$Z$1=1,"Outros","Others")</f>
        <v>Outros</v>
      </c>
      <c r="C28" s="4">
        <v>88.056825009999997</v>
      </c>
      <c r="D28" s="4">
        <v>88.581599999999995</v>
      </c>
      <c r="E28" s="4">
        <v>13.52674515</v>
      </c>
      <c r="F28" s="4">
        <v>16.048162990000002</v>
      </c>
      <c r="G28" s="4">
        <f t="shared" si="2"/>
        <v>18.116813186937243</v>
      </c>
      <c r="H28" s="4">
        <f>IF(IFERROR((F28-E28)/E28*100,"")&gt;500,"-",IFERROR((F28-E28)/E28*100,""))</f>
        <v>18.640240590324137</v>
      </c>
      <c r="I28" s="4">
        <f t="shared" si="1"/>
        <v>2.390993086420545E-2</v>
      </c>
    </row>
    <row r="29" spans="2:9" ht="14.1" customHeight="1">
      <c r="B29" s="167" t="str">
        <f>IF(Indice_index!$Z$1=1,"Receita não fiscal","Non-tax revenue")</f>
        <v>Receita não fiscal</v>
      </c>
      <c r="C29" s="128">
        <f>+C30+C53</f>
        <v>5445.0811343300002</v>
      </c>
      <c r="D29" s="128">
        <f>+D30+D53</f>
        <v>6865.2560169999997</v>
      </c>
      <c r="E29" s="128">
        <f>+E30+E53</f>
        <v>855.54555287000005</v>
      </c>
      <c r="F29" s="128">
        <f>+F30+F53</f>
        <v>1234.3968460000001</v>
      </c>
      <c r="G29" s="128">
        <f t="shared" si="2"/>
        <v>17.980346879174515</v>
      </c>
      <c r="H29" s="128">
        <f t="shared" ref="H29:H51" si="3">IF(IFERROR((F29-E29)/E29*100,"")&gt;500,"-",IFERROR((F29-E29)/E29*100,""))</f>
        <v>44.28183769515384</v>
      </c>
      <c r="I29" s="128">
        <f t="shared" si="1"/>
        <v>3.5925454650361037</v>
      </c>
    </row>
    <row r="30" spans="2:9" ht="14.1" customHeight="1">
      <c r="B30" s="121" t="str">
        <f>IF(Indice_index!$Z$1=1,"Correntes","Current")</f>
        <v>Correntes</v>
      </c>
      <c r="C30" s="4">
        <f>SUM(C31,C36,C40,C45:C46,C50:C52)</f>
        <v>5138.9748881000005</v>
      </c>
      <c r="D30" s="4">
        <f>SUM(D31,D36,D40,D45:D46,D50:D52)</f>
        <v>5346.5674039999994</v>
      </c>
      <c r="E30" s="4">
        <f>SUM(E31,E36,E40,E45:E46,E50:E52)</f>
        <v>820.58469559000002</v>
      </c>
      <c r="F30" s="4">
        <f>SUM(F31,F36,F40,F45:F46,F50:F52)</f>
        <v>1180.5533022300001</v>
      </c>
      <c r="G30" s="4">
        <f t="shared" si="2"/>
        <v>22.080583915331861</v>
      </c>
      <c r="H30" s="4">
        <f t="shared" si="3"/>
        <v>43.867331254719879</v>
      </c>
      <c r="I30" s="4">
        <f t="shared" si="1"/>
        <v>3.4134860004190202</v>
      </c>
    </row>
    <row r="31" spans="2:9" ht="14.1" customHeight="1">
      <c r="B31" s="165" t="str">
        <f>IF(Indice_index!$Z$1=1,"Taxas, multas e outras penalidades","Taxes, fines and other penalties")</f>
        <v>Taxas, multas e outras penalidades</v>
      </c>
      <c r="C31" s="4">
        <f>SUM(C32:C35)</f>
        <v>1014.5354292599999</v>
      </c>
      <c r="D31" s="4">
        <f>SUM(D32:D35)</f>
        <v>1054.0950769999999</v>
      </c>
      <c r="E31" s="4">
        <f>SUM(E32:E35)</f>
        <v>179.70972502999999</v>
      </c>
      <c r="F31" s="4">
        <f>SUM(F32:F35)</f>
        <v>185.28650334000002</v>
      </c>
      <c r="G31" s="4">
        <f t="shared" si="2"/>
        <v>17.577779024197078</v>
      </c>
      <c r="H31" s="4">
        <f t="shared" si="3"/>
        <v>3.1032145361465959</v>
      </c>
      <c r="I31" s="4">
        <f t="shared" si="1"/>
        <v>5.2883096852008205E-2</v>
      </c>
    </row>
    <row r="32" spans="2:9" ht="14.1" customHeight="1">
      <c r="B32" s="302" t="str">
        <f>IF(Indice_index!$Z$1=1,"Taxas","Taxes")</f>
        <v>Taxas</v>
      </c>
      <c r="C32" s="4">
        <v>627.40134143</v>
      </c>
      <c r="D32" s="4">
        <v>698.88217899999995</v>
      </c>
      <c r="E32" s="4">
        <v>106.4997537</v>
      </c>
      <c r="F32" s="4">
        <v>104.46302993</v>
      </c>
      <c r="G32" s="4">
        <f t="shared" si="2"/>
        <v>14.947158915895036</v>
      </c>
      <c r="H32" s="4">
        <f t="shared" si="3"/>
        <v>-1.9124211082565112</v>
      </c>
      <c r="I32" s="4">
        <f t="shared" si="1"/>
        <v>-1.9313706660449317E-2</v>
      </c>
    </row>
    <row r="33" spans="2:9" ht="14.1" customHeight="1">
      <c r="B33" s="302" t="str">
        <f>IF(Indice_index!$Z$1=1,"Juros de mora e compensatórios","Default and compensatory interests")</f>
        <v>Juros de mora e compensatórios</v>
      </c>
      <c r="C33" s="4">
        <v>152.13946984999998</v>
      </c>
      <c r="D33" s="4">
        <v>96.02885599999999</v>
      </c>
      <c r="E33" s="4">
        <v>27.93775145</v>
      </c>
      <c r="F33" s="4">
        <v>39.852378590000001</v>
      </c>
      <c r="G33" s="4">
        <f t="shared" si="2"/>
        <v>41.500420029995986</v>
      </c>
      <c r="H33" s="4">
        <f t="shared" si="3"/>
        <v>42.647051110478685</v>
      </c>
      <c r="I33" s="4">
        <f t="shared" si="1"/>
        <v>0.11298322184877765</v>
      </c>
    </row>
    <row r="34" spans="2:9" ht="14.1" customHeight="1">
      <c r="B34" s="302" t="str">
        <f>IF(Indice_index!$Z$1=1,"Multas do Código da Estrada","Highway code fines")</f>
        <v>Multas do Código da Estrada</v>
      </c>
      <c r="C34" s="4">
        <v>86.937241270000001</v>
      </c>
      <c r="D34" s="4">
        <v>112.11437599999999</v>
      </c>
      <c r="E34" s="4">
        <v>18.11782491</v>
      </c>
      <c r="F34" s="4">
        <v>16.817283329999999</v>
      </c>
      <c r="G34" s="4">
        <f t="shared" si="2"/>
        <v>15.000113214740631</v>
      </c>
      <c r="H34" s="4">
        <f t="shared" si="3"/>
        <v>-7.1782434506372592</v>
      </c>
      <c r="I34" s="4">
        <f t="shared" si="1"/>
        <v>-1.2332687891121024E-2</v>
      </c>
    </row>
    <row r="35" spans="2:9" ht="14.1" customHeight="1">
      <c r="B35" s="302" t="str">
        <f>IF(Indice_index!$Z$1=1,"Outras multas e penalidades diversas","Other fines and diverse penalties")</f>
        <v>Outras multas e penalidades diversas</v>
      </c>
      <c r="C35" s="4">
        <v>148.05737671</v>
      </c>
      <c r="D35" s="4">
        <v>147.06966600000001</v>
      </c>
      <c r="E35" s="4">
        <v>27.154394969999998</v>
      </c>
      <c r="F35" s="4">
        <v>24.153811489999999</v>
      </c>
      <c r="G35" s="4">
        <f t="shared" si="2"/>
        <v>16.423380937031567</v>
      </c>
      <c r="H35" s="4">
        <f t="shared" si="3"/>
        <v>-11.050084096202568</v>
      </c>
      <c r="I35" s="4">
        <f t="shared" si="1"/>
        <v>-2.8453730445199412E-2</v>
      </c>
    </row>
    <row r="36" spans="2:9" ht="14.1" customHeight="1">
      <c r="B36" s="165" t="str">
        <f>IF(Indice_index!$Z$1=1,"Rendimentos da propriedade","Property income")</f>
        <v>Rendimentos da propriedade</v>
      </c>
      <c r="C36" s="4">
        <f>SUM(C37:C39)</f>
        <v>778.27122419999989</v>
      </c>
      <c r="D36" s="4">
        <f>SUM(D37:D39)</f>
        <v>1226.5930700000001</v>
      </c>
      <c r="E36" s="4">
        <f>SUM(E37:E39)</f>
        <v>12.550965680000001</v>
      </c>
      <c r="F36" s="4">
        <f>SUM(F37:F39)</f>
        <v>22.6322169</v>
      </c>
      <c r="G36" s="4">
        <f t="shared" si="2"/>
        <v>1.8451283847543667</v>
      </c>
      <c r="H36" s="4">
        <f t="shared" si="3"/>
        <v>80.322514434602425</v>
      </c>
      <c r="I36" s="4">
        <f t="shared" si="1"/>
        <v>9.5597808451647462E-2</v>
      </c>
    </row>
    <row r="37" spans="2:9" ht="14.1" customHeight="1">
      <c r="B37" s="302" t="str">
        <f>IF(Indice_index!$Z$1=1,"Juros","Interests")</f>
        <v>Juros</v>
      </c>
      <c r="C37" s="4">
        <v>69.071766660000009</v>
      </c>
      <c r="D37" s="4">
        <v>74.025294000000002</v>
      </c>
      <c r="E37" s="4">
        <v>12.206615880000001</v>
      </c>
      <c r="F37" s="4">
        <v>15.179327350000001</v>
      </c>
      <c r="G37" s="4">
        <f t="shared" si="2"/>
        <v>20.505595492805472</v>
      </c>
      <c r="H37" s="4">
        <f t="shared" si="3"/>
        <v>24.353281034022345</v>
      </c>
      <c r="I37" s="4">
        <f t="shared" si="1"/>
        <v>2.8189427630499558E-2</v>
      </c>
    </row>
    <row r="38" spans="2:9" ht="14.1" customHeight="1">
      <c r="B38" s="302" t="str">
        <f>IF(Indice_index!$Z$1=1,"Dividendos e participações nos lucros","Dividends and profit participations")</f>
        <v>Dividendos e participações nos lucros</v>
      </c>
      <c r="C38" s="4">
        <v>703.74538272999996</v>
      </c>
      <c r="D38" s="4">
        <v>1135.8121160000001</v>
      </c>
      <c r="E38" s="4">
        <v>1.8661E-4</v>
      </c>
      <c r="F38" s="4">
        <v>7.1237429299999997</v>
      </c>
      <c r="G38" s="4">
        <f t="shared" si="2"/>
        <v>0.62719377876402227</v>
      </c>
      <c r="H38" s="4" t="str">
        <f t="shared" si="3"/>
        <v>-</v>
      </c>
      <c r="I38" s="4">
        <f t="shared" si="1"/>
        <v>6.7550778937327458E-2</v>
      </c>
    </row>
    <row r="39" spans="2:9" ht="14.1" customHeight="1">
      <c r="B39" s="302" t="str">
        <f>IF(Indice_index!$Z$1=1,"Outros","Others")</f>
        <v>Outros</v>
      </c>
      <c r="C39" s="4">
        <v>5.4540748099999998</v>
      </c>
      <c r="D39" s="4">
        <v>16.755659999999999</v>
      </c>
      <c r="E39" s="4">
        <v>0.34416319000000001</v>
      </c>
      <c r="F39" s="4">
        <v>0.32914662</v>
      </c>
      <c r="G39" s="4">
        <f t="shared" si="2"/>
        <v>1.9643906596338194</v>
      </c>
      <c r="H39" s="4">
        <f t="shared" si="3"/>
        <v>-4.3632121145785536</v>
      </c>
      <c r="I39" s="4">
        <f t="shared" si="1"/>
        <v>-1.4239811617954666E-4</v>
      </c>
    </row>
    <row r="40" spans="2:9" ht="14.1" customHeight="1">
      <c r="B40" s="165" t="str">
        <f>IF(Indice_index!$Z$1=1,"Transferências correntes","Current transfers")</f>
        <v>Transferências correntes</v>
      </c>
      <c r="C40" s="4">
        <f>SUM(C41:C44)</f>
        <v>1111.7663694000003</v>
      </c>
      <c r="D40" s="4">
        <f>SUM(D41:D44)</f>
        <v>1168.6355290000001</v>
      </c>
      <c r="E40" s="4">
        <f>SUM(E41:E44)</f>
        <v>164.01359412000002</v>
      </c>
      <c r="F40" s="4">
        <f>SUM(F41:F44)</f>
        <v>181.55452337</v>
      </c>
      <c r="G40" s="4">
        <f t="shared" si="2"/>
        <v>15.535598470581839</v>
      </c>
      <c r="H40" s="4">
        <f t="shared" si="3"/>
        <v>10.694802064496075</v>
      </c>
      <c r="I40" s="4">
        <f t="shared" si="1"/>
        <v>0.16633593964791588</v>
      </c>
    </row>
    <row r="41" spans="2:9" ht="14.1" customHeight="1">
      <c r="B41" s="302" t="str">
        <f>IF(Indice_index!$Z$1=1,"Administração Central","Central Administration")</f>
        <v>Administração Central</v>
      </c>
      <c r="C41" s="4">
        <v>590.65292631000011</v>
      </c>
      <c r="D41" s="4">
        <v>539.05033000000003</v>
      </c>
      <c r="E41" s="4">
        <v>84.479388499999999</v>
      </c>
      <c r="F41" s="4">
        <v>91.908599159999994</v>
      </c>
      <c r="G41" s="4">
        <f t="shared" si="2"/>
        <v>17.050096075444383</v>
      </c>
      <c r="H41" s="4">
        <f t="shared" si="3"/>
        <v>8.7941103645654302</v>
      </c>
      <c r="I41" s="4">
        <f t="shared" si="1"/>
        <v>7.0449217276981724E-2</v>
      </c>
    </row>
    <row r="42" spans="2:9" ht="14.1" customHeight="1">
      <c r="B42" s="302" t="str">
        <f>IF(Indice_index!$Z$1=1,"Outros subsetores das Administrações Públicas","Other General Government subsectors")</f>
        <v>Outros subsetores das Administrações Públicas</v>
      </c>
      <c r="C42" s="4">
        <v>261.15631215999997</v>
      </c>
      <c r="D42" s="4">
        <v>286.86964499999999</v>
      </c>
      <c r="E42" s="4">
        <v>42.986467730000001</v>
      </c>
      <c r="F42" s="4">
        <v>45.03871169</v>
      </c>
      <c r="G42" s="4">
        <f t="shared" si="2"/>
        <v>15.70006184864906</v>
      </c>
      <c r="H42" s="4">
        <f t="shared" si="3"/>
        <v>4.7741628200070734</v>
      </c>
      <c r="I42" s="4">
        <f t="shared" si="1"/>
        <v>1.9460880470363911E-2</v>
      </c>
    </row>
    <row r="43" spans="2:9" ht="14.1" customHeight="1">
      <c r="B43" s="302" t="str">
        <f>IF(Indice_index!$Z$1=1,"União Europeia","European Union")</f>
        <v>União Europeia</v>
      </c>
      <c r="C43" s="4">
        <v>234.56073609000001</v>
      </c>
      <c r="D43" s="4">
        <v>306.20966099999998</v>
      </c>
      <c r="E43" s="4">
        <v>31.31425467</v>
      </c>
      <c r="F43" s="4">
        <v>41.237807780000004</v>
      </c>
      <c r="G43" s="4">
        <f t="shared" si="2"/>
        <v>13.467180508063725</v>
      </c>
      <c r="H43" s="4">
        <f t="shared" si="3"/>
        <v>31.69021014415862</v>
      </c>
      <c r="I43" s="4">
        <f t="shared" si="1"/>
        <v>9.4102399460841021E-2</v>
      </c>
    </row>
    <row r="44" spans="2:9" ht="14.1" customHeight="1">
      <c r="B44" s="302" t="str">
        <f>IF(Indice_index!$Z$1=1,"Outros","Others")</f>
        <v>Outros</v>
      </c>
      <c r="C44" s="4">
        <v>25.396394839999999</v>
      </c>
      <c r="D44" s="4">
        <v>36.505893</v>
      </c>
      <c r="E44" s="4">
        <v>5.2334832200000001</v>
      </c>
      <c r="F44" s="4">
        <v>3.3694047399999998</v>
      </c>
      <c r="G44" s="4">
        <f t="shared" si="2"/>
        <v>9.2297556999906831</v>
      </c>
      <c r="H44" s="4">
        <f t="shared" si="3"/>
        <v>-35.618313877005228</v>
      </c>
      <c r="I44" s="4">
        <f t="shared" si="1"/>
        <v>-1.76765575602706E-2</v>
      </c>
    </row>
    <row r="45" spans="2:9" ht="14.1" customHeight="1">
      <c r="B45" s="165" t="str">
        <f>IF(Indice_index!$Z$1=1,"Venda de bens e serviços correntes","Sale of current goods and services")</f>
        <v>Venda de bens e serviços correntes</v>
      </c>
      <c r="C45" s="4">
        <v>877.37109299999997</v>
      </c>
      <c r="D45" s="4">
        <v>1040.7558079999999</v>
      </c>
      <c r="E45" s="4">
        <v>70.577951959999993</v>
      </c>
      <c r="F45" s="4">
        <v>83.071730909999999</v>
      </c>
      <c r="G45" s="4">
        <f t="shared" si="2"/>
        <v>7.9818657048512973</v>
      </c>
      <c r="H45" s="4">
        <f t="shared" si="3"/>
        <v>17.702099030984701</v>
      </c>
      <c r="I45" s="4">
        <f t="shared" si="1"/>
        <v>0.11847516353226299</v>
      </c>
    </row>
    <row r="46" spans="2:9" ht="14.1" customHeight="1">
      <c r="B46" s="165" t="str">
        <f>IF(Indice_index!$Z$1=1,"Outras receitas correntes","Other current revenue")</f>
        <v>Outras receitas correntes</v>
      </c>
      <c r="C46" s="4">
        <f>SUM(C47:C49)</f>
        <v>290.13483776999999</v>
      </c>
      <c r="D46" s="4">
        <f>SUM(D47:D49)</f>
        <v>373.24326399999995</v>
      </c>
      <c r="E46" s="4">
        <f>SUM(E47:E49)</f>
        <v>32.67672924</v>
      </c>
      <c r="F46" s="4">
        <f>SUM(F47:F49)</f>
        <v>133.32901871999999</v>
      </c>
      <c r="G46" s="4">
        <f t="shared" si="2"/>
        <v>35.721748141180122</v>
      </c>
      <c r="H46" s="4">
        <f t="shared" si="3"/>
        <v>308.02437031179437</v>
      </c>
      <c r="I46" s="4">
        <f t="shared" si="1"/>
        <v>0.95445873532440473</v>
      </c>
    </row>
    <row r="47" spans="2:9" ht="14.1" customHeight="1">
      <c r="B47" s="302" t="str">
        <f>IF(Indice_index!$Z$1=1,"Prémios e taxas por garantias de riscos","Premiums and rates on risk guarantees")</f>
        <v>Prémios e taxas por garantias de riscos</v>
      </c>
      <c r="C47" s="4">
        <v>26.729609620000002</v>
      </c>
      <c r="D47" s="4">
        <v>59.947685999999997</v>
      </c>
      <c r="E47" s="4">
        <v>8.3419735199999998</v>
      </c>
      <c r="F47" s="4">
        <v>87.005573740000003</v>
      </c>
      <c r="G47" s="4">
        <f t="shared" si="2"/>
        <v>145.13583349989523</v>
      </c>
      <c r="H47" s="4" t="str">
        <f t="shared" si="3"/>
        <v>-</v>
      </c>
      <c r="I47" s="4">
        <f>IFERROR((F47-E47)/$E$62*100,"-")</f>
        <v>0.74594587733610063</v>
      </c>
    </row>
    <row r="48" spans="2:9" ht="14.1" customHeight="1">
      <c r="B48" s="302" t="str">
        <f>IF(Indice_index!$Z$1=1,"Subsídios","Subsidies")</f>
        <v>Subsídios</v>
      </c>
      <c r="C48" s="4">
        <v>148.33309936000001</v>
      </c>
      <c r="D48" s="4">
        <v>199.157714</v>
      </c>
      <c r="E48" s="4">
        <v>12.8607063</v>
      </c>
      <c r="F48" s="4">
        <v>35.065572940000003</v>
      </c>
      <c r="G48" s="4">
        <f t="shared" si="2"/>
        <v>17.606936852066902</v>
      </c>
      <c r="H48" s="4">
        <f t="shared" si="3"/>
        <v>172.65666536526069</v>
      </c>
      <c r="I48" s="4">
        <f t="shared" si="1"/>
        <v>0.21056281025254495</v>
      </c>
    </row>
    <row r="49" spans="2:9" ht="14.1" customHeight="1">
      <c r="B49" s="302" t="str">
        <f>IF(Indice_index!$Z$1=1,"Outras","Others")</f>
        <v>Outras</v>
      </c>
      <c r="C49" s="4">
        <v>115.07212879000001</v>
      </c>
      <c r="D49" s="4">
        <v>114.13786399999999</v>
      </c>
      <c r="E49" s="4">
        <v>11.47404942</v>
      </c>
      <c r="F49" s="4">
        <v>11.257872040000001</v>
      </c>
      <c r="G49" s="4">
        <f t="shared" si="2"/>
        <v>9.8633982146362946</v>
      </c>
      <c r="H49" s="4">
        <f t="shared" si="3"/>
        <v>-1.8840548100062089</v>
      </c>
      <c r="I49" s="4">
        <f t="shared" si="1"/>
        <v>-2.0499522642407637E-3</v>
      </c>
    </row>
    <row r="50" spans="2:9" ht="14.1" customHeight="1">
      <c r="B50" s="165" t="str">
        <f>IF(Indice_index!$Z$1=1,"Recursos próprios comunitários","Community own resources")</f>
        <v>Recursos próprios comunitários</v>
      </c>
      <c r="C50" s="4">
        <v>389.85101615000002</v>
      </c>
      <c r="D50" s="4">
        <v>380</v>
      </c>
      <c r="E50" s="4">
        <v>56.143242979999997</v>
      </c>
      <c r="F50" s="4">
        <v>55.633034379999998</v>
      </c>
      <c r="G50" s="4">
        <f t="shared" si="2"/>
        <v>14.640272205263157</v>
      </c>
      <c r="H50" s="4">
        <f t="shared" si="3"/>
        <v>-0.90876225333429894</v>
      </c>
      <c r="I50" s="4">
        <f t="shared" si="1"/>
        <v>-4.8381716662728984E-3</v>
      </c>
    </row>
    <row r="51" spans="2:9" ht="14.1" customHeight="1">
      <c r="B51" s="165" t="str">
        <f>IF(Indice_index!$Z$1=1,"Reposições não abatidas nos pagamentos","Refunds not deducted from payments")</f>
        <v>Reposições não abatidas nos pagamentos</v>
      </c>
      <c r="C51" s="4">
        <v>657.98758356999997</v>
      </c>
      <c r="D51" s="4">
        <v>101.26146799999999</v>
      </c>
      <c r="E51" s="4">
        <v>273.7307619</v>
      </c>
      <c r="F51" s="4">
        <v>519.04510791999996</v>
      </c>
      <c r="G51" s="4" t="str">
        <f t="shared" si="2"/>
        <v>-</v>
      </c>
      <c r="H51" s="4">
        <f t="shared" si="3"/>
        <v>89.618844559976353</v>
      </c>
      <c r="I51" s="4">
        <f t="shared" si="1"/>
        <v>2.3262503184858758</v>
      </c>
    </row>
    <row r="52" spans="2:9" ht="14.1" customHeight="1">
      <c r="B52" s="165" t="str">
        <f>IF(Indice_index!$Z$1=1,"Diferenças de consolidação","Consolidation differences")</f>
        <v>Diferenças de consolidação</v>
      </c>
      <c r="C52" s="4">
        <v>19.057334749999935</v>
      </c>
      <c r="D52" s="4">
        <v>1.9831879999999842</v>
      </c>
      <c r="E52" s="4">
        <v>31.181724680000006</v>
      </c>
      <c r="F52" s="4">
        <v>1.16669E-3</v>
      </c>
      <c r="G52" s="4">
        <f t="shared" si="2"/>
        <v>5.8829016714502566E-2</v>
      </c>
      <c r="H52" s="4"/>
      <c r="I52" s="4"/>
    </row>
    <row r="53" spans="2:9" ht="14.1" customHeight="1">
      <c r="B53" s="121" t="s">
        <v>7</v>
      </c>
      <c r="C53" s="4">
        <f>SUM(C54:C55,C60:C61)</f>
        <v>306.10624623000001</v>
      </c>
      <c r="D53" s="4">
        <f>SUM(D54:D55,D60:D61)</f>
        <v>1518.688613</v>
      </c>
      <c r="E53" s="4">
        <f>SUM(E54:E55,E60:E61)</f>
        <v>34.960857279999999</v>
      </c>
      <c r="F53" s="4">
        <f>SUM(F54:F55,F60:F61)</f>
        <v>53.843543769999997</v>
      </c>
      <c r="G53" s="4">
        <f t="shared" si="2"/>
        <v>3.5453972136946543</v>
      </c>
      <c r="H53" s="4">
        <f t="shared" ref="H53:H60" si="4">IF(IFERROR((F53-E53)/E53*100,"")&gt;500,"-",IFERROR((F53-E53)/E53*100,""))</f>
        <v>54.01093668490271</v>
      </c>
      <c r="I53" s="4">
        <f t="shared" ref="I53:I59" si="5">IFERROR((F53-E53)/$E$62*100,"-")</f>
        <v>0.17905946461708463</v>
      </c>
    </row>
    <row r="54" spans="2:9" ht="14.1" customHeight="1">
      <c r="B54" s="165" t="str">
        <f>IF(Indice_index!$Z$1=1,"Venda de bens de investimento","Sale of investment goods")</f>
        <v>Venda de bens de investimento</v>
      </c>
      <c r="C54" s="4">
        <v>22.13174381</v>
      </c>
      <c r="D54" s="4">
        <v>821.46819900000003</v>
      </c>
      <c r="E54" s="4">
        <v>9.5400000000000001E-6</v>
      </c>
      <c r="F54" s="4">
        <v>2.7840000000000001E-5</v>
      </c>
      <c r="G54" s="4">
        <f t="shared" si="2"/>
        <v>3.3890538956822118E-6</v>
      </c>
      <c r="H54" s="4">
        <f t="shared" si="4"/>
        <v>191.82389937106919</v>
      </c>
      <c r="I54" s="4">
        <f t="shared" si="5"/>
        <v>1.7353400450873287E-7</v>
      </c>
    </row>
    <row r="55" spans="2:9" ht="14.1" customHeight="1">
      <c r="B55" s="165" t="str">
        <f>IF(Indice_index!$Z$1=1,"Transferências de capital","Capital transfers")</f>
        <v>Transferências de capital</v>
      </c>
      <c r="C55" s="4">
        <f>SUM(C56:C59)</f>
        <v>270.86380952000002</v>
      </c>
      <c r="D55" s="4">
        <f>SUM(D56:D59)</f>
        <v>694.0793799999999</v>
      </c>
      <c r="E55" s="4">
        <f>SUM(E56:E59)</f>
        <v>33.141602769999999</v>
      </c>
      <c r="F55" s="4">
        <f>SUM(F56:F59)</f>
        <v>52.496321449999996</v>
      </c>
      <c r="G55" s="4">
        <f t="shared" si="2"/>
        <v>7.5634463380831169</v>
      </c>
      <c r="H55" s="4">
        <f t="shared" si="4"/>
        <v>58.400068380277673</v>
      </c>
      <c r="I55" s="4">
        <f t="shared" si="5"/>
        <v>0.18353561960002054</v>
      </c>
    </row>
    <row r="56" spans="2:9" ht="14.1" customHeight="1">
      <c r="B56" s="302" t="str">
        <f>IF(Indice_index!$Z$1=1,"Administração Central","Central Administration")</f>
        <v>Administração Central</v>
      </c>
      <c r="C56" s="4">
        <v>147.67190382999999</v>
      </c>
      <c r="D56" s="4">
        <v>149.395657</v>
      </c>
      <c r="E56" s="4">
        <v>10.903383329999999</v>
      </c>
      <c r="F56" s="4">
        <v>20.98621893</v>
      </c>
      <c r="G56" s="4">
        <f t="shared" si="2"/>
        <v>14.047408975215388</v>
      </c>
      <c r="H56" s="4">
        <f t="shared" si="4"/>
        <v>92.474375107565834</v>
      </c>
      <c r="I56" s="4">
        <f t="shared" si="5"/>
        <v>9.5612832703344947E-2</v>
      </c>
    </row>
    <row r="57" spans="2:9" ht="14.1" customHeight="1">
      <c r="B57" s="302" t="str">
        <f>IF(Indice_index!$Z$1=1,"Outros subsetores das Administrações Públicas","Other General Government subsectors")</f>
        <v>Outros subsetores das Administrações Públicas</v>
      </c>
      <c r="C57" s="4">
        <v>2.4856130000000001E-2</v>
      </c>
      <c r="D57" s="4">
        <v>2.284E-3</v>
      </c>
      <c r="E57" s="4">
        <v>5.0046500000000002E-3</v>
      </c>
      <c r="F57" s="4">
        <v>7.6246700000000001E-3</v>
      </c>
      <c r="G57" s="4">
        <f>IFERROR(IF(F57/D57*100&lt;-500,"-",IF(F57/D57*100&gt;500,"-",F57/D57*100)),"-")</f>
        <v>333.82968476357269</v>
      </c>
      <c r="H57" s="4">
        <f t="shared" si="4"/>
        <v>52.351712906996482</v>
      </c>
      <c r="I57" s="4">
        <f t="shared" si="5"/>
        <v>2.4844948770107666E-5</v>
      </c>
    </row>
    <row r="58" spans="2:9" ht="14.1" customHeight="1">
      <c r="B58" s="302" t="str">
        <f>IF(Indice_index!$Z$1=1,"União Europeia","European Union")</f>
        <v>União Europeia</v>
      </c>
      <c r="C58" s="4">
        <v>118.73639897999999</v>
      </c>
      <c r="D58" s="4">
        <v>544.68043899999998</v>
      </c>
      <c r="E58" s="4">
        <v>21.813641520000001</v>
      </c>
      <c r="F58" s="4">
        <v>31.026640449999999</v>
      </c>
      <c r="G58" s="4">
        <f t="shared" si="2"/>
        <v>5.6963015795028396</v>
      </c>
      <c r="H58" s="4">
        <f t="shared" si="4"/>
        <v>42.235034079720208</v>
      </c>
      <c r="I58" s="4">
        <f t="shared" si="5"/>
        <v>8.7364404254512057E-2</v>
      </c>
    </row>
    <row r="59" spans="2:9" ht="14.1" customHeight="1">
      <c r="B59" s="302" t="str">
        <f>IF(Indice_index!$Z$1=1,"Outros","Others")</f>
        <v>Outros</v>
      </c>
      <c r="C59" s="4">
        <v>4.43065058</v>
      </c>
      <c r="D59" s="4">
        <v>1E-3</v>
      </c>
      <c r="E59" s="4">
        <v>0.41957327</v>
      </c>
      <c r="F59" s="4">
        <v>0.47583740000000002</v>
      </c>
      <c r="G59" s="4" t="str">
        <f t="shared" si="2"/>
        <v>-</v>
      </c>
      <c r="H59" s="4">
        <f t="shared" si="4"/>
        <v>13.409846151543453</v>
      </c>
      <c r="I59" s="4">
        <f t="shared" si="5"/>
        <v>5.3353769339343918E-4</v>
      </c>
    </row>
    <row r="60" spans="2:9" ht="14.1" customHeight="1">
      <c r="B60" s="165" t="str">
        <f>IF(Indice_index!$Z$1=1,"Outras receitas de capital","Other capital revenue")</f>
        <v>Outras receitas de capital</v>
      </c>
      <c r="C60" s="4">
        <v>13.1106929</v>
      </c>
      <c r="D60" s="4">
        <v>2.9259620000000002</v>
      </c>
      <c r="E60" s="4">
        <v>0.25772173999999998</v>
      </c>
      <c r="F60" s="4">
        <v>0.90567209999999998</v>
      </c>
      <c r="G60" s="4">
        <f t="shared" si="2"/>
        <v>30.952968630488019</v>
      </c>
      <c r="H60" s="4">
        <f t="shared" si="4"/>
        <v>251.41470797147346</v>
      </c>
      <c r="I60" s="4">
        <f>IFERROR((F60-E60)/$E$62*100,"-")</f>
        <v>6.1443399286161254E-3</v>
      </c>
    </row>
    <row r="61" spans="2:9" ht="14.1" customHeight="1">
      <c r="B61" s="165" t="str">
        <f>IF(Indice_index!$Z$1=1,"Diferenças de consolidação","Consolidation differences")</f>
        <v>Diferenças de consolidação</v>
      </c>
      <c r="C61" s="4">
        <v>0</v>
      </c>
      <c r="D61" s="4">
        <v>0.21507199999999926</v>
      </c>
      <c r="E61" s="4">
        <v>1.5615232300000002</v>
      </c>
      <c r="F61" s="4">
        <v>0.44152237999999999</v>
      </c>
      <c r="G61" s="4">
        <f t="shared" si="2"/>
        <v>205.29049806576472</v>
      </c>
      <c r="H61" s="4"/>
      <c r="I61" s="4"/>
    </row>
    <row r="62" spans="2:9" ht="14.1" customHeight="1">
      <c r="B62" s="29" t="str">
        <f>IF(Indice_index!$Z$1=1,"Receita efetiva","Effective Revenue")</f>
        <v>Receita efetiva</v>
      </c>
      <c r="C62" s="18">
        <f>+C12+C26+C29</f>
        <v>70331.847862070004</v>
      </c>
      <c r="D62" s="18">
        <f>+D12+D26+D29</f>
        <v>74018.967450000026</v>
      </c>
      <c r="E62" s="18">
        <f>+E12+E26+E29</f>
        <v>10545.48360813</v>
      </c>
      <c r="F62" s="18">
        <f>+F12+F26+F29</f>
        <v>10874.10726314</v>
      </c>
      <c r="G62" s="18">
        <f>IFERROR(IF(F62/D62*100&lt;-500,"-",IF(F62/D62*100&gt;500,"-",F62/D62*100)),"-")</f>
        <v>14.690973999989238</v>
      </c>
      <c r="H62" s="18">
        <f>IFERROR((F62-E62)/E62*100,"-")</f>
        <v>3.1162502092995439</v>
      </c>
      <c r="I62" s="18"/>
    </row>
    <row r="63" spans="2:9" ht="14.1" customHeight="1">
      <c r="B63" s="303" t="str">
        <f>IF(Indice_index!$Z$1=1,"   Por memória:","   Memo item:")</f>
        <v xml:space="preserve">   Por memória:</v>
      </c>
      <c r="C63" s="4"/>
      <c r="D63" s="4"/>
      <c r="E63" s="4"/>
      <c r="F63" s="4"/>
      <c r="G63" s="4"/>
      <c r="H63" s="4"/>
      <c r="I63" s="4"/>
    </row>
    <row r="64" spans="2:9" ht="14.1" customHeight="1">
      <c r="B64" s="165" t="str">
        <f>IF(Indice_index!$Z$1=1,"Ativos financeiros","Financial assets")</f>
        <v>Ativos financeiros</v>
      </c>
      <c r="C64" s="4">
        <f>SUM(C65:C66)</f>
        <v>443.48244074000002</v>
      </c>
      <c r="D64" s="4">
        <f>SUM(D65:D66)</f>
        <v>980.15904799999998</v>
      </c>
      <c r="E64" s="4">
        <f>SUM(E65:E66)</f>
        <v>38.478078969999999</v>
      </c>
      <c r="F64" s="4">
        <f>SUM(F65:F66)</f>
        <v>101.74154985</v>
      </c>
      <c r="G64" s="4"/>
      <c r="H64" s="4"/>
      <c r="I64" s="4"/>
    </row>
    <row r="65" spans="2:9" ht="14.1" customHeight="1">
      <c r="B65" s="302" t="str">
        <f>IF(Indice_index!$Z$1=1,"Alienação de partes sociais de empresas","Divestment of company shares")</f>
        <v>Alienação de partes sociais de empresas</v>
      </c>
      <c r="C65" s="4">
        <v>2.3999999999999998E-3</v>
      </c>
      <c r="D65" s="4">
        <v>800</v>
      </c>
      <c r="E65" s="4"/>
      <c r="F65" s="4"/>
      <c r="G65" s="4"/>
      <c r="H65" s="4"/>
      <c r="I65" s="4"/>
    </row>
    <row r="66" spans="2:9" ht="14.1" customHeight="1">
      <c r="B66" s="302" t="str">
        <f>IF(Indice_index!$Z$1=1,"Outros ativos","Other assets")</f>
        <v>Outros ativos</v>
      </c>
      <c r="C66" s="4">
        <v>443.48004073999999</v>
      </c>
      <c r="D66" s="4">
        <v>180.15904799999998</v>
      </c>
      <c r="E66" s="4">
        <v>38.478078969999999</v>
      </c>
      <c r="F66" s="4">
        <v>101.74154985</v>
      </c>
      <c r="G66" s="4"/>
      <c r="H66" s="4"/>
      <c r="I66" s="4"/>
    </row>
    <row r="67" spans="2:9" ht="14.1" customHeight="1">
      <c r="B67" s="165" t="str">
        <f>IF(Indice_index!$Z$1=1,"Passivos financeiros","Financial liabilities")</f>
        <v>Passivos financeiros</v>
      </c>
      <c r="C67" s="4">
        <v>123727.45074181999</v>
      </c>
      <c r="D67" s="4">
        <v>186821.76899400001</v>
      </c>
      <c r="E67" s="4">
        <v>25511.582926210001</v>
      </c>
      <c r="F67" s="4">
        <v>25227.702565259999</v>
      </c>
      <c r="G67" s="4"/>
      <c r="H67" s="4"/>
      <c r="I67" s="4"/>
    </row>
    <row r="68" spans="2:9" ht="14.1" customHeight="1">
      <c r="B68" s="304" t="str">
        <f>IF(Indice_index!$Z$1=1,"Saldo da gerência anterior","Previous management balance")</f>
        <v>Saldo da gerência anterior</v>
      </c>
      <c r="C68" s="19">
        <v>-14.406805329999999</v>
      </c>
      <c r="D68" s="19"/>
      <c r="E68" s="19"/>
      <c r="F68" s="19"/>
      <c r="G68" s="19"/>
      <c r="H68" s="19"/>
      <c r="I68" s="19"/>
    </row>
    <row r="69" spans="2:9">
      <c r="B69" s="9" t="str">
        <f>IF(Indice_index!$Z$1=1,"Notas:","Notes:")</f>
        <v>Notas:</v>
      </c>
      <c r="C69" s="9"/>
      <c r="D69" s="9"/>
      <c r="E69" s="9"/>
      <c r="F69" s="9"/>
      <c r="G69" s="9"/>
      <c r="H69" s="9"/>
      <c r="I69" s="9"/>
    </row>
    <row r="70" spans="2:9">
      <c r="B70" s="379" t="str">
        <f>IF(Indice_index!$Z$1=1,"Valores registados no Sistema Central de Receitas (SCR).","Amounts accounted for on the Central Revenue System (SCR).")</f>
        <v>Valores registados no Sistema Central de Receitas (SCR).</v>
      </c>
      <c r="C70" s="379"/>
      <c r="D70" s="379"/>
      <c r="E70" s="379"/>
      <c r="F70" s="379"/>
      <c r="G70" s="379"/>
      <c r="H70" s="379"/>
      <c r="I70" s="379"/>
    </row>
    <row r="71" spans="2:9">
      <c r="B71" s="376" t="str">
        <f>+'3 - Conta AC + SS'!$B$61</f>
        <v>Os dados de 2025 são mensalmente revistos e atualizados face ao publicado nas Sínteses de Execução Orçamental de 2025.</v>
      </c>
      <c r="C71" s="376"/>
      <c r="D71" s="376"/>
      <c r="E71" s="376"/>
      <c r="F71" s="376"/>
      <c r="G71" s="376"/>
      <c r="H71" s="376"/>
      <c r="I71" s="376"/>
    </row>
    <row r="72" spans="2:9">
      <c r="B72" s="379"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379"/>
      <c r="D72" s="379"/>
      <c r="E72" s="379"/>
      <c r="F72" s="379"/>
      <c r="G72" s="379"/>
      <c r="H72" s="379"/>
      <c r="I72" s="379"/>
    </row>
    <row r="73" spans="2:9">
      <c r="B73" s="141" t="str">
        <f>IF(Indice_index!$Z$1=1,"Fonte: Entidade Orçamental.","Source: Budgetary Entity.")</f>
        <v>Fonte: Entidade Orçamental.</v>
      </c>
      <c r="C73" s="141"/>
      <c r="D73" s="141"/>
    </row>
    <row r="74" spans="2:9"/>
  </sheetData>
  <mergeCells count="6">
    <mergeCell ref="B72:I72"/>
    <mergeCell ref="B10:B11"/>
    <mergeCell ref="E10:F10"/>
    <mergeCell ref="H10:I10"/>
    <mergeCell ref="B70:I70"/>
    <mergeCell ref="B71:I71"/>
  </mergeCells>
  <conditionalFormatting sqref="C12:I61">
    <cfRule type="cellIs" dxfId="59" priority="2" operator="equal">
      <formula>0</formula>
    </cfRule>
  </conditionalFormatting>
  <conditionalFormatting sqref="C63:I68">
    <cfRule type="cellIs" dxfId="58"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3</Mes>
    <_dlc_DocId xmlns="23bc334f-0e17-402a-872b-0123af4c73a8">X4XX2SRTQWXX-37-1921</_dlc_DocId>
    <_dlc_DocIdUrl xmlns="23bc334f-0e17-402a-872b-0123af4c73a8">
      <Url>https://www.eo.gov.pt/execucaoorcamental/_layouts/15/DocIdRedir.aspx?ID=X4XX2SRTQWXX-37-1921</Url>
      <Description>X4XX2SRTQWXX-37-1921</Description>
    </_dlc_DocIdUrl>
    <Ano xmlns="23bc334f-0e17-402a-872b-0123af4c73a8">69</A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31772A-C1C6-4204-A711-B5C4B3A2E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c334f-0e17-402a-872b-0123af4c73a8"/>
    <ds:schemaRef ds:uri="0765058e-95b3-4ff3-80c4-5ff3bc59ec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11E14-F6D6-4D47-BB89-FC89C5887800}">
  <ds:schemaRefs>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0765058e-95b3-4ff3-80c4-5ff3bc59ec36"/>
    <ds:schemaRef ds:uri="http://purl.org/dc/elements/1.1/"/>
    <ds:schemaRef ds:uri="http://schemas.openxmlformats.org/package/2006/metadata/core-properties"/>
    <ds:schemaRef ds:uri="23bc334f-0e17-402a-872b-0123af4c73a8"/>
    <ds:schemaRef ds:uri="http://www.w3.org/XML/1998/namespace"/>
  </ds:schemaRefs>
</ds:datastoreItem>
</file>

<file path=customXml/itemProps3.xml><?xml version="1.0" encoding="utf-8"?>
<ds:datastoreItem xmlns:ds="http://schemas.openxmlformats.org/officeDocument/2006/customXml" ds:itemID="{056923BD-AEEB-47C8-931A-DADC7752F3BE}">
  <ds:schemaRefs>
    <ds:schemaRef ds:uri="http://schemas.microsoft.com/sharepoint/v3/contenttype/forms"/>
  </ds:schemaRefs>
</ds:datastoreItem>
</file>

<file path=customXml/itemProps4.xml><?xml version="1.0" encoding="utf-8"?>
<ds:datastoreItem xmlns:ds="http://schemas.openxmlformats.org/officeDocument/2006/customXml" ds:itemID="{D98B45A5-5815-4867-8019-F8B170C640B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28</vt:i4>
      </vt:variant>
      <vt:variant>
        <vt:lpstr>Intervalos com Nome</vt:lpstr>
      </vt:variant>
      <vt:variant>
        <vt:i4>40</vt:i4>
      </vt:variant>
    </vt:vector>
  </HeadingPairs>
  <TitlesOfParts>
    <vt:vector size="68"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Util. Cond. Dot. Orç</vt:lpstr>
      <vt:lpstr>23 - Desp. Efetiva por PO</vt:lpstr>
      <vt:lpstr>24 - Fator. explic. Contas Nac.</vt:lpstr>
      <vt:lpstr>25 - Lista Entidades AC 2026</vt:lpstr>
      <vt:lpstr>'25 - Lista Entidades AC 2026'!_Toc168407188</vt:lpstr>
      <vt:lpstr>'25 - Lista Entidades AC 2026'!_Toc168407190</vt:lpstr>
      <vt:lpstr>'25 - Lista Entidades AC 2026'!_Toc168407191</vt:lpstr>
      <vt:lpstr>'25 - Lista Entidades AC 2026'!_Toc168407193</vt:lpstr>
      <vt:lpstr>'25 - Lista Entidades AC 2026'!_Toc168407194</vt:lpstr>
      <vt:lpstr>'25 - Lista Entidades AC 2026'!_Toc168407196</vt:lpstr>
      <vt:lpstr>'25 - Lista Entidades AC 2026'!_Toc168407197</vt:lpstr>
      <vt:lpstr>'25 - Lista Entidades AC 2026'!_Toc168407198</vt:lpstr>
      <vt:lpstr>'25 - Lista Entidades AC 2026'!_Toc168407199</vt:lpstr>
      <vt:lpstr>'25 - Lista Entidades AC 2026'!_Toc168407200</vt:lpstr>
      <vt:lpstr>'25 - Lista Entidades AC 2026'!_Toc168407201</vt:lpstr>
      <vt:lpstr>'25 - Lista Entidades AC 2026'!_Toc168407202</vt:lpstr>
      <vt:lpstr>'25 - Lista Entidades AC 2026'!_Toc168407203</vt:lpstr>
      <vt:lpstr>'25 - Lista Entidades AC 2026'!_Toc168407204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Util. Cond. Dot. Orç'!Área_de_Impressão</vt:lpstr>
      <vt:lpstr>'23 - Desp. Efetiva por PO'!Área_de_Impressão</vt:lpstr>
      <vt:lpstr>'25 - Lista Entidades AC 2026'!Área_de_Impressão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'22 -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Jorge Domingos</cp:lastModifiedBy>
  <cp:lastPrinted>2024-04-12T10:58:52Z</cp:lastPrinted>
  <dcterms:created xsi:type="dcterms:W3CDTF">2023-03-27T21:42:46Z</dcterms:created>
  <dcterms:modified xsi:type="dcterms:W3CDTF">2026-03-31T11:09:00Z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532bbae6-bdc9-4bf1-9e24-5be2d0b3d926</vt:lpwstr>
  </property>
</Properties>
</file>