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EsteLivro" defaultThemeVersion="166925"/>
  <mc:AlternateContent xmlns:mc="http://schemas.openxmlformats.org/markup-compatibility/2006">
    <mc:Choice Requires="x15">
      <x15ac:absPath xmlns:x15ac="http://schemas.microsoft.com/office/spreadsheetml/2010/11/ac" url="Y:\Boletim-partilhada\"/>
    </mc:Choice>
  </mc:AlternateContent>
  <xr:revisionPtr revIDLastSave="0" documentId="13_ncr:1_{77DFA63F-772E-4D92-8D2E-2789D9C3CDFE}" xr6:coauthVersionLast="47" xr6:coauthVersionMax="47" xr10:uidLastSave="{00000000-0000-0000-0000-000000000000}"/>
  <bookViews>
    <workbookView xWindow="-120" yWindow="-120" windowWidth="30960" windowHeight="16800" tabRatio="818" activeTab="1" xr2:uid="{00000000-000D-0000-FFFF-FFFF00000000}"/>
  </bookViews>
  <sheets>
    <sheet name="Capa" sheetId="36" r:id="rId1"/>
    <sheet name="Indice_index" sheetId="9" r:id="rId2"/>
    <sheet name="1 - Saldo Global Rec Desp" sheetId="1" r:id="rId3"/>
    <sheet name="2 - Conta Consol AP" sheetId="2" r:id="rId4"/>
    <sheet name="2 - Conta Consol AP_Texto" sheetId="28" state="hidden" r:id="rId5"/>
    <sheet name="3 - Conta AC + SS" sheetId="5" r:id="rId6"/>
    <sheet name="4 - Conta AC" sheetId="6" r:id="rId7"/>
    <sheet name="5 - Estado" sheetId="10" r:id="rId8"/>
    <sheet name="6 - R_Est" sheetId="11" r:id="rId9"/>
    <sheet name="7 - SFA" sheetId="12" r:id="rId10"/>
    <sheet name="8 - EPR" sheetId="13" r:id="rId11"/>
    <sheet name="9 - CGA" sheetId="14" r:id="rId12"/>
    <sheet name="10 - SS" sheetId="15" r:id="rId13"/>
    <sheet name="11 - SS Eco" sheetId="16" r:id="rId14"/>
    <sheet name="12 - Adm R" sheetId="17" r:id="rId15"/>
    <sheet name="13 - Adm Loc" sheetId="18" r:id="rId16"/>
    <sheet name="14 - PRR Conta AC" sheetId="31" r:id="rId17"/>
    <sheet name="15 - PRR Exec Programa" sheetId="32" r:id="rId18"/>
    <sheet name="16 - PRR Exec Componente" sheetId="33" r:id="rId19"/>
    <sheet name="17 - Despesa Ativos " sheetId="19" r:id="rId20"/>
    <sheet name="18 - SNS exec fin" sheetId="20" r:id="rId21"/>
    <sheet name="19 - Dív não Fin" sheetId="21" r:id="rId22"/>
    <sheet name="20 - CGA Ind" sheetId="29" r:id="rId23"/>
    <sheet name="21 - Ef Temp AC+SS" sheetId="23" r:id="rId24"/>
    <sheet name="22 - Estimativas" sheetId="24" r:id="rId25"/>
    <sheet name="23 - Util. Cond. Dot. Orç" sheetId="25" r:id="rId26"/>
    <sheet name="24 - Desp. Efetiva por PO" sheetId="26" r:id="rId27"/>
    <sheet name="25 - Fator. explic. Contas Nac." sheetId="35" r:id="rId28"/>
    <sheet name="26 - Lista Entidades AC 2025" sheetId="27" r:id="rId29"/>
  </sheets>
  <definedNames>
    <definedName name="_Order1" hidden="1">255</definedName>
    <definedName name="_Order2" hidden="1">255</definedName>
    <definedName name="_Toc168407188" localSheetId="28">'26 - Lista Entidades AC 2025'!$B$10</definedName>
    <definedName name="_Toc168407189" localSheetId="28">'26 - Lista Entidades AC 2025'!$B$39</definedName>
    <definedName name="_Toc168407190" localSheetId="28">'26 - Lista Entidades AC 2025'!$B$69</definedName>
    <definedName name="_Toc168407191" localSheetId="28">'26 - Lista Entidades AC 2025'!$B$75</definedName>
    <definedName name="_Toc168407192" localSheetId="28">'26 - Lista Entidades AC 2025'!$B$111</definedName>
    <definedName name="_Toc168407193" localSheetId="28">'26 - Lista Entidades AC 2025'!$B$113</definedName>
    <definedName name="_Toc168407194" localSheetId="28">'26 - Lista Entidades AC 2025'!$B$131</definedName>
    <definedName name="_Toc168407195" localSheetId="28">'26 - Lista Entidades AC 2025'!#REF!</definedName>
    <definedName name="_Toc168407196" localSheetId="28">'26 - Lista Entidades AC 2025'!$B$155</definedName>
    <definedName name="_Toc168407197" localSheetId="28">'26 - Lista Entidades AC 2025'!$B$168</definedName>
    <definedName name="_Toc168407198" localSheetId="28">'26 - Lista Entidades AC 2025'!$B$183</definedName>
    <definedName name="_Toc168407199" localSheetId="28">'26 - Lista Entidades AC 2025'!$B$277</definedName>
    <definedName name="_Toc168407200" localSheetId="28">'26 - Lista Entidades AC 2025'!$B$301</definedName>
    <definedName name="_Toc168407201" localSheetId="28">'26 - Lista Entidades AC 2025'!$B$340</definedName>
    <definedName name="_Toc168407202" localSheetId="28">'26 - Lista Entidades AC 2025'!$B$406</definedName>
    <definedName name="_Toc168407203" localSheetId="28">'26 - Lista Entidades AC 2025'!$B$425</definedName>
    <definedName name="_Toc168407204" localSheetId="28">'26 - Lista Entidades AC 2025'!$B$457</definedName>
    <definedName name="anscount" hidden="1">1</definedName>
    <definedName name="_xlnm.Print_Area" localSheetId="2">'1 - Saldo Global Rec Desp'!$B$2:$J$27</definedName>
    <definedName name="_xlnm.Print_Area" localSheetId="12">'10 - SS'!$B$2:$H$79</definedName>
    <definedName name="_xlnm.Print_Area" localSheetId="13">'11 - SS Eco'!$B$2:$H$71</definedName>
    <definedName name="_xlnm.Print_Area" localSheetId="14">'12 - Adm R'!$B$2:$L$75</definedName>
    <definedName name="_xlnm.Print_Area" localSheetId="15">'13 - Adm Loc'!$B$2:$F$87</definedName>
    <definedName name="_xlnm.Print_Area" localSheetId="19">'17 - Despesa Ativos '!$B$3:$I$35</definedName>
    <definedName name="_xlnm.Print_Area" localSheetId="20">'18 - SNS exec fin'!$B$2:$H$40</definedName>
    <definedName name="_xlnm.Print_Area" localSheetId="21">'19 - Dív não Fin'!$B$2:$Q$56</definedName>
    <definedName name="_xlnm.Print_Area" localSheetId="3">'2 - Conta Consol AP'!$B$2:$N$108</definedName>
    <definedName name="_xlnm.Print_Area" localSheetId="4">'2 - Conta Consol AP_Texto'!$B$2:$L$50</definedName>
    <definedName name="_xlnm.Print_Area" localSheetId="22">'20 - CGA Ind'!$B$2:$O$184</definedName>
    <definedName name="_xlnm.Print_Area" localSheetId="23">'21 - Ef Temp AC+SS'!$B$2:$AE$92</definedName>
    <definedName name="_xlnm.Print_Area" localSheetId="24">'22 - Estimativas'!$B$2:$O$84</definedName>
    <definedName name="_xlnm.Print_Area" localSheetId="25">'23 - Util. Cond. Dot. Orç'!$B$2:$G$207</definedName>
    <definedName name="_xlnm.Print_Area" localSheetId="26">'24 - Desp. Efetiva por PO'!$B$2:$G$37</definedName>
    <definedName name="_xlnm.Print_Area" localSheetId="28">'26 - Lista Entidades AC 2025'!$B$2:$B$507</definedName>
    <definedName name="_xlnm.Print_Area" localSheetId="5">'3 - Conta AC + SS'!$B$2:$I$62</definedName>
    <definedName name="_xlnm.Print_Area" localSheetId="6">'4 - Conta AC'!$B$2:$I$61</definedName>
    <definedName name="_xlnm.Print_Area" localSheetId="7">'5 - Estado'!$B$2:$I$72</definedName>
    <definedName name="_xlnm.Print_Area" localSheetId="8">'6 - R_Est'!$B$2:$I$73</definedName>
    <definedName name="_xlnm.Print_Area" localSheetId="9">'7 - SFA'!$B$2:$I$78</definedName>
    <definedName name="_xlnm.Print_Area" localSheetId="10">'8 - EPR'!$B$2:$I$78</definedName>
    <definedName name="_xlnm.Print_Area" localSheetId="11">'9 - CGA'!$B$2:$I$53</definedName>
    <definedName name="EPMWorkbookOptions_2" hidden="1">"OME3C+yiRqx5aARGYkV20diAuLd9TwHYeFtoRV1pPoBzCFYA5VuCFgJEDPTxfKb/NRfEe5rSH5KgrW0+2c9096ZPURTpGx658JbkD/1BUXRBEhUJXSIMvmtbphHCQN9Xhu2D/V+ODLEckPGeZ1tLI8NiYYRpDjxLxpwMfIAhOgIQ03ZgskGebbqzTBM4Q2sDHD+Ce971ANXHfJCXsnZ3+xyCa7twEMAt4MichtdCo1HkRJ6MLglEJATgORgb"</definedName>
    <definedName name="EPMWorkbookOptions_3" hidden="1">"Ty60AoQrmo84+KTtKP7Oelzb6BMowEbyAuadBaABl2vrkOdVnwJ4xhb0g8yA8tuPEu1HfZ7wol5ZP82xfm1BxCQvCJImqhyZ1/hajngG0YbRoWimT2cS5M1tFCtBE8ABxZHxRW5237ONlzl0PQCDlwHd6XZWYLFqdrom22Tbqy/NfgeAJmWANmsuemxvwYQ941E5iaeGv5+4Gdgs0BaY44aLPNcBucTxGZoeEhJ/tB7mvDwS1TsaXfI0g3aD"</definedName>
    <definedName name="EPMWorkbookOptions_4" hidden="1">"E+czSVM1vRxcG2i7vXEs+5YIVUMcLcfX57VYLEf+brjvygdb84Hx0a75yPJB0TUfmD6ung+OLLLvZkrHnytz2nCiqjI/mZavdBTFon8Lixc6uoKFbk8jrlVVUvlprdZcmCXUKvDq6G9J/l5aqwzT6bAsW1yr7eppNSURyRO9JVngZ0iu1y/T9+FjzqvyZCaJk+sn5OOsW6SviVp+1XZ7NNXv94qvWqZ6qzamEK8uI51Cr2uX6bsyEtuunJGP"</definedName>
    <definedName name="EPMWorkbookOptions_5" hidden="1">"s3CFKa8o+kiQxMstXrb44s3l90+Xzz0luPSGtepyYZZQ3Xgq3f+f25Ful2HecD/SqV61CBnE5TmOntPr/D+aotZKzYVZQqkTUR3JgnTBp8Td6ok1IRHXa2qspZoHs8ymqonDC+q097GreMgGLjiR10Njrbh8mCUUJ89VQZMRwUL5W7+3C69fvQ0yQ2T8kGKkybVMc2GWkKkiSPPRBQX6pXoCjSg82U5ja63TPJgldKpOZpeUKV3B8wghhbhM"</definedName>
    <definedName name="EPMWorkbookOptions_6" hidden="1">"2xTdb9W/0ryrUGcjXtHkkXJJsVbwN8WUxrjkf1frB0xvcsLQnHXCfNyNh4CdOejHkXmHDTFrmht1fXoeM2s8PcPJyWAFgb+WHMkDTnIcDrdFboINDBjmlBzFeALpIbxjc+SbnlVFAwsiylPv0wbcf2cmI+cm/jcDWsbCBjMAHw8ZTuyfPx3SJmdjB/8BpKhLmFYrAAA="</definedName>
    <definedName name="euro">200.482</definedName>
    <definedName name="HTML1_1" hidden="1">"'[SICN.XLS]1.2.1 SEC_SINTESE'!$A$1:$D$59"</definedName>
    <definedName name="HTML1_10" hidden="1">""</definedName>
    <definedName name="HTML1_11" hidden="1">1</definedName>
    <definedName name="HTML1_12" hidden="1">"C:\TRABALHO\FILIPE\x.htm"</definedName>
    <definedName name="HTML1_2" hidden="1">1</definedName>
    <definedName name="HTML1_3" hidden="1">"SICN"</definedName>
    <definedName name="HTML1_4" hidden="1">"1.2.1 SEC_SINTESE"</definedName>
    <definedName name="HTML1_5" hidden="1">""</definedName>
    <definedName name="HTML1_6" hidden="1">-4146</definedName>
    <definedName name="HTML1_7" hidden="1">-4146</definedName>
    <definedName name="HTML1_8" hidden="1">"15-10-1997"</definedName>
    <definedName name="HTML1_9" hidden="1">"INSTITUTO NACIONAL ESTATÍSTICA"</definedName>
    <definedName name="HTML2_1" hidden="1">"'[SICN.XLS]1. REALIZAÇÃO'!$A$1:$D$31"</definedName>
    <definedName name="HTML2_10" hidden="1">""</definedName>
    <definedName name="HTML2_11" hidden="1">1</definedName>
    <definedName name="HTML2_12" hidden="1">"C:\TRABALHO\FILIPE\xxxxxxxx.htm"</definedName>
    <definedName name="HTML2_2" hidden="1">1</definedName>
    <definedName name="HTML2_3" hidden="1">"SICN"</definedName>
    <definedName name="HTML2_4" hidden="1">"1. REALIZAÇÃO"</definedName>
    <definedName name="HTML2_5" hidden="1">""</definedName>
    <definedName name="HTML2_6" hidden="1">-4146</definedName>
    <definedName name="HTML2_7" hidden="1">-4146</definedName>
    <definedName name="HTML2_8" hidden="1">"15-10-1997"</definedName>
    <definedName name="HTML2_9" hidden="1">"INSTITUTO NACIONAL ESTATÍSTICA"</definedName>
    <definedName name="HTMLCount" hidden="1">2</definedName>
    <definedName name="NomeTabela">"Dummy"</definedName>
    <definedName name="Print_Area" localSheetId="0">Capa!$A$1:$L$55,Capa!$A$57:$L$111</definedName>
    <definedName name="_xlnm.Print_Titles" localSheetId="3">'2 - Conta Consol AP'!$2:$8</definedName>
    <definedName name="_xlnm.Print_Titles" localSheetId="22">'20 - CGA Ind'!$2:$9</definedName>
    <definedName name="_xlnm.Print_Titles" localSheetId="25">'23 - Util. Cond. Dot. Orç'!$2:$12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8" i="35" l="1"/>
  <c r="E22" i="35"/>
  <c r="C22" i="35"/>
  <c r="D22" i="35"/>
  <c r="E21" i="35" l="1"/>
  <c r="C21" i="35"/>
  <c r="E20" i="35"/>
  <c r="D20" i="35"/>
  <c r="C20" i="35"/>
  <c r="C18" i="35"/>
  <c r="E17" i="35"/>
  <c r="C17" i="35"/>
  <c r="E16" i="35"/>
  <c r="C16" i="35"/>
  <c r="E15" i="35"/>
  <c r="C15" i="35"/>
  <c r="E14" i="35"/>
  <c r="D14" i="35"/>
  <c r="C14" i="35"/>
  <c r="G169" i="25" l="1"/>
  <c r="G159" i="25"/>
  <c r="G152" i="25"/>
  <c r="G144" i="25"/>
  <c r="G131" i="25"/>
  <c r="G123" i="25"/>
  <c r="G104" i="25"/>
  <c r="G101" i="25"/>
  <c r="G95" i="25"/>
  <c r="G89" i="25"/>
  <c r="G75" i="25"/>
  <c r="G65" i="25"/>
  <c r="G50" i="25"/>
  <c r="G43" i="25"/>
  <c r="G38" i="25"/>
  <c r="G25" i="25"/>
  <c r="G39" i="25" s="1"/>
  <c r="G16" i="25"/>
  <c r="E34" i="19"/>
  <c r="Z77" i="23" l="1"/>
  <c r="Z83" i="23"/>
  <c r="Z75" i="23" l="1"/>
  <c r="Z78" i="23" l="1"/>
  <c r="AE13" i="23" l="1"/>
  <c r="R27" i="23"/>
  <c r="R12" i="23"/>
  <c r="B35" i="21"/>
  <c r="B85" i="18" l="1"/>
  <c r="P41" i="21" l="1"/>
  <c r="O41" i="21"/>
  <c r="N41" i="21"/>
  <c r="M41" i="21"/>
  <c r="L41" i="21"/>
  <c r="K41" i="21"/>
  <c r="J41" i="21"/>
  <c r="I41" i="21"/>
  <c r="H41" i="21"/>
  <c r="G41" i="21"/>
  <c r="F41" i="21"/>
  <c r="E41" i="21"/>
  <c r="D41" i="21"/>
  <c r="P12" i="21"/>
  <c r="O12" i="21"/>
  <c r="N12" i="21"/>
  <c r="M12" i="21"/>
  <c r="L12" i="21"/>
  <c r="K12" i="21"/>
  <c r="J12" i="21"/>
  <c r="I12" i="21"/>
  <c r="H12" i="21"/>
  <c r="G12" i="21"/>
  <c r="F12" i="21"/>
  <c r="E12" i="21"/>
  <c r="D12" i="21"/>
  <c r="J26" i="17"/>
  <c r="K26" i="17"/>
  <c r="G26" i="17"/>
  <c r="C26" i="17"/>
  <c r="E50" i="5" l="1"/>
  <c r="E52" i="5" s="1"/>
  <c r="F45" i="5"/>
  <c r="E45" i="5"/>
  <c r="F43" i="5"/>
  <c r="E43" i="5"/>
  <c r="F37" i="5"/>
  <c r="E37" i="5"/>
  <c r="F31" i="5"/>
  <c r="E31" i="5"/>
  <c r="F30" i="5"/>
  <c r="F50" i="5" s="1"/>
  <c r="F52" i="5" s="1"/>
  <c r="E30" i="5"/>
  <c r="F29" i="5"/>
  <c r="E29" i="5"/>
  <c r="E51" i="5" s="1"/>
  <c r="E55" i="5" s="1"/>
  <c r="F24" i="5"/>
  <c r="E24" i="5"/>
  <c r="F22" i="5"/>
  <c r="F54" i="5" s="1"/>
  <c r="E22" i="5"/>
  <c r="E54" i="5" s="1"/>
  <c r="F17" i="5"/>
  <c r="E17" i="5"/>
  <c r="F13" i="5"/>
  <c r="E13" i="5"/>
  <c r="F12" i="5"/>
  <c r="F53" i="5" s="1"/>
  <c r="E12" i="5"/>
  <c r="E53" i="5" s="1"/>
  <c r="F51" i="5" l="1"/>
  <c r="F55" i="5" s="1"/>
  <c r="F27" i="10"/>
  <c r="E27" i="10"/>
  <c r="F25" i="10"/>
  <c r="E25" i="10"/>
  <c r="F18" i="10"/>
  <c r="E18" i="10"/>
  <c r="F13" i="10"/>
  <c r="E13" i="10"/>
  <c r="F12" i="10"/>
  <c r="F34" i="10" s="1"/>
  <c r="E12" i="10"/>
  <c r="E34" i="10" s="1"/>
  <c r="F52" i="10"/>
  <c r="E52" i="10"/>
  <c r="F50" i="10"/>
  <c r="E50" i="10"/>
  <c r="F42" i="10"/>
  <c r="F35" i="10" s="1"/>
  <c r="E42" i="10"/>
  <c r="E35" i="10" s="1"/>
  <c r="F36" i="10"/>
  <c r="E36" i="10"/>
  <c r="E50" i="6"/>
  <c r="E53" i="6" s="1"/>
  <c r="F45" i="6"/>
  <c r="F43" i="6" s="1"/>
  <c r="F50" i="6" s="1"/>
  <c r="F53" i="6" s="1"/>
  <c r="E45" i="6"/>
  <c r="E43" i="6"/>
  <c r="F37" i="6"/>
  <c r="E37" i="6"/>
  <c r="F31" i="6"/>
  <c r="E31" i="6"/>
  <c r="F30" i="6"/>
  <c r="E30" i="6"/>
  <c r="E29" i="6"/>
  <c r="E51" i="6" s="1"/>
  <c r="E56" i="6" s="1"/>
  <c r="F24" i="6"/>
  <c r="F22" i="6" s="1"/>
  <c r="E24" i="6"/>
  <c r="E22" i="6"/>
  <c r="E55" i="6" s="1"/>
  <c r="F17" i="6"/>
  <c r="E17" i="6"/>
  <c r="F13" i="6"/>
  <c r="E13" i="6"/>
  <c r="F12" i="6"/>
  <c r="F54" i="6" s="1"/>
  <c r="E12" i="6"/>
  <c r="E54" i="6" s="1"/>
  <c r="E59" i="13"/>
  <c r="E61" i="13" s="1"/>
  <c r="F52" i="13"/>
  <c r="F50" i="13" s="1"/>
  <c r="F59" i="13" s="1"/>
  <c r="F61" i="13" s="1"/>
  <c r="E52" i="13"/>
  <c r="E50" i="13"/>
  <c r="F42" i="13"/>
  <c r="E42" i="13"/>
  <c r="F36" i="13"/>
  <c r="E36" i="13"/>
  <c r="F35" i="13"/>
  <c r="E35" i="13"/>
  <c r="E34" i="13"/>
  <c r="F27" i="13"/>
  <c r="F25" i="13" s="1"/>
  <c r="E27" i="13"/>
  <c r="E25" i="13"/>
  <c r="E63" i="13" s="1"/>
  <c r="F18" i="13"/>
  <c r="E18" i="13"/>
  <c r="F13" i="13"/>
  <c r="E13" i="13"/>
  <c r="F12" i="13"/>
  <c r="F62" i="13" s="1"/>
  <c r="E12" i="13"/>
  <c r="E62" i="13" s="1"/>
  <c r="F52" i="12"/>
  <c r="E52" i="12"/>
  <c r="F50" i="12"/>
  <c r="E50" i="12"/>
  <c r="F42" i="12"/>
  <c r="E42" i="12"/>
  <c r="F36" i="12"/>
  <c r="E36" i="12"/>
  <c r="F35" i="12"/>
  <c r="F59" i="12" s="1"/>
  <c r="F61" i="12" s="1"/>
  <c r="E35" i="12"/>
  <c r="E59" i="12" s="1"/>
  <c r="E61" i="12" s="1"/>
  <c r="F27" i="12"/>
  <c r="E27" i="12"/>
  <c r="F25" i="12"/>
  <c r="F63" i="12" s="1"/>
  <c r="E25" i="12"/>
  <c r="E63" i="12" s="1"/>
  <c r="F18" i="12"/>
  <c r="E18" i="12"/>
  <c r="F13" i="12"/>
  <c r="E13" i="12"/>
  <c r="F12" i="12"/>
  <c r="F34" i="12" s="1"/>
  <c r="E12" i="12"/>
  <c r="E34" i="12" s="1"/>
  <c r="Q54" i="23"/>
  <c r="R54" i="23"/>
  <c r="Q14" i="23"/>
  <c r="E63" i="10" l="1"/>
  <c r="F63" i="10"/>
  <c r="E59" i="10"/>
  <c r="E62" i="10"/>
  <c r="F59" i="10"/>
  <c r="F62" i="10"/>
  <c r="F55" i="6"/>
  <c r="F29" i="6"/>
  <c r="F51" i="6" s="1"/>
  <c r="F56" i="6" s="1"/>
  <c r="F63" i="13"/>
  <c r="F34" i="13"/>
  <c r="E60" i="13"/>
  <c r="F60" i="13"/>
  <c r="E60" i="12"/>
  <c r="F60" i="12"/>
  <c r="E62" i="12"/>
  <c r="F62" i="12"/>
  <c r="AE55" i="23"/>
  <c r="Q57" i="23"/>
  <c r="Q56" i="23"/>
  <c r="Q85" i="23"/>
  <c r="Q84" i="23"/>
  <c r="Q83" i="23"/>
  <c r="Q82" i="23"/>
  <c r="Q81" i="23"/>
  <c r="Q80" i="23"/>
  <c r="Q79" i="23"/>
  <c r="Q78" i="23"/>
  <c r="Q77" i="23"/>
  <c r="Q76" i="23"/>
  <c r="Q75" i="23"/>
  <c r="Q74" i="23"/>
  <c r="Q73" i="23"/>
  <c r="Q72" i="23"/>
  <c r="Q71" i="23"/>
  <c r="Q70" i="23"/>
  <c r="Q69" i="23"/>
  <c r="Q68" i="23"/>
  <c r="Q67" i="23"/>
  <c r="Q66" i="23"/>
  <c r="Q65" i="23"/>
  <c r="Q64" i="23"/>
  <c r="Q63" i="23"/>
  <c r="Q62" i="23"/>
  <c r="Q61" i="23"/>
  <c r="Q60" i="23"/>
  <c r="Q59" i="23"/>
  <c r="Q58" i="23"/>
  <c r="Q55" i="23"/>
  <c r="B6" i="23"/>
  <c r="B6" i="27"/>
  <c r="B6" i="35"/>
  <c r="B6" i="26"/>
  <c r="B9" i="25"/>
  <c r="B6" i="25"/>
  <c r="B6" i="24"/>
  <c r="B6" i="29"/>
  <c r="B6" i="21"/>
  <c r="B6" i="20"/>
  <c r="F11" i="19"/>
  <c r="E11" i="19"/>
  <c r="B9" i="19"/>
  <c r="B6" i="19"/>
  <c r="B6" i="33"/>
  <c r="B6" i="32"/>
  <c r="B6" i="31"/>
  <c r="B6" i="18"/>
  <c r="B6" i="17"/>
  <c r="B6" i="16"/>
  <c r="B6" i="15"/>
  <c r="B6" i="14"/>
  <c r="B6" i="13"/>
  <c r="B6" i="12"/>
  <c r="B6" i="11"/>
  <c r="B6" i="10"/>
  <c r="B6" i="6"/>
  <c r="B6" i="5"/>
  <c r="B6" i="2"/>
  <c r="B9" i="5"/>
  <c r="F9" i="9"/>
  <c r="E9" i="9"/>
  <c r="D9" i="9"/>
  <c r="B6" i="1"/>
  <c r="D4" i="9"/>
  <c r="A19" i="36"/>
  <c r="H37" i="20"/>
  <c r="H36" i="20"/>
  <c r="H35" i="20"/>
  <c r="H34" i="20"/>
  <c r="H33" i="20"/>
  <c r="H32" i="20"/>
  <c r="H31" i="20"/>
  <c r="H30" i="20"/>
  <c r="H29" i="20"/>
  <c r="H28" i="20"/>
  <c r="H27" i="20"/>
  <c r="H26" i="20"/>
  <c r="H25" i="20"/>
  <c r="H24" i="20"/>
  <c r="H23" i="20"/>
  <c r="H22" i="20"/>
  <c r="H21" i="20"/>
  <c r="H20" i="20"/>
  <c r="H18" i="20"/>
  <c r="H17" i="20"/>
  <c r="H16" i="20"/>
  <c r="H15" i="20"/>
  <c r="H14" i="20"/>
  <c r="H13" i="20"/>
  <c r="H12" i="20"/>
  <c r="G38" i="20"/>
  <c r="G37" i="20"/>
  <c r="G36" i="20"/>
  <c r="G35" i="20"/>
  <c r="G34" i="20"/>
  <c r="G33" i="20"/>
  <c r="G32" i="20"/>
  <c r="G31" i="20"/>
  <c r="G30" i="20"/>
  <c r="G29" i="20"/>
  <c r="G28" i="20"/>
  <c r="G27" i="20"/>
  <c r="G26" i="20"/>
  <c r="G25" i="20"/>
  <c r="G24" i="20"/>
  <c r="G23" i="20"/>
  <c r="G22" i="20"/>
  <c r="G21" i="20"/>
  <c r="G20" i="20"/>
  <c r="G19" i="20"/>
  <c r="G18" i="20"/>
  <c r="G17" i="20"/>
  <c r="G16" i="20"/>
  <c r="G15" i="20"/>
  <c r="G14" i="20"/>
  <c r="G13" i="20"/>
  <c r="G12" i="20"/>
  <c r="D39" i="20"/>
  <c r="C39" i="20"/>
  <c r="D38" i="20"/>
  <c r="C38" i="20"/>
  <c r="D34" i="20"/>
  <c r="C34" i="20"/>
  <c r="D25" i="20"/>
  <c r="C25" i="20"/>
  <c r="D21" i="20"/>
  <c r="C21" i="20"/>
  <c r="D19" i="20"/>
  <c r="D12" i="20"/>
  <c r="C12" i="20"/>
  <c r="C19" i="20" s="1"/>
  <c r="B33" i="21"/>
  <c r="Y83" i="23"/>
  <c r="Y77" i="23"/>
  <c r="F61" i="10" l="1"/>
  <c r="F60" i="10"/>
  <c r="F64" i="10" s="1"/>
  <c r="E61" i="10"/>
  <c r="E60" i="10"/>
  <c r="E64" i="10" s="1"/>
  <c r="F70" i="13"/>
  <c r="F64" i="13"/>
  <c r="E64" i="13"/>
  <c r="E70" i="13"/>
  <c r="F70" i="12"/>
  <c r="F64" i="12"/>
  <c r="E70" i="12"/>
  <c r="E64" i="12"/>
  <c r="D20" i="20"/>
  <c r="C20" i="20"/>
  <c r="B75" i="23"/>
  <c r="Y75" i="23"/>
  <c r="AS21" i="35" l="1"/>
  <c r="AS22" i="35"/>
  <c r="AS18" i="35"/>
  <c r="AE22" i="35"/>
  <c r="AE17" i="35"/>
  <c r="AE18" i="35"/>
  <c r="AF18" i="35" s="1"/>
  <c r="BF22" i="35"/>
  <c r="BF17" i="35"/>
  <c r="BF18" i="35"/>
  <c r="AU19" i="35"/>
  <c r="AV19" i="35"/>
  <c r="AW19" i="35"/>
  <c r="AX19" i="35"/>
  <c r="AY19" i="35"/>
  <c r="AZ19" i="35"/>
  <c r="BA19" i="35"/>
  <c r="BB19" i="35"/>
  <c r="BC19" i="35"/>
  <c r="BD19" i="35"/>
  <c r="BE19" i="35"/>
  <c r="AT19" i="35"/>
  <c r="AU13" i="35"/>
  <c r="AV13" i="35"/>
  <c r="AW13" i="35"/>
  <c r="AX13" i="35"/>
  <c r="AY13" i="35"/>
  <c r="AZ13" i="35"/>
  <c r="BA13" i="35"/>
  <c r="BB13" i="35"/>
  <c r="BC13" i="35"/>
  <c r="BD13" i="35"/>
  <c r="BE13" i="35"/>
  <c r="AT13" i="35"/>
  <c r="AH19" i="35"/>
  <c r="AI19" i="35"/>
  <c r="AJ19" i="35"/>
  <c r="AK19" i="35"/>
  <c r="AL19" i="35"/>
  <c r="AM19" i="35"/>
  <c r="AN19" i="35"/>
  <c r="AO19" i="35"/>
  <c r="AP19" i="35"/>
  <c r="AQ19" i="35"/>
  <c r="AR19" i="35"/>
  <c r="AG19" i="35"/>
  <c r="AH13" i="35"/>
  <c r="AI13" i="35"/>
  <c r="AJ13" i="35"/>
  <c r="AK13" i="35"/>
  <c r="AL13" i="35"/>
  <c r="AM13" i="35"/>
  <c r="AN13" i="35"/>
  <c r="AO13" i="35"/>
  <c r="AP13" i="35"/>
  <c r="AQ13" i="35"/>
  <c r="AR13" i="35"/>
  <c r="AG13" i="35"/>
  <c r="T19" i="35"/>
  <c r="U19" i="35"/>
  <c r="V19" i="35"/>
  <c r="W19" i="35"/>
  <c r="X19" i="35"/>
  <c r="Y19" i="35"/>
  <c r="Z19" i="35"/>
  <c r="AA19" i="35"/>
  <c r="AB19" i="35"/>
  <c r="AC19" i="35"/>
  <c r="AD19" i="35"/>
  <c r="S19" i="35"/>
  <c r="T13" i="35"/>
  <c r="U13" i="35"/>
  <c r="V13" i="35"/>
  <c r="W13" i="35"/>
  <c r="X13" i="35"/>
  <c r="Y13" i="35"/>
  <c r="Z13" i="35"/>
  <c r="AA13" i="35"/>
  <c r="AB13" i="35"/>
  <c r="AC13" i="35"/>
  <c r="AD13" i="35"/>
  <c r="S13" i="35"/>
  <c r="R22" i="35"/>
  <c r="AF22" i="35" s="1"/>
  <c r="R18" i="35"/>
  <c r="G19" i="35"/>
  <c r="H19" i="35"/>
  <c r="I19" i="35"/>
  <c r="J19" i="35"/>
  <c r="K19" i="35"/>
  <c r="L19" i="35"/>
  <c r="M19" i="35"/>
  <c r="N19" i="35"/>
  <c r="O19" i="35"/>
  <c r="P19" i="35"/>
  <c r="Q19" i="35"/>
  <c r="G13" i="35"/>
  <c r="H13" i="35"/>
  <c r="I13" i="35"/>
  <c r="J13" i="35"/>
  <c r="K13" i="35"/>
  <c r="L13" i="35"/>
  <c r="M13" i="35"/>
  <c r="N13" i="35"/>
  <c r="O13" i="35"/>
  <c r="P13" i="35"/>
  <c r="Q13" i="35"/>
  <c r="F19" i="35"/>
  <c r="F13" i="35"/>
  <c r="D46" i="25"/>
  <c r="BG22" i="35" l="1"/>
  <c r="BG18" i="35"/>
  <c r="E49" i="21"/>
  <c r="F49" i="21"/>
  <c r="G49" i="21"/>
  <c r="H49" i="21"/>
  <c r="I49" i="21"/>
  <c r="J49" i="21"/>
  <c r="K49" i="21"/>
  <c r="L49" i="21"/>
  <c r="M49" i="21"/>
  <c r="N49" i="21"/>
  <c r="O49" i="21"/>
  <c r="P49" i="21"/>
  <c r="D49" i="21"/>
  <c r="BH22" i="35" l="1"/>
  <c r="BH18" i="35"/>
  <c r="Q18" i="21"/>
  <c r="Q24" i="21"/>
  <c r="O31" i="21"/>
  <c r="D31" i="21"/>
  <c r="Q30" i="21"/>
  <c r="E31" i="21"/>
  <c r="P31" i="21"/>
  <c r="L31" i="21"/>
  <c r="F31" i="21"/>
  <c r="M31" i="21"/>
  <c r="G31" i="21"/>
  <c r="H31" i="21"/>
  <c r="I31" i="21"/>
  <c r="J31" i="21"/>
  <c r="K31" i="21"/>
  <c r="N31" i="21"/>
  <c r="K62" i="17"/>
  <c r="H62" i="17"/>
  <c r="E62" i="17"/>
  <c r="K61" i="17"/>
  <c r="H61" i="17"/>
  <c r="E61" i="17"/>
  <c r="K60" i="17"/>
  <c r="H60" i="17"/>
  <c r="E60" i="17"/>
  <c r="J59" i="17"/>
  <c r="J57" i="17" s="1"/>
  <c r="I59" i="17"/>
  <c r="I57" i="17" s="1"/>
  <c r="G59" i="17"/>
  <c r="G57" i="17" s="1"/>
  <c r="F59" i="17"/>
  <c r="F57" i="17" s="1"/>
  <c r="D59" i="17"/>
  <c r="D57" i="17" s="1"/>
  <c r="C59" i="17"/>
  <c r="C57" i="17" s="1"/>
  <c r="K58" i="17"/>
  <c r="H58" i="17"/>
  <c r="E58" i="17"/>
  <c r="K55" i="17"/>
  <c r="H55" i="17"/>
  <c r="E55" i="17"/>
  <c r="K54" i="17"/>
  <c r="H54" i="17"/>
  <c r="E54" i="17"/>
  <c r="K53" i="17"/>
  <c r="H53" i="17"/>
  <c r="E53" i="17"/>
  <c r="K52" i="17"/>
  <c r="H52" i="17"/>
  <c r="E52" i="17"/>
  <c r="J51" i="17"/>
  <c r="J44" i="17" s="1"/>
  <c r="I51" i="17"/>
  <c r="G51" i="17"/>
  <c r="F51" i="17"/>
  <c r="D51" i="17"/>
  <c r="C51" i="17"/>
  <c r="K50" i="17"/>
  <c r="H50" i="17"/>
  <c r="E50" i="17"/>
  <c r="K49" i="17"/>
  <c r="H49" i="17"/>
  <c r="E49" i="17"/>
  <c r="K48" i="17"/>
  <c r="H48" i="17"/>
  <c r="E48" i="17"/>
  <c r="K47" i="17"/>
  <c r="H47" i="17"/>
  <c r="E47" i="17"/>
  <c r="K46" i="17"/>
  <c r="H46" i="17"/>
  <c r="E46" i="17"/>
  <c r="K45" i="17"/>
  <c r="J45" i="17"/>
  <c r="I45" i="17"/>
  <c r="G45" i="17"/>
  <c r="F45" i="17"/>
  <c r="D45" i="17"/>
  <c r="C45" i="17"/>
  <c r="K41" i="17"/>
  <c r="H41" i="17"/>
  <c r="E41" i="17"/>
  <c r="K40" i="17"/>
  <c r="H40" i="17"/>
  <c r="E40" i="17"/>
  <c r="K39" i="17"/>
  <c r="H39" i="17"/>
  <c r="E39" i="17"/>
  <c r="K38" i="17"/>
  <c r="H38" i="17"/>
  <c r="E38" i="17"/>
  <c r="J37" i="17"/>
  <c r="L37" i="17" s="1"/>
  <c r="I37" i="17"/>
  <c r="H37" i="17"/>
  <c r="G37" i="17"/>
  <c r="F37" i="17"/>
  <c r="D37" i="17"/>
  <c r="E37" i="17" s="1"/>
  <c r="C37" i="17"/>
  <c r="K35" i="17"/>
  <c r="H35" i="17"/>
  <c r="E35" i="17"/>
  <c r="J34" i="17"/>
  <c r="J32" i="17" s="1"/>
  <c r="I34" i="17"/>
  <c r="I32" i="17" s="1"/>
  <c r="G34" i="17"/>
  <c r="G32" i="17" s="1"/>
  <c r="F34" i="17"/>
  <c r="F32" i="17" s="1"/>
  <c r="D34" i="17"/>
  <c r="D32" i="17" s="1"/>
  <c r="C34" i="17"/>
  <c r="C32" i="17" s="1"/>
  <c r="K33" i="17"/>
  <c r="H33" i="17"/>
  <c r="E33" i="17"/>
  <c r="K31" i="17"/>
  <c r="H31" i="17"/>
  <c r="K30" i="17"/>
  <c r="H30" i="17"/>
  <c r="E30" i="17"/>
  <c r="K29" i="17"/>
  <c r="H29" i="17"/>
  <c r="E29" i="17"/>
  <c r="K28" i="17"/>
  <c r="H28" i="17"/>
  <c r="E28" i="17"/>
  <c r="K27" i="17"/>
  <c r="H27" i="17"/>
  <c r="E27" i="17"/>
  <c r="L26" i="17"/>
  <c r="I26" i="17"/>
  <c r="H26" i="17"/>
  <c r="F26" i="17"/>
  <c r="E26" i="17"/>
  <c r="D26" i="17"/>
  <c r="K24" i="17"/>
  <c r="H24" i="17"/>
  <c r="E24" i="17"/>
  <c r="J23" i="17"/>
  <c r="I23" i="17"/>
  <c r="G23" i="17"/>
  <c r="F23" i="17"/>
  <c r="D23" i="17"/>
  <c r="C23" i="17"/>
  <c r="K22" i="17"/>
  <c r="H22" i="17"/>
  <c r="E22" i="17"/>
  <c r="K21" i="17"/>
  <c r="H21" i="17"/>
  <c r="E21" i="17"/>
  <c r="K20" i="17"/>
  <c r="H20" i="17"/>
  <c r="E20" i="17"/>
  <c r="J19" i="17"/>
  <c r="I19" i="17"/>
  <c r="G19" i="17"/>
  <c r="F19" i="17"/>
  <c r="D19" i="17"/>
  <c r="C19" i="17"/>
  <c r="K18" i="17"/>
  <c r="H18" i="17"/>
  <c r="E18" i="17"/>
  <c r="K17" i="17"/>
  <c r="H17" i="17"/>
  <c r="E17" i="17"/>
  <c r="K16" i="17"/>
  <c r="H16" i="17"/>
  <c r="E16" i="17"/>
  <c r="J15" i="17"/>
  <c r="I15" i="17"/>
  <c r="G15" i="17"/>
  <c r="F15" i="17"/>
  <c r="D15" i="17"/>
  <c r="C15" i="17"/>
  <c r="Q31" i="21" l="1"/>
  <c r="K59" i="17"/>
  <c r="I69" i="17"/>
  <c r="I44" i="17"/>
  <c r="I64" i="17" s="1"/>
  <c r="K34" i="17"/>
  <c r="I14" i="17"/>
  <c r="I13" i="17" s="1"/>
  <c r="I43" i="17" s="1"/>
  <c r="H59" i="17"/>
  <c r="G69" i="17"/>
  <c r="H57" i="17"/>
  <c r="F69" i="17"/>
  <c r="G44" i="17"/>
  <c r="G64" i="17" s="1"/>
  <c r="F44" i="17"/>
  <c r="F64" i="17" s="1"/>
  <c r="F66" i="17" s="1"/>
  <c r="H51" i="17"/>
  <c r="H34" i="17"/>
  <c r="H32" i="17"/>
  <c r="H23" i="17"/>
  <c r="G14" i="17"/>
  <c r="H19" i="17"/>
  <c r="F14" i="17"/>
  <c r="F13" i="17" s="1"/>
  <c r="E59" i="17"/>
  <c r="E57" i="17"/>
  <c r="E51" i="17"/>
  <c r="C44" i="17"/>
  <c r="E45" i="17"/>
  <c r="E34" i="17"/>
  <c r="C69" i="17"/>
  <c r="E23" i="17"/>
  <c r="D14" i="17"/>
  <c r="E19" i="17"/>
  <c r="C14" i="17"/>
  <c r="C13" i="17" s="1"/>
  <c r="C68" i="17" s="1"/>
  <c r="E14" i="17"/>
  <c r="D13" i="17"/>
  <c r="D43" i="17" s="1"/>
  <c r="H14" i="17"/>
  <c r="G13" i="17"/>
  <c r="J69" i="17"/>
  <c r="K32" i="17"/>
  <c r="K44" i="17"/>
  <c r="D69" i="17"/>
  <c r="K37" i="17"/>
  <c r="E32" i="17"/>
  <c r="K19" i="17"/>
  <c r="K51" i="17"/>
  <c r="D44" i="17"/>
  <c r="K15" i="17"/>
  <c r="J64" i="17"/>
  <c r="J14" i="17"/>
  <c r="H45" i="17"/>
  <c r="K57" i="17"/>
  <c r="C64" i="17"/>
  <c r="C66" i="17" s="1"/>
  <c r="E15" i="17"/>
  <c r="K23" i="17"/>
  <c r="H15" i="17"/>
  <c r="D34" i="19"/>
  <c r="C34" i="19"/>
  <c r="D24" i="19"/>
  <c r="C24" i="19"/>
  <c r="D13" i="19"/>
  <c r="C13" i="19"/>
  <c r="L58" i="17" l="1"/>
  <c r="L52" i="17"/>
  <c r="L51" i="17"/>
  <c r="I66" i="17"/>
  <c r="L59" i="17"/>
  <c r="L57" i="17"/>
  <c r="L46" i="17"/>
  <c r="L50" i="17"/>
  <c r="L62" i="17"/>
  <c r="L54" i="17"/>
  <c r="L44" i="17"/>
  <c r="L47" i="17"/>
  <c r="L61" i="17"/>
  <c r="L60" i="17"/>
  <c r="L56" i="17"/>
  <c r="L49" i="17"/>
  <c r="L53" i="17"/>
  <c r="L48" i="17"/>
  <c r="L55" i="17"/>
  <c r="L45" i="17"/>
  <c r="L15" i="17"/>
  <c r="L19" i="17"/>
  <c r="I68" i="17"/>
  <c r="H44" i="17"/>
  <c r="F68" i="17"/>
  <c r="F43" i="17"/>
  <c r="F65" i="17" s="1"/>
  <c r="F67" i="17" s="1"/>
  <c r="E44" i="17"/>
  <c r="C43" i="17"/>
  <c r="C65" i="17" s="1"/>
  <c r="E43" i="17"/>
  <c r="G68" i="17"/>
  <c r="H13" i="17"/>
  <c r="G43" i="17"/>
  <c r="H64" i="17"/>
  <c r="G66" i="17"/>
  <c r="H66" i="17" s="1"/>
  <c r="C75" i="17"/>
  <c r="C67" i="17"/>
  <c r="L39" i="17"/>
  <c r="L41" i="17"/>
  <c r="L35" i="17"/>
  <c r="L17" i="17"/>
  <c r="L40" i="17"/>
  <c r="L33" i="17"/>
  <c r="L28" i="17"/>
  <c r="L34" i="17"/>
  <c r="L31" i="17"/>
  <c r="L16" i="17"/>
  <c r="L30" i="17"/>
  <c r="L27" i="17"/>
  <c r="L20" i="17"/>
  <c r="L24" i="17"/>
  <c r="L18" i="17"/>
  <c r="L38" i="17"/>
  <c r="L29" i="17"/>
  <c r="L22" i="17"/>
  <c r="L21" i="17"/>
  <c r="I65" i="17"/>
  <c r="D64" i="17"/>
  <c r="L14" i="17"/>
  <c r="J13" i="17"/>
  <c r="K14" i="17"/>
  <c r="L23" i="17"/>
  <c r="J66" i="17"/>
  <c r="K64" i="17"/>
  <c r="D68" i="17"/>
  <c r="E13" i="17"/>
  <c r="L32" i="17"/>
  <c r="K66" i="17" l="1"/>
  <c r="F75" i="17"/>
  <c r="J68" i="17"/>
  <c r="K13" i="17"/>
  <c r="L13" i="17"/>
  <c r="J43" i="17"/>
  <c r="E64" i="17"/>
  <c r="D66" i="17"/>
  <c r="E66" i="17" s="1"/>
  <c r="I75" i="17"/>
  <c r="I67" i="17"/>
  <c r="H43" i="17"/>
  <c r="G65" i="17"/>
  <c r="D65" i="17"/>
  <c r="D67" i="17" l="1"/>
  <c r="D75" i="17"/>
  <c r="G75" i="17"/>
  <c r="G67" i="17"/>
  <c r="K43" i="17"/>
  <c r="J65" i="17"/>
  <c r="Q25" i="23"/>
  <c r="P26" i="23"/>
  <c r="Q13" i="23"/>
  <c r="P13" i="23"/>
  <c r="Q15" i="23"/>
  <c r="J75" i="17" l="1"/>
  <c r="J67" i="17"/>
  <c r="R13" i="23"/>
  <c r="AE54" i="23"/>
  <c r="Q43" i="21" l="1"/>
  <c r="Q44" i="21"/>
  <c r="Q45" i="21"/>
  <c r="Q46" i="21"/>
  <c r="Q47" i="21"/>
  <c r="Q48" i="21"/>
  <c r="B204" i="25"/>
  <c r="B203" i="25"/>
  <c r="C61" i="18" l="1"/>
  <c r="C54" i="18"/>
  <c r="F198" i="25" l="1"/>
  <c r="F172" i="25"/>
  <c r="F169" i="25"/>
  <c r="F159" i="25"/>
  <c r="F152" i="25"/>
  <c r="F144" i="25"/>
  <c r="F131" i="25"/>
  <c r="F123" i="25"/>
  <c r="F104" i="25"/>
  <c r="F101" i="25"/>
  <c r="F95" i="25"/>
  <c r="F89" i="25"/>
  <c r="F75" i="25"/>
  <c r="F65" i="25"/>
  <c r="F50" i="25"/>
  <c r="F43" i="25"/>
  <c r="F38" i="25"/>
  <c r="F25" i="25"/>
  <c r="F39" i="25" s="1"/>
  <c r="F16" i="25"/>
  <c r="G11" i="25"/>
  <c r="F11" i="25"/>
  <c r="F178" i="25"/>
  <c r="E178" i="25"/>
  <c r="E11" i="25"/>
  <c r="D154" i="25"/>
  <c r="D76" i="25"/>
  <c r="D77" i="25"/>
  <c r="D28" i="25"/>
  <c r="D23" i="25"/>
  <c r="C59" i="18" l="1"/>
  <c r="F173" i="25"/>
  <c r="F199" i="25" s="1"/>
  <c r="X77" i="23" l="1"/>
  <c r="X83" i="23"/>
  <c r="B87" i="24" l="1"/>
  <c r="I9" i="24"/>
  <c r="F49" i="16" l="1"/>
  <c r="F47" i="16" s="1"/>
  <c r="E49" i="16"/>
  <c r="E47" i="16" s="1"/>
  <c r="F40" i="16"/>
  <c r="E40" i="16"/>
  <c r="F34" i="16"/>
  <c r="E34" i="16"/>
  <c r="F26" i="16"/>
  <c r="E26" i="16"/>
  <c r="F24" i="16"/>
  <c r="E24" i="16"/>
  <c r="F18" i="16"/>
  <c r="E18" i="16"/>
  <c r="F13" i="16"/>
  <c r="E13" i="16"/>
  <c r="E33" i="16" l="1"/>
  <c r="E55" i="16" s="1"/>
  <c r="F33" i="16"/>
  <c r="F55" i="16" s="1"/>
  <c r="F12" i="16"/>
  <c r="F32" i="16" s="1"/>
  <c r="E12" i="16"/>
  <c r="E32" i="16" s="1"/>
  <c r="F56" i="16" l="1"/>
  <c r="E56" i="16"/>
  <c r="B74" i="10"/>
  <c r="C177" i="29" l="1"/>
  <c r="C176" i="29"/>
  <c r="C143" i="29"/>
  <c r="C96" i="29"/>
  <c r="C50" i="29"/>
  <c r="Q50" i="21"/>
  <c r="Q49" i="21"/>
  <c r="P42" i="21"/>
  <c r="O42" i="21"/>
  <c r="N42" i="21"/>
  <c r="M42" i="21"/>
  <c r="L42" i="21"/>
  <c r="K42" i="21"/>
  <c r="J42" i="21"/>
  <c r="I42" i="21"/>
  <c r="H42" i="21"/>
  <c r="G42" i="21"/>
  <c r="F42" i="21"/>
  <c r="E42" i="21"/>
  <c r="D42" i="21"/>
  <c r="F51" i="21" l="1"/>
  <c r="J51" i="21"/>
  <c r="K51" i="21"/>
  <c r="L51" i="21"/>
  <c r="E51" i="21"/>
  <c r="M51" i="21"/>
  <c r="H51" i="21"/>
  <c r="I51" i="21"/>
  <c r="N51" i="21"/>
  <c r="O51" i="21"/>
  <c r="G51" i="21"/>
  <c r="D51" i="21"/>
  <c r="P51" i="21"/>
  <c r="Q42" i="21"/>
  <c r="W77" i="23"/>
  <c r="Q51" i="21" l="1"/>
  <c r="AD53" i="23"/>
  <c r="AC53" i="23"/>
  <c r="AB53" i="23"/>
  <c r="AA53" i="23"/>
  <c r="Z53" i="23"/>
  <c r="Y53" i="23"/>
  <c r="X53" i="23"/>
  <c r="W53" i="23"/>
  <c r="V53" i="23"/>
  <c r="U53" i="23"/>
  <c r="T53" i="23"/>
  <c r="S53" i="23"/>
  <c r="R53" i="23"/>
  <c r="Q53" i="23"/>
  <c r="P53" i="23"/>
  <c r="O53" i="23"/>
  <c r="N53" i="23"/>
  <c r="M53" i="23"/>
  <c r="L53" i="23"/>
  <c r="K53" i="23"/>
  <c r="J53" i="23"/>
  <c r="I53" i="23"/>
  <c r="H53" i="23"/>
  <c r="G53" i="23"/>
  <c r="F53" i="23"/>
  <c r="E53" i="23"/>
  <c r="AE41" i="23" l="1"/>
  <c r="AD41" i="23"/>
  <c r="AC41" i="23"/>
  <c r="AB41" i="23"/>
  <c r="AA41" i="23"/>
  <c r="Z41" i="23"/>
  <c r="Y41" i="23"/>
  <c r="X41" i="23"/>
  <c r="W41" i="23"/>
  <c r="V41" i="23"/>
  <c r="U41" i="23"/>
  <c r="T41" i="23"/>
  <c r="S41" i="23"/>
  <c r="R41" i="23"/>
  <c r="Q41" i="23"/>
  <c r="P41" i="23"/>
  <c r="O41" i="23"/>
  <c r="N41" i="23"/>
  <c r="M41" i="23"/>
  <c r="L41" i="23"/>
  <c r="K41" i="23"/>
  <c r="J41" i="23"/>
  <c r="I41" i="23"/>
  <c r="H41" i="23"/>
  <c r="G41" i="23"/>
  <c r="F41" i="23"/>
  <c r="E41" i="23"/>
  <c r="AE40" i="23"/>
  <c r="AD40" i="23"/>
  <c r="AC40" i="23"/>
  <c r="AB40" i="23"/>
  <c r="AA40" i="23"/>
  <c r="Z40" i="23"/>
  <c r="Y40" i="23"/>
  <c r="X40" i="23"/>
  <c r="W40" i="23"/>
  <c r="V40" i="23"/>
  <c r="U40" i="23"/>
  <c r="T40" i="23"/>
  <c r="S40" i="23"/>
  <c r="R40" i="23"/>
  <c r="Q40" i="23"/>
  <c r="P40" i="23"/>
  <c r="O40" i="23"/>
  <c r="N40" i="23"/>
  <c r="M40" i="23"/>
  <c r="L40" i="23"/>
  <c r="K40" i="23"/>
  <c r="J40" i="23"/>
  <c r="I40" i="23"/>
  <c r="H40" i="23"/>
  <c r="G40" i="23"/>
  <c r="F40" i="23"/>
  <c r="E40" i="23"/>
  <c r="AD39" i="23"/>
  <c r="AC39" i="23"/>
  <c r="AB39" i="23"/>
  <c r="AA39" i="23"/>
  <c r="Z39" i="23"/>
  <c r="Y39" i="23"/>
  <c r="X39" i="23"/>
  <c r="W39" i="23"/>
  <c r="V39" i="23"/>
  <c r="U39" i="23"/>
  <c r="T39" i="23"/>
  <c r="S39" i="23"/>
  <c r="R39" i="23"/>
  <c r="Q39" i="23"/>
  <c r="P39" i="23"/>
  <c r="O39" i="23"/>
  <c r="N39" i="23"/>
  <c r="M39" i="23"/>
  <c r="L39" i="23"/>
  <c r="K39" i="23"/>
  <c r="J39" i="23"/>
  <c r="I39" i="23"/>
  <c r="H39" i="23"/>
  <c r="G39" i="23"/>
  <c r="F39" i="23"/>
  <c r="E39" i="23"/>
  <c r="AD37" i="23"/>
  <c r="AC37" i="23"/>
  <c r="AB37" i="23"/>
  <c r="AA37" i="23"/>
  <c r="Z37" i="23"/>
  <c r="Y37" i="23"/>
  <c r="X37" i="23"/>
  <c r="W37" i="23"/>
  <c r="V37" i="23"/>
  <c r="U37" i="23"/>
  <c r="T37" i="23"/>
  <c r="S37" i="23"/>
  <c r="R37" i="23"/>
  <c r="Q37" i="23"/>
  <c r="P37" i="23"/>
  <c r="O37" i="23"/>
  <c r="N37" i="23"/>
  <c r="M37" i="23"/>
  <c r="L37" i="23"/>
  <c r="K37" i="23"/>
  <c r="J37" i="23"/>
  <c r="I37" i="23"/>
  <c r="H37" i="23"/>
  <c r="G37" i="23"/>
  <c r="F37" i="23"/>
  <c r="E37" i="23"/>
  <c r="AE35" i="23"/>
  <c r="AD35" i="23"/>
  <c r="AC35" i="23"/>
  <c r="AB35" i="23"/>
  <c r="AA35" i="23"/>
  <c r="Z35" i="23"/>
  <c r="Y35" i="23"/>
  <c r="X35" i="23"/>
  <c r="W35" i="23"/>
  <c r="V35" i="23"/>
  <c r="U35" i="23"/>
  <c r="T35" i="23"/>
  <c r="S35" i="23"/>
  <c r="R35" i="23"/>
  <c r="Q35" i="23"/>
  <c r="P35" i="23"/>
  <c r="O35" i="23"/>
  <c r="N35" i="23"/>
  <c r="M35" i="23"/>
  <c r="L35" i="23"/>
  <c r="K35" i="23"/>
  <c r="J35" i="23"/>
  <c r="I35" i="23"/>
  <c r="H35" i="23"/>
  <c r="G35" i="23"/>
  <c r="F35" i="23"/>
  <c r="E35" i="23"/>
  <c r="AE34" i="23"/>
  <c r="AD34" i="23"/>
  <c r="AC34" i="23"/>
  <c r="AB34" i="23"/>
  <c r="AA34" i="23"/>
  <c r="Z34" i="23"/>
  <c r="Y34" i="23"/>
  <c r="X34" i="23"/>
  <c r="W34" i="23"/>
  <c r="V34" i="23"/>
  <c r="U34" i="23"/>
  <c r="T34" i="23"/>
  <c r="S34" i="23"/>
  <c r="R34" i="23"/>
  <c r="Q34" i="23"/>
  <c r="P34" i="23"/>
  <c r="O34" i="23"/>
  <c r="N34" i="23"/>
  <c r="M34" i="23"/>
  <c r="L34" i="23"/>
  <c r="K34" i="23"/>
  <c r="J34" i="23"/>
  <c r="I34" i="23"/>
  <c r="H34" i="23"/>
  <c r="G34" i="23"/>
  <c r="F34" i="23"/>
  <c r="E34" i="23"/>
  <c r="AD33" i="23"/>
  <c r="AC33" i="23"/>
  <c r="AB33" i="23"/>
  <c r="AA33" i="23"/>
  <c r="Z33" i="23"/>
  <c r="Y33" i="23"/>
  <c r="X33" i="23"/>
  <c r="W33" i="23"/>
  <c r="V33" i="23"/>
  <c r="U33" i="23"/>
  <c r="T33" i="23"/>
  <c r="S33" i="23"/>
  <c r="R33" i="23"/>
  <c r="Q33" i="23"/>
  <c r="P33" i="23"/>
  <c r="O33" i="23"/>
  <c r="N33" i="23"/>
  <c r="M33" i="23"/>
  <c r="L33" i="23"/>
  <c r="K33" i="23"/>
  <c r="J33" i="23"/>
  <c r="I33" i="23"/>
  <c r="H33" i="23"/>
  <c r="G33" i="23"/>
  <c r="F33" i="23"/>
  <c r="E33"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AE30" i="23"/>
  <c r="AD30" i="23"/>
  <c r="AC30" i="23"/>
  <c r="AB30" i="23"/>
  <c r="AA30" i="23"/>
  <c r="Z30" i="23"/>
  <c r="Y30" i="23"/>
  <c r="X30" i="23"/>
  <c r="W30" i="23"/>
  <c r="V30" i="23"/>
  <c r="U30" i="23"/>
  <c r="T30" i="23"/>
  <c r="S30" i="23"/>
  <c r="R30" i="23"/>
  <c r="Q30" i="23"/>
  <c r="P30" i="23"/>
  <c r="O30" i="23"/>
  <c r="N30" i="23"/>
  <c r="M30" i="23"/>
  <c r="L30" i="23"/>
  <c r="K30" i="23"/>
  <c r="J30" i="23"/>
  <c r="I30" i="23"/>
  <c r="H30" i="23"/>
  <c r="G30" i="23"/>
  <c r="F30" i="23"/>
  <c r="E30" i="23"/>
  <c r="AD29" i="23"/>
  <c r="AC29" i="23"/>
  <c r="AB29" i="23"/>
  <c r="AA29" i="23"/>
  <c r="Z29" i="23"/>
  <c r="Y29" i="23"/>
  <c r="X29" i="23"/>
  <c r="W29" i="23"/>
  <c r="V29" i="23"/>
  <c r="U29" i="23"/>
  <c r="T29" i="23"/>
  <c r="S29" i="23"/>
  <c r="R29" i="23"/>
  <c r="Q29" i="23"/>
  <c r="P29" i="23"/>
  <c r="O29" i="23"/>
  <c r="N29" i="23"/>
  <c r="M29" i="23"/>
  <c r="L29" i="23"/>
  <c r="K29" i="23"/>
  <c r="J29" i="23"/>
  <c r="I29" i="23"/>
  <c r="H29" i="23"/>
  <c r="G29" i="23"/>
  <c r="F29" i="23"/>
  <c r="E29" i="23"/>
  <c r="AE28" i="23"/>
  <c r="AD28" i="23"/>
  <c r="AC28" i="23"/>
  <c r="AB28" i="23"/>
  <c r="AA28" i="23"/>
  <c r="Z28" i="23"/>
  <c r="Y28" i="23"/>
  <c r="X28" i="23"/>
  <c r="W28" i="23"/>
  <c r="V28" i="23"/>
  <c r="U28" i="23"/>
  <c r="T28" i="23"/>
  <c r="S28" i="23"/>
  <c r="R28" i="23"/>
  <c r="Q28" i="23"/>
  <c r="P28" i="23"/>
  <c r="O28" i="23"/>
  <c r="N28" i="23"/>
  <c r="M28" i="23"/>
  <c r="L28" i="23"/>
  <c r="K28" i="23"/>
  <c r="J28" i="23"/>
  <c r="I28" i="23"/>
  <c r="H28" i="23"/>
  <c r="G28" i="23"/>
  <c r="F28" i="23"/>
  <c r="E28" i="23"/>
  <c r="AE25" i="23"/>
  <c r="AD25" i="23"/>
  <c r="AC25" i="23"/>
  <c r="AB25" i="23"/>
  <c r="AA25" i="23"/>
  <c r="Z25" i="23"/>
  <c r="Y25" i="23"/>
  <c r="X25" i="23"/>
  <c r="W25" i="23"/>
  <c r="V25" i="23"/>
  <c r="U25" i="23"/>
  <c r="T25" i="23"/>
  <c r="S25" i="23"/>
  <c r="R25" i="23"/>
  <c r="P25" i="23"/>
  <c r="O25" i="23"/>
  <c r="N25" i="23"/>
  <c r="M25" i="23"/>
  <c r="L25" i="23"/>
  <c r="K25" i="23"/>
  <c r="J25" i="23"/>
  <c r="I25" i="23"/>
  <c r="H25" i="23"/>
  <c r="G25" i="23"/>
  <c r="F25" i="23"/>
  <c r="E25" i="23"/>
  <c r="AE24" i="23"/>
  <c r="AD24" i="23"/>
  <c r="AC24" i="23"/>
  <c r="AB24" i="23"/>
  <c r="AA24" i="23"/>
  <c r="Z24" i="23"/>
  <c r="Y24" i="23"/>
  <c r="X24" i="23"/>
  <c r="W24" i="23"/>
  <c r="V24" i="23"/>
  <c r="U24" i="23"/>
  <c r="T24" i="23"/>
  <c r="S24" i="23"/>
  <c r="R24" i="23"/>
  <c r="Q24" i="23"/>
  <c r="P24" i="23"/>
  <c r="O24" i="23"/>
  <c r="N24" i="23"/>
  <c r="M24" i="23"/>
  <c r="L24" i="23"/>
  <c r="K24" i="23"/>
  <c r="J24" i="23"/>
  <c r="I24" i="23"/>
  <c r="H24" i="23"/>
  <c r="G24" i="23"/>
  <c r="F24" i="23"/>
  <c r="E24" i="23"/>
  <c r="AE23" i="23"/>
  <c r="AD23" i="23"/>
  <c r="AC23" i="23"/>
  <c r="AB23" i="23"/>
  <c r="AA23" i="23"/>
  <c r="Z23" i="23"/>
  <c r="Y23" i="23"/>
  <c r="X23" i="23"/>
  <c r="W23" i="23"/>
  <c r="V23" i="23"/>
  <c r="U23" i="23"/>
  <c r="T23" i="23"/>
  <c r="S23" i="23"/>
  <c r="Q23" i="23"/>
  <c r="P23" i="23"/>
  <c r="O23" i="23"/>
  <c r="N23" i="23"/>
  <c r="M23" i="23"/>
  <c r="L23" i="23"/>
  <c r="K23" i="23"/>
  <c r="J23" i="23"/>
  <c r="I23" i="23"/>
  <c r="H23" i="23"/>
  <c r="G23" i="23"/>
  <c r="F23" i="23"/>
  <c r="E23" i="23"/>
  <c r="AE21" i="23"/>
  <c r="AD21" i="23"/>
  <c r="AC21" i="23"/>
  <c r="AB21" i="23"/>
  <c r="AA21" i="23"/>
  <c r="Z21" i="23"/>
  <c r="Y21" i="23"/>
  <c r="X21" i="23"/>
  <c r="W21" i="23"/>
  <c r="V21" i="23"/>
  <c r="U21" i="23"/>
  <c r="T21" i="23"/>
  <c r="S21" i="23"/>
  <c r="Q21" i="23"/>
  <c r="P21" i="23"/>
  <c r="O21" i="23"/>
  <c r="N21" i="23"/>
  <c r="M21" i="23"/>
  <c r="L21" i="23"/>
  <c r="K21" i="23"/>
  <c r="J21" i="23"/>
  <c r="I21" i="23"/>
  <c r="H21" i="23"/>
  <c r="G21" i="23"/>
  <c r="F21" i="23"/>
  <c r="E21" i="23"/>
  <c r="AD19" i="23"/>
  <c r="AC19" i="23"/>
  <c r="AB19" i="23"/>
  <c r="AA19" i="23"/>
  <c r="Z19" i="23"/>
  <c r="Y19" i="23"/>
  <c r="X19" i="23"/>
  <c r="W19" i="23"/>
  <c r="V19" i="23"/>
  <c r="U19" i="23"/>
  <c r="T19" i="23"/>
  <c r="S19" i="23"/>
  <c r="R19" i="23"/>
  <c r="Q19" i="23"/>
  <c r="P19" i="23"/>
  <c r="O19" i="23"/>
  <c r="N19" i="23"/>
  <c r="M19" i="23"/>
  <c r="L19" i="23"/>
  <c r="K19" i="23"/>
  <c r="J19" i="23"/>
  <c r="I19" i="23"/>
  <c r="H19" i="23"/>
  <c r="G19" i="23"/>
  <c r="F19" i="23"/>
  <c r="E19" i="23"/>
  <c r="AE18" i="23"/>
  <c r="AD18" i="23"/>
  <c r="AC18" i="23"/>
  <c r="AB18" i="23"/>
  <c r="AA18" i="23"/>
  <c r="Z18" i="23"/>
  <c r="Y18" i="23"/>
  <c r="X18" i="23"/>
  <c r="W18" i="23"/>
  <c r="V18" i="23"/>
  <c r="U18" i="23"/>
  <c r="T18" i="23"/>
  <c r="S18" i="23"/>
  <c r="R18" i="23"/>
  <c r="Q18" i="23"/>
  <c r="P18" i="23"/>
  <c r="O18" i="23"/>
  <c r="N18" i="23"/>
  <c r="M18" i="23"/>
  <c r="L18" i="23"/>
  <c r="K18" i="23"/>
  <c r="J18" i="23"/>
  <c r="I18" i="23"/>
  <c r="H18" i="23"/>
  <c r="G18" i="23"/>
  <c r="F18" i="23"/>
  <c r="E18" i="23"/>
  <c r="AE17" i="23"/>
  <c r="AD17" i="23"/>
  <c r="AC17" i="23"/>
  <c r="AB17" i="23"/>
  <c r="AA17" i="23"/>
  <c r="Z17" i="23"/>
  <c r="Y17" i="23"/>
  <c r="X17" i="23"/>
  <c r="W17" i="23"/>
  <c r="V17" i="23"/>
  <c r="U17" i="23"/>
  <c r="T17" i="23"/>
  <c r="S17" i="23"/>
  <c r="R17" i="23"/>
  <c r="Q17" i="23"/>
  <c r="P17" i="23"/>
  <c r="O17" i="23"/>
  <c r="N17" i="23"/>
  <c r="M17" i="23"/>
  <c r="L17" i="23"/>
  <c r="K17" i="23"/>
  <c r="J17" i="23"/>
  <c r="I17" i="23"/>
  <c r="H17" i="23"/>
  <c r="G17" i="23"/>
  <c r="F17" i="23"/>
  <c r="E17" i="23"/>
  <c r="AE15" i="23"/>
  <c r="AD15" i="23"/>
  <c r="AC15" i="23"/>
  <c r="AB15" i="23"/>
  <c r="AA15" i="23"/>
  <c r="Z15" i="23"/>
  <c r="Y15" i="23"/>
  <c r="X15" i="23"/>
  <c r="W15" i="23"/>
  <c r="V15" i="23"/>
  <c r="U15" i="23"/>
  <c r="T15" i="23"/>
  <c r="S15" i="23"/>
  <c r="R15" i="23"/>
  <c r="P15" i="23"/>
  <c r="O15" i="23"/>
  <c r="N15" i="23"/>
  <c r="M15" i="23"/>
  <c r="L15" i="23"/>
  <c r="K15" i="23"/>
  <c r="J15" i="23"/>
  <c r="I15" i="23"/>
  <c r="H15" i="23"/>
  <c r="G15" i="23"/>
  <c r="F15" i="23"/>
  <c r="E15" i="23"/>
  <c r="AD14" i="23"/>
  <c r="AC14" i="23"/>
  <c r="AB14" i="23"/>
  <c r="AA14" i="23"/>
  <c r="Z14" i="23"/>
  <c r="Y14" i="23"/>
  <c r="X14" i="23"/>
  <c r="W14" i="23"/>
  <c r="V14" i="23"/>
  <c r="U14" i="23"/>
  <c r="T14" i="23"/>
  <c r="S14" i="23"/>
  <c r="R14" i="23"/>
  <c r="P14" i="23"/>
  <c r="O14" i="23"/>
  <c r="N14" i="23"/>
  <c r="M14" i="23"/>
  <c r="L14" i="23"/>
  <c r="K14" i="23"/>
  <c r="J14" i="23"/>
  <c r="I14" i="23"/>
  <c r="H14" i="23"/>
  <c r="G14" i="23"/>
  <c r="F14" i="23"/>
  <c r="E14" i="23"/>
  <c r="AD13" i="23"/>
  <c r="AC13" i="23"/>
  <c r="AB13" i="23"/>
  <c r="AA13" i="23"/>
  <c r="Z13" i="23"/>
  <c r="Y13" i="23"/>
  <c r="X13" i="23"/>
  <c r="W13" i="23"/>
  <c r="V13" i="23"/>
  <c r="U13" i="23"/>
  <c r="T13" i="23"/>
  <c r="S13" i="23"/>
  <c r="O13" i="23"/>
  <c r="N13" i="23"/>
  <c r="M13" i="23"/>
  <c r="L13" i="23"/>
  <c r="K13" i="23"/>
  <c r="J13" i="23"/>
  <c r="I13" i="23"/>
  <c r="H13" i="23"/>
  <c r="G13" i="23"/>
  <c r="F13" i="23"/>
  <c r="E13" i="23"/>
  <c r="R23" i="23"/>
  <c r="R21" i="23"/>
  <c r="R85" i="23"/>
  <c r="R84" i="23"/>
  <c r="R83" i="23"/>
  <c r="R82" i="23"/>
  <c r="R81" i="23"/>
  <c r="R80" i="23"/>
  <c r="R79" i="23"/>
  <c r="R78" i="23"/>
  <c r="R77" i="23"/>
  <c r="R76" i="23"/>
  <c r="R75" i="23"/>
  <c r="B510" i="27"/>
  <c r="B509" i="27"/>
  <c r="BF21" i="35" l="1"/>
  <c r="BF20" i="35"/>
  <c r="BF16" i="35"/>
  <c r="BF15" i="35"/>
  <c r="BF14" i="35"/>
  <c r="AS20" i="35"/>
  <c r="AS17" i="35"/>
  <c r="AS16" i="35"/>
  <c r="AS15" i="35"/>
  <c r="AS14" i="35"/>
  <c r="AE21" i="35"/>
  <c r="AE20" i="35"/>
  <c r="AE16" i="35"/>
  <c r="AE15" i="35"/>
  <c r="AE14" i="35"/>
  <c r="R21" i="35"/>
  <c r="R20" i="35"/>
  <c r="R17" i="35"/>
  <c r="AF17" i="35" s="1"/>
  <c r="R16" i="35"/>
  <c r="R15" i="35"/>
  <c r="R14" i="35"/>
  <c r="BE23" i="35"/>
  <c r="BD23" i="35"/>
  <c r="BC23" i="35"/>
  <c r="BB23" i="35"/>
  <c r="BA23" i="35"/>
  <c r="AZ23" i="35"/>
  <c r="AY23" i="35"/>
  <c r="AX23" i="35"/>
  <c r="AW23" i="35"/>
  <c r="AV23" i="35"/>
  <c r="AU23" i="35"/>
  <c r="AR23" i="35"/>
  <c r="AQ23" i="35"/>
  <c r="AP23" i="35"/>
  <c r="AO23" i="35"/>
  <c r="AN23" i="35"/>
  <c r="AM23" i="35"/>
  <c r="AL23" i="35"/>
  <c r="AK23" i="35"/>
  <c r="AJ23" i="35"/>
  <c r="AH23" i="35"/>
  <c r="AD23" i="35"/>
  <c r="AC23" i="35"/>
  <c r="AB23" i="35"/>
  <c r="AA23" i="35"/>
  <c r="Z23" i="35"/>
  <c r="Y23" i="35"/>
  <c r="W23" i="35"/>
  <c r="U23" i="35"/>
  <c r="T23" i="35"/>
  <c r="S23" i="35"/>
  <c r="Q23" i="35"/>
  <c r="P23" i="35"/>
  <c r="O23" i="35"/>
  <c r="N23" i="35"/>
  <c r="M23" i="35"/>
  <c r="F23" i="35"/>
  <c r="Q13" i="21"/>
  <c r="BG17" i="35" l="1"/>
  <c r="BG14" i="35"/>
  <c r="I23" i="35"/>
  <c r="L23" i="35"/>
  <c r="G23" i="35"/>
  <c r="H23" i="35"/>
  <c r="K23" i="35"/>
  <c r="R19" i="35"/>
  <c r="AE19" i="35"/>
  <c r="BG15" i="35"/>
  <c r="AS19" i="35"/>
  <c r="AS13" i="35"/>
  <c r="AF20" i="35"/>
  <c r="BF19" i="35"/>
  <c r="AF21" i="35"/>
  <c r="BG16" i="35"/>
  <c r="X23" i="35"/>
  <c r="BF13" i="35"/>
  <c r="AI23" i="35"/>
  <c r="BG20" i="35"/>
  <c r="BG21" i="35"/>
  <c r="AE13" i="35"/>
  <c r="AF14" i="35"/>
  <c r="AF15" i="35"/>
  <c r="R13" i="35"/>
  <c r="AF16" i="35"/>
  <c r="AT23" i="35"/>
  <c r="V23" i="35"/>
  <c r="J23" i="35"/>
  <c r="AG23" i="35"/>
  <c r="C27" i="10"/>
  <c r="BH20" i="35" l="1"/>
  <c r="BH17" i="35"/>
  <c r="BF23" i="35"/>
  <c r="BG19" i="35"/>
  <c r="BH21" i="35"/>
  <c r="AF19" i="35"/>
  <c r="BH16" i="35"/>
  <c r="BH15" i="35"/>
  <c r="R23" i="35"/>
  <c r="BH14" i="35"/>
  <c r="BG13" i="35"/>
  <c r="AS23" i="35"/>
  <c r="AF13" i="35"/>
  <c r="AE23" i="35"/>
  <c r="H68" i="13"/>
  <c r="BG23" i="35" l="1"/>
  <c r="BH19" i="35"/>
  <c r="BH13" i="35"/>
  <c r="AF23" i="35"/>
  <c r="J19" i="1"/>
  <c r="I19" i="1"/>
  <c r="BH23" i="35" l="1"/>
  <c r="H68" i="10"/>
  <c r="G68" i="10"/>
  <c r="C24" i="6"/>
  <c r="C17" i="6"/>
  <c r="H67" i="13"/>
  <c r="D52" i="13"/>
  <c r="C175" i="29" l="1"/>
  <c r="C142" i="29"/>
  <c r="C95" i="29"/>
  <c r="C49" i="29"/>
  <c r="G11" i="23" l="1"/>
  <c r="H11" i="23"/>
  <c r="U11" i="23"/>
  <c r="V11" i="23"/>
  <c r="B508" i="27" l="1"/>
  <c r="B507" i="27"/>
  <c r="B506" i="27"/>
  <c r="B26" i="1"/>
  <c r="B5" i="35"/>
  <c r="B5" i="26"/>
  <c r="B5" i="25"/>
  <c r="B5" i="24"/>
  <c r="B5" i="23"/>
  <c r="B5" i="29"/>
  <c r="B5" i="21"/>
  <c r="B5" i="20"/>
  <c r="B5" i="19"/>
  <c r="B5" i="33"/>
  <c r="B5" i="32"/>
  <c r="B5" i="31"/>
  <c r="B5" i="18"/>
  <c r="B5" i="17"/>
  <c r="B5" i="16"/>
  <c r="B5" i="15"/>
  <c r="B5" i="14"/>
  <c r="B5" i="13"/>
  <c r="B5" i="12"/>
  <c r="B5" i="11"/>
  <c r="B5" i="10"/>
  <c r="B5" i="6"/>
  <c r="D3" i="9"/>
  <c r="B5" i="5"/>
  <c r="B5" i="2"/>
  <c r="D10" i="33"/>
  <c r="C10" i="14"/>
  <c r="B108" i="2"/>
  <c r="B59" i="2"/>
  <c r="B5" i="27"/>
  <c r="B5" i="1"/>
  <c r="V83" i="23" l="1"/>
  <c r="V77" i="23" l="1"/>
  <c r="BF12" i="35" l="1"/>
  <c r="AS12" i="35"/>
  <c r="BE12" i="35"/>
  <c r="BD12" i="35"/>
  <c r="BC12" i="35"/>
  <c r="BB12" i="35"/>
  <c r="BA12" i="35"/>
  <c r="AZ12" i="35"/>
  <c r="AY12" i="35"/>
  <c r="AX12" i="35"/>
  <c r="AW12" i="35"/>
  <c r="AR12" i="35"/>
  <c r="AQ12" i="35"/>
  <c r="AP12" i="35"/>
  <c r="AO12" i="35"/>
  <c r="AN12" i="35"/>
  <c r="AM12" i="35"/>
  <c r="AL12" i="35"/>
  <c r="AK12" i="35"/>
  <c r="AJ12" i="35"/>
  <c r="AD12" i="35"/>
  <c r="AC12" i="35"/>
  <c r="AB12" i="35"/>
  <c r="AA12" i="35"/>
  <c r="Z12" i="35"/>
  <c r="Y12" i="35"/>
  <c r="X12" i="35"/>
  <c r="W12" i="35"/>
  <c r="V12" i="35"/>
  <c r="N12" i="35"/>
  <c r="Q12" i="35"/>
  <c r="P12" i="35"/>
  <c r="O12" i="35"/>
  <c r="M12" i="35"/>
  <c r="L12" i="35"/>
  <c r="K12" i="35"/>
  <c r="J12" i="35"/>
  <c r="I12" i="35"/>
  <c r="D31" i="33"/>
  <c r="E31" i="33"/>
  <c r="F31" i="33"/>
  <c r="G31" i="33"/>
  <c r="H31" i="33"/>
  <c r="I31" i="33"/>
  <c r="J31" i="33"/>
  <c r="D23" i="33"/>
  <c r="E23" i="33"/>
  <c r="F23" i="33"/>
  <c r="G23" i="33"/>
  <c r="H23" i="33"/>
  <c r="I23" i="33"/>
  <c r="J23" i="33"/>
  <c r="D13" i="33"/>
  <c r="E13" i="33"/>
  <c r="F13" i="33"/>
  <c r="G13" i="33"/>
  <c r="H13" i="33"/>
  <c r="I13" i="33"/>
  <c r="J13" i="33"/>
  <c r="E37" i="33" l="1"/>
  <c r="J37" i="33"/>
  <c r="I37" i="33"/>
  <c r="H37" i="33"/>
  <c r="F37" i="33"/>
  <c r="G37" i="33"/>
  <c r="D37" i="33"/>
  <c r="B37" i="21"/>
  <c r="B40" i="33"/>
  <c r="C10" i="19" l="1"/>
  <c r="C25" i="18" l="1"/>
  <c r="A18" i="36"/>
  <c r="B28" i="35"/>
  <c r="B37" i="26"/>
  <c r="B207" i="25"/>
  <c r="B92" i="23"/>
  <c r="B34" i="32"/>
  <c r="B63" i="31"/>
  <c r="B87" i="18"/>
  <c r="B53" i="14"/>
  <c r="B78" i="13"/>
  <c r="B78" i="12"/>
  <c r="B73" i="11"/>
  <c r="B61" i="6"/>
  <c r="B62" i="5"/>
  <c r="B27" i="1"/>
  <c r="C10" i="11" l="1"/>
  <c r="V64" i="23" l="1"/>
  <c r="C174" i="29"/>
  <c r="C173" i="29"/>
  <c r="C172" i="29"/>
  <c r="C141" i="29"/>
  <c r="C140" i="29"/>
  <c r="C139" i="29"/>
  <c r="C94" i="29"/>
  <c r="C93" i="29"/>
  <c r="C92" i="29"/>
  <c r="C48" i="29"/>
  <c r="C47" i="29"/>
  <c r="C46" i="29"/>
  <c r="C10" i="16" l="1"/>
  <c r="C10" i="15"/>
  <c r="C38" i="2"/>
  <c r="G31" i="16"/>
  <c r="G30" i="16"/>
  <c r="G29" i="16"/>
  <c r="G28" i="16"/>
  <c r="G27" i="16"/>
  <c r="D26" i="16"/>
  <c r="D24" i="16" s="1"/>
  <c r="C26" i="16"/>
  <c r="C24" i="16" s="1"/>
  <c r="G25" i="16"/>
  <c r="G23" i="16"/>
  <c r="G22" i="16"/>
  <c r="G21" i="16"/>
  <c r="G20" i="16"/>
  <c r="G19" i="16"/>
  <c r="D18" i="16"/>
  <c r="C18" i="16"/>
  <c r="G17" i="16"/>
  <c r="G16" i="16"/>
  <c r="G15" i="16"/>
  <c r="G14" i="16"/>
  <c r="D13" i="16"/>
  <c r="C13" i="16"/>
  <c r="G67" i="15"/>
  <c r="G66" i="15"/>
  <c r="F65" i="15"/>
  <c r="E65" i="15"/>
  <c r="D65" i="15"/>
  <c r="C65" i="15"/>
  <c r="G64" i="15"/>
  <c r="G63" i="15"/>
  <c r="G61" i="15"/>
  <c r="G60" i="15"/>
  <c r="G59" i="15"/>
  <c r="G58" i="15"/>
  <c r="G57" i="15"/>
  <c r="G56" i="15"/>
  <c r="G55" i="15"/>
  <c r="G54" i="15"/>
  <c r="G53" i="15"/>
  <c r="G52" i="15"/>
  <c r="G51" i="15"/>
  <c r="G50" i="15"/>
  <c r="G49" i="15"/>
  <c r="G48" i="15"/>
  <c r="G47" i="15"/>
  <c r="G46" i="15"/>
  <c r="G45" i="15"/>
  <c r="G44" i="15"/>
  <c r="G43" i="15"/>
  <c r="G42" i="15"/>
  <c r="G41" i="15"/>
  <c r="G40" i="15"/>
  <c r="G39" i="15"/>
  <c r="G38" i="15"/>
  <c r="F37" i="15"/>
  <c r="F36" i="15" s="1"/>
  <c r="E37" i="15"/>
  <c r="E36" i="15" s="1"/>
  <c r="E35" i="15" s="1"/>
  <c r="D37" i="15"/>
  <c r="D36" i="15" s="1"/>
  <c r="D35" i="15" s="1"/>
  <c r="D68" i="15" s="1"/>
  <c r="C37" i="15"/>
  <c r="C36" i="15" s="1"/>
  <c r="C35" i="15" s="1"/>
  <c r="C68" i="15" s="1"/>
  <c r="G33" i="15"/>
  <c r="G32" i="15"/>
  <c r="G31" i="15"/>
  <c r="F30" i="15"/>
  <c r="E30" i="15"/>
  <c r="D30" i="15"/>
  <c r="C30" i="15"/>
  <c r="G29" i="15"/>
  <c r="G28" i="15"/>
  <c r="G27" i="15"/>
  <c r="G26" i="15"/>
  <c r="G25" i="15"/>
  <c r="G24" i="15"/>
  <c r="G23" i="15"/>
  <c r="G22" i="15"/>
  <c r="G21" i="15"/>
  <c r="G20" i="15"/>
  <c r="G19" i="15"/>
  <c r="G18" i="15"/>
  <c r="G17" i="15"/>
  <c r="G15" i="15"/>
  <c r="G14" i="15"/>
  <c r="G13" i="15"/>
  <c r="F12" i="15"/>
  <c r="E12" i="15"/>
  <c r="D12" i="15"/>
  <c r="C12" i="15"/>
  <c r="C49" i="16"/>
  <c r="C47" i="16" s="1"/>
  <c r="C40" i="16"/>
  <c r="C33" i="16" s="1"/>
  <c r="C34" i="16"/>
  <c r="C52" i="10"/>
  <c r="C42" i="13"/>
  <c r="C10" i="2"/>
  <c r="C10" i="5"/>
  <c r="C10" i="6"/>
  <c r="C10" i="10"/>
  <c r="C10" i="12"/>
  <c r="C10" i="13"/>
  <c r="E68" i="15" l="1"/>
  <c r="H66" i="15" s="1"/>
  <c r="G12" i="15"/>
  <c r="F59" i="16"/>
  <c r="E59" i="16"/>
  <c r="C55" i="16"/>
  <c r="C57" i="16" s="1"/>
  <c r="E57" i="16"/>
  <c r="E34" i="15"/>
  <c r="H30" i="15" s="1"/>
  <c r="C12" i="16"/>
  <c r="D12" i="16"/>
  <c r="C60" i="16"/>
  <c r="C34" i="15"/>
  <c r="C69" i="15" s="1"/>
  <c r="C73" i="15" s="1"/>
  <c r="D34" i="15"/>
  <c r="D69" i="15" s="1"/>
  <c r="D73" i="15" s="1"/>
  <c r="G24" i="16"/>
  <c r="G13" i="16"/>
  <c r="G18" i="16"/>
  <c r="G26" i="16"/>
  <c r="E60" i="16"/>
  <c r="F60" i="16"/>
  <c r="C32" i="16"/>
  <c r="C56" i="16" s="1"/>
  <c r="C58" i="16" s="1"/>
  <c r="G36" i="15"/>
  <c r="F34" i="15"/>
  <c r="G30" i="15"/>
  <c r="G65" i="15"/>
  <c r="F35" i="15"/>
  <c r="G37" i="15"/>
  <c r="C59" i="16"/>
  <c r="B64" i="23"/>
  <c r="AE63" i="23"/>
  <c r="R63" i="23"/>
  <c r="C63" i="23"/>
  <c r="B63" i="23"/>
  <c r="H47" i="15" l="1"/>
  <c r="H38" i="15"/>
  <c r="H67" i="15"/>
  <c r="H37" i="15"/>
  <c r="H53" i="15"/>
  <c r="H44" i="15"/>
  <c r="H65" i="15"/>
  <c r="H59" i="15"/>
  <c r="H50" i="15"/>
  <c r="H39" i="15"/>
  <c r="H42" i="15"/>
  <c r="H56" i="15"/>
  <c r="H45" i="15"/>
  <c r="H48" i="15"/>
  <c r="H63" i="15"/>
  <c r="H51" i="15"/>
  <c r="H54" i="15"/>
  <c r="H57" i="15"/>
  <c r="H60" i="15"/>
  <c r="H40" i="15"/>
  <c r="H43" i="15"/>
  <c r="H46" i="15"/>
  <c r="H49" i="15"/>
  <c r="H36" i="15"/>
  <c r="H52" i="15"/>
  <c r="H55" i="15"/>
  <c r="H58" i="15"/>
  <c r="H61" i="15"/>
  <c r="H41" i="15"/>
  <c r="H64" i="15"/>
  <c r="H12" i="15"/>
  <c r="H19" i="15"/>
  <c r="H25" i="15"/>
  <c r="H13" i="15"/>
  <c r="H20" i="15"/>
  <c r="H28" i="15"/>
  <c r="H32" i="15"/>
  <c r="H17" i="15"/>
  <c r="H23" i="15"/>
  <c r="H29" i="15"/>
  <c r="H14" i="15"/>
  <c r="H33" i="15"/>
  <c r="H21" i="15"/>
  <c r="H26" i="15"/>
  <c r="H27" i="15"/>
  <c r="H18" i="15"/>
  <c r="H31" i="15"/>
  <c r="H24" i="15"/>
  <c r="E69" i="15"/>
  <c r="E73" i="15" s="1"/>
  <c r="H15" i="15"/>
  <c r="H22" i="15"/>
  <c r="F57" i="16"/>
  <c r="H13" i="16"/>
  <c r="G12" i="16"/>
  <c r="C66" i="16"/>
  <c r="H35" i="15"/>
  <c r="G35" i="15"/>
  <c r="F68" i="15"/>
  <c r="G68" i="15" s="1"/>
  <c r="G34" i="15"/>
  <c r="C31" i="11"/>
  <c r="B65" i="23"/>
  <c r="H25" i="16" l="1"/>
  <c r="H18" i="16"/>
  <c r="H30" i="16"/>
  <c r="H21" i="16"/>
  <c r="H29" i="16"/>
  <c r="H22" i="16"/>
  <c r="H28" i="16"/>
  <c r="H23" i="16"/>
  <c r="H31" i="16"/>
  <c r="H20" i="16"/>
  <c r="H17" i="16"/>
  <c r="E66" i="16"/>
  <c r="H14" i="16"/>
  <c r="H15" i="16"/>
  <c r="H26" i="16"/>
  <c r="H19" i="16"/>
  <c r="H12" i="16"/>
  <c r="H27" i="16"/>
  <c r="H24" i="16"/>
  <c r="H16" i="16"/>
  <c r="F69" i="15"/>
  <c r="F73" i="15" s="1"/>
  <c r="F58" i="16" l="1"/>
  <c r="F66" i="16"/>
  <c r="E58" i="16"/>
  <c r="B19" i="35"/>
  <c r="AV12" i="35"/>
  <c r="AI12" i="35"/>
  <c r="U12" i="35"/>
  <c r="H12" i="35"/>
  <c r="D49" i="31"/>
  <c r="D47" i="31" l="1"/>
  <c r="E46" i="11" l="1"/>
  <c r="F46" i="11"/>
  <c r="C15" i="1" l="1"/>
  <c r="E11" i="23" l="1"/>
  <c r="F11" i="23"/>
  <c r="S11" i="23"/>
  <c r="T11" i="23"/>
  <c r="E52" i="23"/>
  <c r="F52" i="23"/>
  <c r="E10" i="19" l="1"/>
  <c r="AU12" i="35"/>
  <c r="AH12" i="35"/>
  <c r="T12" i="35"/>
  <c r="G12" i="35"/>
  <c r="G10" i="19" l="1"/>
  <c r="AT12" i="35" l="1"/>
  <c r="AG12" i="35"/>
  <c r="AE12" i="35"/>
  <c r="S12" i="35"/>
  <c r="R12" i="35"/>
  <c r="F12" i="35"/>
  <c r="B83" i="18" l="1"/>
  <c r="T83" i="23"/>
  <c r="T77" i="23"/>
  <c r="E55" i="11"/>
  <c r="E53" i="11" s="1"/>
  <c r="F55" i="11"/>
  <c r="F53" i="11" s="1"/>
  <c r="E10" i="26" l="1"/>
  <c r="C10" i="26"/>
  <c r="L12" i="28" l="1"/>
  <c r="F12" i="28"/>
  <c r="K11" i="28"/>
  <c r="I11" i="28"/>
  <c r="E11" i="28"/>
  <c r="C11" i="28"/>
  <c r="G46" i="13" l="1"/>
  <c r="G47" i="13"/>
  <c r="G48" i="13"/>
  <c r="B27" i="35" l="1"/>
  <c r="G198" i="25"/>
  <c r="E198" i="25"/>
  <c r="G172" i="25"/>
  <c r="E172" i="25"/>
  <c r="E169" i="25"/>
  <c r="E159" i="25"/>
  <c r="E152" i="25"/>
  <c r="E144" i="25"/>
  <c r="E131" i="25"/>
  <c r="E123" i="25"/>
  <c r="E104" i="25"/>
  <c r="E101" i="25"/>
  <c r="E95" i="25"/>
  <c r="E89" i="25"/>
  <c r="E75" i="25"/>
  <c r="E65" i="25"/>
  <c r="E50" i="25"/>
  <c r="E43" i="25"/>
  <c r="E38" i="25"/>
  <c r="G173" i="25"/>
  <c r="E25" i="25"/>
  <c r="E39" i="25" s="1"/>
  <c r="E16" i="25"/>
  <c r="B153" i="25"/>
  <c r="B195" i="25" s="1"/>
  <c r="D185" i="25"/>
  <c r="C170" i="25"/>
  <c r="C197" i="25" s="1"/>
  <c r="D171" i="25"/>
  <c r="D167" i="25"/>
  <c r="C160" i="25"/>
  <c r="C196" i="25" s="1"/>
  <c r="D156" i="25"/>
  <c r="D155" i="25"/>
  <c r="C153" i="25"/>
  <c r="C195" i="25" s="1"/>
  <c r="D151" i="25"/>
  <c r="D150" i="25"/>
  <c r="D143" i="25"/>
  <c r="D141" i="25"/>
  <c r="D140" i="25"/>
  <c r="D142" i="25"/>
  <c r="D134" i="25"/>
  <c r="C132" i="25"/>
  <c r="C193" i="25" s="1"/>
  <c r="C124" i="25"/>
  <c r="C192" i="25" s="1"/>
  <c r="D122" i="25"/>
  <c r="D120" i="25"/>
  <c r="D112" i="25"/>
  <c r="D121" i="25"/>
  <c r="D107" i="25"/>
  <c r="C106" i="25"/>
  <c r="C191" i="25" s="1"/>
  <c r="C103" i="25"/>
  <c r="C190" i="25" s="1"/>
  <c r="C96" i="25"/>
  <c r="D101" i="25" s="1"/>
  <c r="D102" i="25"/>
  <c r="D100" i="25"/>
  <c r="D99" i="25"/>
  <c r="D98" i="25"/>
  <c r="D97" i="25"/>
  <c r="D96" i="25"/>
  <c r="B96" i="25"/>
  <c r="B189" i="25" s="1"/>
  <c r="D94" i="25"/>
  <c r="D93" i="25"/>
  <c r="D92" i="25"/>
  <c r="C90" i="25"/>
  <c r="C188" i="25" s="1"/>
  <c r="D88" i="25"/>
  <c r="D86" i="25"/>
  <c r="D87" i="25"/>
  <c r="D84" i="25"/>
  <c r="D83" i="25"/>
  <c r="C76" i="25"/>
  <c r="C187" i="25" s="1"/>
  <c r="D74" i="25"/>
  <c r="D73" i="25"/>
  <c r="D72" i="25"/>
  <c r="D71" i="25"/>
  <c r="C66" i="25"/>
  <c r="C186" i="25" s="1"/>
  <c r="D63" i="25"/>
  <c r="C52" i="25"/>
  <c r="C185" i="25" s="1"/>
  <c r="C51" i="25"/>
  <c r="D49" i="25"/>
  <c r="D48" i="25"/>
  <c r="D45" i="25"/>
  <c r="D37" i="25"/>
  <c r="D42" i="25"/>
  <c r="C44" i="25"/>
  <c r="C184" i="25" s="1"/>
  <c r="B52" i="25"/>
  <c r="B185" i="25" s="1"/>
  <c r="E173" i="25" l="1"/>
  <c r="C189" i="25"/>
  <c r="D41" i="25"/>
  <c r="D36" i="25"/>
  <c r="D34" i="25"/>
  <c r="D33" i="25"/>
  <c r="D32" i="25"/>
  <c r="D24" i="25"/>
  <c r="D22" i="25"/>
  <c r="D20" i="25"/>
  <c r="AF11" i="35"/>
  <c r="BG11" i="35"/>
  <c r="BH11" i="35"/>
  <c r="H11" i="20"/>
  <c r="G11" i="20"/>
  <c r="G10" i="20"/>
  <c r="E10" i="20"/>
  <c r="F11" i="18"/>
  <c r="E11" i="18"/>
  <c r="E10" i="18"/>
  <c r="C10" i="18"/>
  <c r="L12" i="17"/>
  <c r="K12" i="17"/>
  <c r="H12" i="17"/>
  <c r="E12" i="17"/>
  <c r="I11" i="17"/>
  <c r="F11" i="17"/>
  <c r="C11" i="17"/>
  <c r="H11" i="16"/>
  <c r="G11" i="16"/>
  <c r="G10" i="16"/>
  <c r="E10" i="16"/>
  <c r="H11" i="15"/>
  <c r="G11" i="15"/>
  <c r="G10" i="15"/>
  <c r="E10" i="15"/>
  <c r="I11" i="14"/>
  <c r="H11" i="14"/>
  <c r="H10" i="14"/>
  <c r="E10" i="14"/>
  <c r="I11" i="13"/>
  <c r="H11" i="13"/>
  <c r="H10" i="13"/>
  <c r="E10" i="13"/>
  <c r="I11" i="12"/>
  <c r="H11" i="12"/>
  <c r="H10" i="12"/>
  <c r="E10" i="12"/>
  <c r="I11" i="11"/>
  <c r="H11" i="11"/>
  <c r="H10" i="11"/>
  <c r="E10" i="11"/>
  <c r="I11" i="10"/>
  <c r="H11" i="10"/>
  <c r="H10" i="10"/>
  <c r="E10" i="10"/>
  <c r="I11" i="6"/>
  <c r="H11" i="6"/>
  <c r="H10" i="6"/>
  <c r="E10" i="6"/>
  <c r="I11" i="5"/>
  <c r="H10" i="5"/>
  <c r="E10" i="5"/>
  <c r="E10" i="33" l="1"/>
  <c r="C10" i="32"/>
  <c r="C10" i="31"/>
  <c r="D10" i="2" l="1"/>
  <c r="I10" i="1"/>
  <c r="B201" i="25"/>
  <c r="B199" i="25"/>
  <c r="B8" i="25"/>
  <c r="B33" i="33"/>
  <c r="Q11" i="21"/>
  <c r="Q40" i="21"/>
  <c r="Q29" i="21"/>
  <c r="Q28" i="21"/>
  <c r="Q27" i="21"/>
  <c r="Q26" i="21"/>
  <c r="Q25" i="21"/>
  <c r="Q23" i="21"/>
  <c r="Q22" i="21"/>
  <c r="Q21" i="21"/>
  <c r="Q20" i="21"/>
  <c r="Q19" i="21"/>
  <c r="Q17" i="21"/>
  <c r="Q16" i="21"/>
  <c r="Q15" i="21"/>
  <c r="Q14" i="21"/>
  <c r="B33" i="19"/>
  <c r="B33" i="32" l="1"/>
  <c r="B39" i="33"/>
  <c r="B8" i="35"/>
  <c r="C33" i="9" s="1"/>
  <c r="B8" i="27"/>
  <c r="C34" i="9" s="1"/>
  <c r="AG10" i="35"/>
  <c r="B26" i="35"/>
  <c r="B25" i="35"/>
  <c r="B24" i="35"/>
  <c r="B23" i="35"/>
  <c r="B13" i="35"/>
  <c r="C10" i="35"/>
  <c r="BH10" i="35"/>
  <c r="F10" i="35"/>
  <c r="E10" i="35"/>
  <c r="D10" i="35"/>
  <c r="B34" i="21"/>
  <c r="B82" i="24" l="1"/>
  <c r="C10" i="33" l="1"/>
  <c r="I12" i="33"/>
  <c r="F12" i="33"/>
  <c r="H12" i="33"/>
  <c r="E12" i="33"/>
  <c r="G12" i="32"/>
  <c r="D12" i="32"/>
  <c r="F12" i="32"/>
  <c r="C12" i="32"/>
  <c r="G12" i="31"/>
  <c r="F12" i="31"/>
  <c r="D12" i="31"/>
  <c r="C12" i="31"/>
  <c r="B57" i="31"/>
  <c r="J9" i="33" l="1"/>
  <c r="B10" i="33"/>
  <c r="H9" i="32"/>
  <c r="B10" i="32"/>
  <c r="H9" i="31"/>
  <c r="B31" i="15" l="1"/>
  <c r="B66" i="16"/>
  <c r="B65" i="16"/>
  <c r="B64" i="16"/>
  <c r="B63" i="16"/>
  <c r="B62" i="16"/>
  <c r="B61" i="16"/>
  <c r="B60" i="16"/>
  <c r="B59" i="16"/>
  <c r="B58" i="16"/>
  <c r="B57" i="16"/>
  <c r="B56" i="16"/>
  <c r="B55" i="16"/>
  <c r="B54" i="16"/>
  <c r="B53" i="16"/>
  <c r="B52" i="16"/>
  <c r="B51" i="16"/>
  <c r="B50" i="16"/>
  <c r="B49" i="16"/>
  <c r="B48" i="16"/>
  <c r="B47" i="16"/>
  <c r="B46" i="16"/>
  <c r="B45" i="16"/>
  <c r="B44" i="16"/>
  <c r="B43" i="16"/>
  <c r="B42" i="16"/>
  <c r="B41" i="16"/>
  <c r="B40" i="16"/>
  <c r="B39" i="16"/>
  <c r="B38" i="16"/>
  <c r="B37" i="16"/>
  <c r="B36" i="16"/>
  <c r="B35" i="16"/>
  <c r="B34" i="16"/>
  <c r="B33" i="16"/>
  <c r="B32" i="16"/>
  <c r="B31" i="16"/>
  <c r="B30" i="16"/>
  <c r="B29" i="16"/>
  <c r="B28" i="16"/>
  <c r="B27" i="16"/>
  <c r="B26" i="16"/>
  <c r="B25" i="16"/>
  <c r="B24" i="16"/>
  <c r="B23" i="16"/>
  <c r="B22" i="16"/>
  <c r="B21" i="16"/>
  <c r="B20" i="16"/>
  <c r="B19" i="16"/>
  <c r="B18" i="16"/>
  <c r="B17" i="16"/>
  <c r="B16" i="16"/>
  <c r="B15" i="16"/>
  <c r="B14" i="16"/>
  <c r="B13" i="16"/>
  <c r="B12" i="16"/>
  <c r="B73" i="15"/>
  <c r="B72" i="15"/>
  <c r="B71" i="15"/>
  <c r="B70" i="15"/>
  <c r="B69" i="15"/>
  <c r="B68" i="15"/>
  <c r="B67" i="15"/>
  <c r="B66" i="15"/>
  <c r="B65" i="15"/>
  <c r="B64" i="15"/>
  <c r="B63" i="15"/>
  <c r="B62" i="15"/>
  <c r="B61" i="15"/>
  <c r="B60" i="15"/>
  <c r="B59" i="15"/>
  <c r="B58" i="15"/>
  <c r="B57" i="15"/>
  <c r="B56" i="15"/>
  <c r="B55" i="15"/>
  <c r="B54" i="15"/>
  <c r="B53" i="15"/>
  <c r="B52" i="15"/>
  <c r="B51" i="15"/>
  <c r="B50" i="15"/>
  <c r="B49" i="15"/>
  <c r="B48" i="15"/>
  <c r="B47" i="15"/>
  <c r="B46" i="15"/>
  <c r="B45" i="15"/>
  <c r="B44" i="15"/>
  <c r="B43" i="15"/>
  <c r="B42" i="15"/>
  <c r="B41" i="15"/>
  <c r="B40" i="15"/>
  <c r="B39" i="15"/>
  <c r="B38" i="15"/>
  <c r="B37" i="15"/>
  <c r="B36" i="15"/>
  <c r="B35" i="15"/>
  <c r="B34" i="15"/>
  <c r="B33" i="15"/>
  <c r="B32" i="15"/>
  <c r="B30" i="15"/>
  <c r="B29" i="15"/>
  <c r="B28" i="15"/>
  <c r="B27" i="15"/>
  <c r="B26" i="15"/>
  <c r="B25" i="15"/>
  <c r="B24" i="15"/>
  <c r="B23" i="15"/>
  <c r="B22" i="15"/>
  <c r="B21" i="15"/>
  <c r="B20" i="15"/>
  <c r="B19" i="15"/>
  <c r="B18" i="15"/>
  <c r="B17" i="15"/>
  <c r="B16" i="15"/>
  <c r="B15" i="15"/>
  <c r="B14" i="15"/>
  <c r="B13" i="15"/>
  <c r="B12" i="15"/>
  <c r="G54" i="16"/>
  <c r="G53" i="16"/>
  <c r="G52" i="16"/>
  <c r="G51" i="16"/>
  <c r="G50" i="16"/>
  <c r="D49" i="16"/>
  <c r="D47" i="16" s="1"/>
  <c r="G48" i="16"/>
  <c r="G46" i="16"/>
  <c r="G45" i="16"/>
  <c r="G44" i="16"/>
  <c r="G43" i="16"/>
  <c r="G42" i="16"/>
  <c r="G41" i="16"/>
  <c r="D40" i="16"/>
  <c r="G39" i="16"/>
  <c r="G38" i="16"/>
  <c r="G37" i="16"/>
  <c r="G36" i="16"/>
  <c r="G35" i="16"/>
  <c r="D34" i="16"/>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H48" i="5"/>
  <c r="G48" i="5"/>
  <c r="H47" i="5"/>
  <c r="G47" i="5"/>
  <c r="H46" i="5"/>
  <c r="G46" i="5"/>
  <c r="D45" i="5"/>
  <c r="D43" i="5" s="1"/>
  <c r="C45" i="5"/>
  <c r="C43" i="5" s="1"/>
  <c r="H44" i="5"/>
  <c r="G44" i="5"/>
  <c r="H41" i="5"/>
  <c r="G41" i="5"/>
  <c r="H40" i="5"/>
  <c r="G40" i="5"/>
  <c r="H39" i="5"/>
  <c r="G39" i="5"/>
  <c r="H38" i="5"/>
  <c r="G38" i="5"/>
  <c r="D37" i="5"/>
  <c r="C37" i="5"/>
  <c r="H36" i="5"/>
  <c r="G36" i="5"/>
  <c r="H35" i="5"/>
  <c r="G35" i="5"/>
  <c r="H34" i="5"/>
  <c r="G34" i="5"/>
  <c r="H33" i="5"/>
  <c r="G33" i="5"/>
  <c r="H32" i="5"/>
  <c r="G32" i="5"/>
  <c r="G31" i="5"/>
  <c r="D31" i="5"/>
  <c r="C31" i="5"/>
  <c r="D30" i="5"/>
  <c r="D50" i="5" s="1"/>
  <c r="D52" i="5" s="1"/>
  <c r="H27" i="5"/>
  <c r="G27" i="5"/>
  <c r="H26" i="5"/>
  <c r="G26" i="5"/>
  <c r="H25" i="5"/>
  <c r="G25" i="5"/>
  <c r="D24" i="5"/>
  <c r="D22" i="5" s="1"/>
  <c r="C24" i="5"/>
  <c r="C22" i="5" s="1"/>
  <c r="H23" i="5"/>
  <c r="G23" i="5"/>
  <c r="H20" i="5"/>
  <c r="G20" i="5"/>
  <c r="H19" i="5"/>
  <c r="G19" i="5"/>
  <c r="H18" i="5"/>
  <c r="G18" i="5"/>
  <c r="D17" i="5"/>
  <c r="D12" i="5" s="1"/>
  <c r="C17" i="5"/>
  <c r="C12" i="5" s="1"/>
  <c r="H16" i="5"/>
  <c r="G16" i="5"/>
  <c r="H15" i="5"/>
  <c r="G15" i="5"/>
  <c r="H14" i="5"/>
  <c r="G14" i="5"/>
  <c r="H13" i="5"/>
  <c r="D13" i="5"/>
  <c r="C13" i="5"/>
  <c r="C23" i="33"/>
  <c r="B32" i="32"/>
  <c r="B25" i="26"/>
  <c r="B29" i="26"/>
  <c r="B28" i="26"/>
  <c r="F28" i="26"/>
  <c r="E28" i="26"/>
  <c r="B27" i="26"/>
  <c r="B24" i="26"/>
  <c r="B23" i="26"/>
  <c r="B22" i="26"/>
  <c r="B21" i="26"/>
  <c r="B20" i="26"/>
  <c r="B19" i="26"/>
  <c r="B18" i="26"/>
  <c r="B17" i="26"/>
  <c r="B16" i="26"/>
  <c r="B15" i="26"/>
  <c r="C54" i="5" l="1"/>
  <c r="C30" i="5"/>
  <c r="C53" i="5" s="1"/>
  <c r="G22" i="5"/>
  <c r="H22" i="5"/>
  <c r="I46" i="5"/>
  <c r="H24" i="5"/>
  <c r="H31" i="5"/>
  <c r="I37" i="5"/>
  <c r="D54" i="5"/>
  <c r="G13" i="5"/>
  <c r="I43" i="5"/>
  <c r="G24" i="5"/>
  <c r="I45" i="5"/>
  <c r="D33" i="16"/>
  <c r="D55" i="16" s="1"/>
  <c r="D57" i="16" s="1"/>
  <c r="D60" i="16"/>
  <c r="D32" i="16"/>
  <c r="G47" i="16"/>
  <c r="G49" i="16"/>
  <c r="G40" i="16"/>
  <c r="G34" i="16"/>
  <c r="D53" i="5"/>
  <c r="D29" i="5"/>
  <c r="D51" i="5" s="1"/>
  <c r="D55" i="5" s="1"/>
  <c r="I12" i="5"/>
  <c r="G12" i="5"/>
  <c r="H12" i="5"/>
  <c r="C29" i="5"/>
  <c r="I34" i="5"/>
  <c r="H17" i="5"/>
  <c r="G30" i="5"/>
  <c r="G37" i="5"/>
  <c r="H30" i="5"/>
  <c r="H37" i="5"/>
  <c r="G43" i="5"/>
  <c r="G45" i="5"/>
  <c r="I32" i="5"/>
  <c r="I35" i="5"/>
  <c r="I40" i="5"/>
  <c r="H43" i="5"/>
  <c r="H45" i="5"/>
  <c r="I48" i="5"/>
  <c r="I31" i="5"/>
  <c r="I39" i="5"/>
  <c r="G17" i="5"/>
  <c r="I47" i="5"/>
  <c r="I33" i="5"/>
  <c r="I36" i="5"/>
  <c r="I38" i="5"/>
  <c r="I41" i="5"/>
  <c r="I44" i="5"/>
  <c r="C50" i="5" l="1"/>
  <c r="C52" i="5" s="1"/>
  <c r="G33" i="16"/>
  <c r="H54" i="16"/>
  <c r="H53" i="16"/>
  <c r="H34" i="16"/>
  <c r="H37" i="16"/>
  <c r="H43" i="16"/>
  <c r="H38" i="16"/>
  <c r="H52" i="16"/>
  <c r="H46" i="16"/>
  <c r="H36" i="16"/>
  <c r="H42" i="16"/>
  <c r="H49" i="16"/>
  <c r="H35" i="16"/>
  <c r="H51" i="16"/>
  <c r="H48" i="16"/>
  <c r="H33" i="16"/>
  <c r="H44" i="16"/>
  <c r="H47" i="16"/>
  <c r="H41" i="16"/>
  <c r="H40" i="16"/>
  <c r="H39" i="16"/>
  <c r="H45" i="16"/>
  <c r="H50" i="16"/>
  <c r="I17" i="5"/>
  <c r="D56" i="16"/>
  <c r="D66" i="16" s="1"/>
  <c r="I13" i="5"/>
  <c r="I30" i="5"/>
  <c r="D59" i="16"/>
  <c r="G55" i="16"/>
  <c r="I26" i="5"/>
  <c r="I18" i="5"/>
  <c r="I16" i="5"/>
  <c r="I24" i="5"/>
  <c r="I19" i="5"/>
  <c r="I14" i="5"/>
  <c r="I25" i="5"/>
  <c r="I23" i="5"/>
  <c r="I20" i="5"/>
  <c r="I15" i="5"/>
  <c r="I27" i="5"/>
  <c r="I22" i="5"/>
  <c r="H29" i="5"/>
  <c r="G29" i="5"/>
  <c r="B70" i="10"/>
  <c r="C51" i="5" l="1"/>
  <c r="C55" i="5" s="1"/>
  <c r="G32" i="16"/>
  <c r="H50" i="5"/>
  <c r="G50" i="5"/>
  <c r="D58" i="16"/>
  <c r="G57" i="16"/>
  <c r="B55" i="23"/>
  <c r="R55" i="23"/>
  <c r="C55" i="23"/>
  <c r="I52" i="5" l="1"/>
  <c r="G52" i="5"/>
  <c r="H52" i="5"/>
  <c r="D31" i="11"/>
  <c r="E31" i="11"/>
  <c r="F31" i="11"/>
  <c r="BH9" i="35" l="1"/>
  <c r="C31" i="33" l="1"/>
  <c r="C13" i="33"/>
  <c r="B13" i="32"/>
  <c r="B14" i="32"/>
  <c r="E14" i="31"/>
  <c r="E18" i="31"/>
  <c r="H49" i="31"/>
  <c r="G49" i="31"/>
  <c r="F49" i="31"/>
  <c r="H40" i="31"/>
  <c r="G40" i="31"/>
  <c r="F40" i="31"/>
  <c r="H34" i="31"/>
  <c r="G34" i="31"/>
  <c r="F34" i="31"/>
  <c r="H26" i="31"/>
  <c r="G26" i="31"/>
  <c r="G24" i="31" s="1"/>
  <c r="F26" i="31"/>
  <c r="H18" i="31"/>
  <c r="H13" i="31" s="1"/>
  <c r="G18" i="31"/>
  <c r="G13" i="31" s="1"/>
  <c r="F18" i="31"/>
  <c r="F13" i="31" s="1"/>
  <c r="H14" i="31"/>
  <c r="G14" i="31"/>
  <c r="F14" i="31"/>
  <c r="E49" i="31"/>
  <c r="E40" i="31"/>
  <c r="E34" i="31"/>
  <c r="E26" i="31"/>
  <c r="D40" i="31"/>
  <c r="D34" i="31"/>
  <c r="D26" i="31"/>
  <c r="D24" i="31" s="1"/>
  <c r="D18" i="31"/>
  <c r="D13" i="31" s="1"/>
  <c r="D14" i="31"/>
  <c r="H47" i="31" l="1"/>
  <c r="F47" i="31"/>
  <c r="G47" i="31"/>
  <c r="E47" i="31"/>
  <c r="D33" i="31"/>
  <c r="F24" i="31"/>
  <c r="E24" i="31"/>
  <c r="H24" i="31"/>
  <c r="E33" i="31"/>
  <c r="F33" i="31"/>
  <c r="G33" i="31"/>
  <c r="H33" i="31"/>
  <c r="C37" i="33"/>
  <c r="E13" i="31"/>
  <c r="D32" i="31"/>
  <c r="G32" i="31"/>
  <c r="S10" i="23"/>
  <c r="E10" i="23"/>
  <c r="S51" i="23"/>
  <c r="E51" i="23"/>
  <c r="F55" i="31" l="1"/>
  <c r="F32" i="31"/>
  <c r="H55" i="31"/>
  <c r="E55" i="31"/>
  <c r="H32" i="31"/>
  <c r="E32" i="31"/>
  <c r="G55" i="31"/>
  <c r="D55" i="31"/>
  <c r="F56" i="31" l="1"/>
  <c r="D56" i="31"/>
  <c r="G56" i="31"/>
  <c r="F58" i="31"/>
  <c r="H58" i="31"/>
  <c r="E58" i="31"/>
  <c r="H56" i="31"/>
  <c r="E56" i="31"/>
  <c r="G58" i="31"/>
  <c r="D58" i="31"/>
  <c r="F12" i="26"/>
  <c r="E12" i="26"/>
  <c r="H59" i="31" l="1"/>
  <c r="E59" i="31"/>
  <c r="F59" i="31"/>
  <c r="D59" i="31"/>
  <c r="G59" i="31"/>
  <c r="B8" i="26"/>
  <c r="B8" i="13" l="1"/>
  <c r="B8" i="12"/>
  <c r="C13" i="10" l="1"/>
  <c r="G10" i="13"/>
  <c r="D10" i="13"/>
  <c r="G10" i="12"/>
  <c r="D10" i="12"/>
  <c r="G10" i="11"/>
  <c r="D10" i="11"/>
  <c r="G10" i="10"/>
  <c r="D10" i="10"/>
  <c r="B61" i="5"/>
  <c r="B9" i="33" l="1"/>
  <c r="B9" i="32"/>
  <c r="B9" i="31"/>
  <c r="B9" i="35"/>
  <c r="B76" i="23" l="1"/>
  <c r="AE76" i="23"/>
  <c r="C76" i="23"/>
  <c r="B69" i="23" l="1"/>
  <c r="H12" i="12" l="1"/>
  <c r="C170" i="29"/>
  <c r="C169" i="29"/>
  <c r="C137" i="29"/>
  <c r="C136" i="29"/>
  <c r="C90" i="29"/>
  <c r="C89" i="29"/>
  <c r="C44" i="29"/>
  <c r="C43" i="29"/>
  <c r="C168" i="29" l="1"/>
  <c r="C135" i="29"/>
  <c r="C88" i="29"/>
  <c r="C42" i="29"/>
  <c r="N46" i="2" l="1"/>
  <c r="M46" i="2"/>
  <c r="L46" i="2"/>
  <c r="K46" i="2"/>
  <c r="J46" i="2"/>
  <c r="I46" i="2"/>
  <c r="H46" i="2"/>
  <c r="G46" i="2"/>
  <c r="F46" i="2"/>
  <c r="E46" i="2"/>
  <c r="D46" i="2"/>
  <c r="N38" i="2"/>
  <c r="M38" i="2"/>
  <c r="L38" i="2"/>
  <c r="K38" i="2"/>
  <c r="J38" i="2"/>
  <c r="I38" i="2"/>
  <c r="H38" i="2"/>
  <c r="G38" i="2"/>
  <c r="F38" i="2"/>
  <c r="E38" i="2"/>
  <c r="D38" i="2"/>
  <c r="N32" i="2"/>
  <c r="M32" i="2"/>
  <c r="L32" i="2"/>
  <c r="K32" i="2"/>
  <c r="J32" i="2"/>
  <c r="I32" i="2"/>
  <c r="H32" i="2"/>
  <c r="G32" i="2"/>
  <c r="F32" i="2"/>
  <c r="E32" i="2"/>
  <c r="D32" i="2"/>
  <c r="N25" i="2"/>
  <c r="M25" i="2"/>
  <c r="L25" i="2"/>
  <c r="K25" i="2"/>
  <c r="J25" i="2"/>
  <c r="I25" i="2"/>
  <c r="H25" i="2"/>
  <c r="G25" i="2"/>
  <c r="F25" i="2"/>
  <c r="E25" i="2"/>
  <c r="D25" i="2"/>
  <c r="N18" i="2"/>
  <c r="M18" i="2"/>
  <c r="L18" i="2"/>
  <c r="K18" i="2"/>
  <c r="J18" i="2"/>
  <c r="I18" i="2"/>
  <c r="H18" i="2"/>
  <c r="G18" i="2"/>
  <c r="F18" i="2"/>
  <c r="E18" i="2"/>
  <c r="D18" i="2"/>
  <c r="N14" i="2"/>
  <c r="M14" i="2"/>
  <c r="L14" i="2"/>
  <c r="K14" i="2"/>
  <c r="J14" i="2"/>
  <c r="I14" i="2"/>
  <c r="H14" i="2"/>
  <c r="G14" i="2"/>
  <c r="F14" i="2"/>
  <c r="E14" i="2"/>
  <c r="D14" i="2"/>
  <c r="B72" i="23" l="1"/>
  <c r="B73" i="23"/>
  <c r="AE72" i="23" l="1"/>
  <c r="R72" i="23"/>
  <c r="C72" i="23"/>
  <c r="AE70" i="23"/>
  <c r="R70" i="23"/>
  <c r="C70" i="23"/>
  <c r="B70" i="23"/>
  <c r="B30" i="19" l="1"/>
  <c r="B29" i="19"/>
  <c r="B28" i="19"/>
  <c r="B27" i="19"/>
  <c r="B26" i="19"/>
  <c r="B25" i="19"/>
  <c r="B21" i="19"/>
  <c r="B20" i="19"/>
  <c r="B23" i="19"/>
  <c r="B16" i="19"/>
  <c r="B15" i="19"/>
  <c r="B14" i="19"/>
  <c r="B18" i="19"/>
  <c r="C26" i="31" l="1"/>
  <c r="C49" i="31"/>
  <c r="C40" i="31"/>
  <c r="C34" i="31"/>
  <c r="C14" i="31"/>
  <c r="B61" i="31"/>
  <c r="C47" i="31" l="1"/>
  <c r="C33" i="31"/>
  <c r="C167" i="29" l="1"/>
  <c r="C134" i="29"/>
  <c r="C87" i="29"/>
  <c r="C41" i="29" l="1"/>
  <c r="B35" i="19" l="1"/>
  <c r="B32" i="19"/>
  <c r="AE81" i="23" l="1"/>
  <c r="C81" i="23"/>
  <c r="C166" i="29" l="1"/>
  <c r="C133" i="29"/>
  <c r="C86" i="29"/>
  <c r="C40" i="29" l="1"/>
  <c r="E31" i="26" l="1"/>
  <c r="B17" i="19"/>
  <c r="B35" i="33" l="1"/>
  <c r="B36" i="33"/>
  <c r="B34" i="33"/>
  <c r="B32" i="33"/>
  <c r="B29" i="33"/>
  <c r="B28" i="33"/>
  <c r="B27" i="33"/>
  <c r="B26" i="33"/>
  <c r="B25" i="33"/>
  <c r="B24" i="33"/>
  <c r="B31" i="33"/>
  <c r="B23" i="33"/>
  <c r="B13" i="33"/>
  <c r="B22" i="33"/>
  <c r="B21" i="33"/>
  <c r="B20" i="33"/>
  <c r="B19" i="33"/>
  <c r="B18" i="33"/>
  <c r="B17" i="33"/>
  <c r="B16" i="33"/>
  <c r="B14" i="33"/>
  <c r="B15" i="33"/>
  <c r="G23" i="2" l="1"/>
  <c r="H23" i="2"/>
  <c r="F23" i="2"/>
  <c r="E23" i="2"/>
  <c r="D23" i="2"/>
  <c r="L23" i="2"/>
  <c r="K23" i="2"/>
  <c r="J23" i="2"/>
  <c r="I23" i="2"/>
  <c r="L13" i="2"/>
  <c r="K13" i="2"/>
  <c r="D13" i="2"/>
  <c r="G13" i="2"/>
  <c r="F13" i="2"/>
  <c r="E13" i="2"/>
  <c r="I13" i="2"/>
  <c r="J13" i="2"/>
  <c r="H13" i="2"/>
  <c r="H11" i="29" l="1"/>
  <c r="G12" i="29"/>
  <c r="F12" i="29"/>
  <c r="E12" i="29"/>
  <c r="D12" i="29"/>
  <c r="D10" i="29"/>
  <c r="B13" i="31" l="1"/>
  <c r="B18" i="31"/>
  <c r="C18" i="31"/>
  <c r="B20" i="31"/>
  <c r="B21" i="31"/>
  <c r="B22" i="31"/>
  <c r="B23" i="31"/>
  <c r="B24" i="31"/>
  <c r="B26" i="31"/>
  <c r="B28" i="31"/>
  <c r="B29" i="31"/>
  <c r="B31" i="31"/>
  <c r="C165" i="29"/>
  <c r="C164" i="29"/>
  <c r="C132" i="29"/>
  <c r="C131" i="29"/>
  <c r="C85" i="29"/>
  <c r="C84" i="29"/>
  <c r="C39" i="29"/>
  <c r="C38" i="29"/>
  <c r="C24" i="31" l="1"/>
  <c r="C13" i="31"/>
  <c r="D32" i="26" l="1"/>
  <c r="C32" i="26"/>
  <c r="B80" i="23" l="1"/>
  <c r="C56" i="21"/>
  <c r="B12" i="26"/>
  <c r="C13" i="25"/>
  <c r="C180" i="25" s="1"/>
  <c r="B57" i="23" l="1"/>
  <c r="I16" i="1" l="1"/>
  <c r="I17" i="1"/>
  <c r="I18" i="1"/>
  <c r="I20" i="1"/>
  <c r="I21" i="1"/>
  <c r="C21" i="14" l="1"/>
  <c r="D21" i="14"/>
  <c r="C37" i="29" l="1"/>
  <c r="C83" i="29"/>
  <c r="C130" i="29"/>
  <c r="C163" i="29"/>
  <c r="C162" i="29"/>
  <c r="H150" i="29"/>
  <c r="H104" i="29"/>
  <c r="B102" i="29"/>
  <c r="B26" i="26" l="1"/>
  <c r="D164" i="25" l="1"/>
  <c r="B160" i="25" l="1"/>
  <c r="B196" i="25" s="1"/>
  <c r="B106" i="25"/>
  <c r="B191" i="25" s="1"/>
  <c r="B145" i="25"/>
  <c r="B194" i="25" s="1"/>
  <c r="C145" i="25"/>
  <c r="C194" i="25" s="1"/>
  <c r="B90" i="25"/>
  <c r="B188" i="25" s="1"/>
  <c r="B124" i="25"/>
  <c r="B192" i="25" s="1"/>
  <c r="D145" i="25"/>
  <c r="D118" i="25"/>
  <c r="D109" i="25"/>
  <c r="D108" i="25"/>
  <c r="C54" i="21" l="1"/>
  <c r="B36" i="21"/>
  <c r="D10" i="5" l="1"/>
  <c r="C53" i="21" l="1"/>
  <c r="D25" i="18" l="1"/>
  <c r="B8" i="20" l="1"/>
  <c r="C129" i="29" l="1"/>
  <c r="C82" i="29"/>
  <c r="C36" i="29"/>
  <c r="C38" i="14"/>
  <c r="C32" i="14"/>
  <c r="C28" i="14"/>
  <c r="C19" i="14"/>
  <c r="C18" i="14" s="1"/>
  <c r="C15" i="14"/>
  <c r="C13" i="14" s="1"/>
  <c r="C52" i="13"/>
  <c r="C50" i="13" s="1"/>
  <c r="C36" i="13"/>
  <c r="C27" i="13"/>
  <c r="C25" i="13" s="1"/>
  <c r="C18" i="13"/>
  <c r="C13" i="13"/>
  <c r="C52" i="12"/>
  <c r="C50" i="12" s="1"/>
  <c r="C42" i="12"/>
  <c r="C36" i="12"/>
  <c r="C27" i="12"/>
  <c r="C25" i="12" s="1"/>
  <c r="C18" i="12"/>
  <c r="C13" i="12"/>
  <c r="C50" i="10"/>
  <c r="C42" i="10"/>
  <c r="C36" i="10"/>
  <c r="C45" i="6"/>
  <c r="C43" i="6" s="1"/>
  <c r="C37" i="6"/>
  <c r="C31" i="6"/>
  <c r="C22" i="6"/>
  <c r="C12" i="6"/>
  <c r="C13" i="6"/>
  <c r="C12" i="12" l="1"/>
  <c r="C34" i="12" s="1"/>
  <c r="C35" i="13"/>
  <c r="C30" i="6"/>
  <c r="C12" i="13"/>
  <c r="C34" i="13" s="1"/>
  <c r="C18" i="10"/>
  <c r="C35" i="10"/>
  <c r="C25" i="10"/>
  <c r="C35" i="12"/>
  <c r="C31" i="14"/>
  <c r="C46" i="14" s="1"/>
  <c r="C12" i="14"/>
  <c r="C30" i="14" l="1"/>
  <c r="C47" i="14"/>
  <c r="E13" i="11"/>
  <c r="F13" i="11"/>
  <c r="E17" i="11"/>
  <c r="F17" i="11"/>
  <c r="E26" i="11"/>
  <c r="F26" i="11"/>
  <c r="E36" i="11"/>
  <c r="F36" i="11"/>
  <c r="E40" i="11"/>
  <c r="F40" i="11"/>
  <c r="F30" i="11" l="1"/>
  <c r="F29" i="11" s="1"/>
  <c r="E30" i="11"/>
  <c r="E29" i="11" s="1"/>
  <c r="F12" i="11"/>
  <c r="E12" i="11"/>
  <c r="AE80" i="23"/>
  <c r="C80" i="23"/>
  <c r="H13" i="10" l="1"/>
  <c r="E64" i="18"/>
  <c r="E63" i="18"/>
  <c r="E62" i="18"/>
  <c r="E60" i="18"/>
  <c r="E58" i="18"/>
  <c r="E57" i="18"/>
  <c r="E56" i="18"/>
  <c r="E55" i="18"/>
  <c r="E53" i="18"/>
  <c r="E52" i="18"/>
  <c r="E51" i="18"/>
  <c r="E50" i="18"/>
  <c r="E49" i="18"/>
  <c r="E45" i="18"/>
  <c r="E44" i="18"/>
  <c r="E43" i="18"/>
  <c r="E42" i="18"/>
  <c r="E41" i="18"/>
  <c r="E40" i="18"/>
  <c r="E39" i="18"/>
  <c r="E37" i="18"/>
  <c r="E35" i="18"/>
  <c r="E33" i="18"/>
  <c r="E32" i="18"/>
  <c r="E31" i="18"/>
  <c r="E30" i="18"/>
  <c r="E29" i="18"/>
  <c r="E28" i="18"/>
  <c r="E27" i="18"/>
  <c r="E26" i="18"/>
  <c r="E25" i="18"/>
  <c r="E23" i="18"/>
  <c r="E21" i="18"/>
  <c r="E20" i="18"/>
  <c r="E19" i="18"/>
  <c r="E18" i="18"/>
  <c r="E17" i="18"/>
  <c r="E16" i="18"/>
  <c r="E15" i="18"/>
  <c r="H12" i="10" l="1"/>
  <c r="C161" i="29"/>
  <c r="C128" i="29"/>
  <c r="C81" i="29"/>
  <c r="C35" i="29"/>
  <c r="B31" i="21"/>
  <c r="B30" i="21"/>
  <c r="C29" i="21"/>
  <c r="C28" i="21"/>
  <c r="C27" i="21"/>
  <c r="C26" i="21"/>
  <c r="C25" i="21"/>
  <c r="B25" i="21"/>
  <c r="B24" i="21"/>
  <c r="C23" i="21"/>
  <c r="C22" i="21"/>
  <c r="C21" i="21"/>
  <c r="C20" i="21"/>
  <c r="C19" i="21"/>
  <c r="B19" i="21"/>
  <c r="B18" i="21"/>
  <c r="C17" i="21"/>
  <c r="C16" i="21"/>
  <c r="C15" i="21"/>
  <c r="C14" i="21"/>
  <c r="C13" i="21"/>
  <c r="B13" i="21"/>
  <c r="B11" i="21"/>
  <c r="B10" i="21"/>
  <c r="B54" i="2" l="1"/>
  <c r="B8" i="33" l="1"/>
  <c r="C24" i="9" s="1"/>
  <c r="C32" i="9" l="1"/>
  <c r="C31" i="9"/>
  <c r="B8" i="24"/>
  <c r="C30" i="9" s="1"/>
  <c r="B8" i="23"/>
  <c r="C29" i="9" s="1"/>
  <c r="B8" i="29"/>
  <c r="C28" i="9" s="1"/>
  <c r="B8" i="21"/>
  <c r="C27" i="9" s="1"/>
  <c r="C26" i="9"/>
  <c r="B8" i="19"/>
  <c r="C25" i="9" s="1"/>
  <c r="B8" i="32"/>
  <c r="C23" i="9" s="1"/>
  <c r="B62" i="31"/>
  <c r="B60" i="31"/>
  <c r="B8" i="31"/>
  <c r="B37" i="33"/>
  <c r="B38" i="33"/>
  <c r="C22" i="9" l="1"/>
  <c r="B59" i="31"/>
  <c r="B58" i="31"/>
  <c r="B51" i="31"/>
  <c r="B42" i="31"/>
  <c r="B56" i="31"/>
  <c r="B55" i="31"/>
  <c r="B54" i="31"/>
  <c r="B52" i="31"/>
  <c r="B50" i="31"/>
  <c r="B49" i="31"/>
  <c r="B48" i="31"/>
  <c r="B47" i="31"/>
  <c r="B46" i="31"/>
  <c r="B45" i="31"/>
  <c r="B44" i="31"/>
  <c r="B43" i="31"/>
  <c r="B41" i="31"/>
  <c r="B40" i="31"/>
  <c r="B39" i="31"/>
  <c r="B38" i="31"/>
  <c r="B37" i="31"/>
  <c r="B36" i="31"/>
  <c r="B35" i="31"/>
  <c r="B34" i="31"/>
  <c r="B33" i="31"/>
  <c r="B32" i="31"/>
  <c r="C32" i="31" l="1"/>
  <c r="B73" i="12"/>
  <c r="C55" i="31" l="1"/>
  <c r="C58" i="31" l="1"/>
  <c r="C56" i="31"/>
  <c r="C59" i="31" l="1"/>
  <c r="B41" i="18"/>
  <c r="C160" i="29" l="1"/>
  <c r="C127" i="29"/>
  <c r="C80" i="29"/>
  <c r="C34" i="29"/>
  <c r="AE74" i="23" l="1"/>
  <c r="D64" i="25" l="1"/>
  <c r="D62" i="25"/>
  <c r="D106" i="25"/>
  <c r="D132" i="25"/>
  <c r="D153" i="25"/>
  <c r="D170" i="25"/>
  <c r="D44" i="25"/>
  <c r="D66" i="25"/>
  <c r="D26" i="25"/>
  <c r="D13" i="25"/>
  <c r="D165" i="25"/>
  <c r="D123" i="25"/>
  <c r="D117" i="25"/>
  <c r="D115" i="25"/>
  <c r="D114" i="25"/>
  <c r="D113" i="25"/>
  <c r="D111" i="25"/>
  <c r="D110" i="25"/>
  <c r="D130" i="25" l="1"/>
  <c r="D129" i="25"/>
  <c r="D35" i="25"/>
  <c r="D27" i="25"/>
  <c r="B54" i="10" l="1"/>
  <c r="B82" i="23" l="1"/>
  <c r="C45" i="21"/>
  <c r="B58" i="6" l="1"/>
  <c r="B57" i="6"/>
  <c r="B19" i="19" l="1"/>
  <c r="B22" i="19" l="1"/>
  <c r="B77" i="13" l="1"/>
  <c r="B84" i="24" s="1"/>
  <c r="B76" i="13"/>
  <c r="B83" i="24" s="1"/>
  <c r="B79" i="23"/>
  <c r="B74" i="23"/>
  <c r="AE79" i="23"/>
  <c r="C79" i="23"/>
  <c r="R74" i="23"/>
  <c r="C74" i="23"/>
  <c r="B8" i="18"/>
  <c r="B8" i="17"/>
  <c r="B8" i="16"/>
  <c r="B8" i="15"/>
  <c r="B8" i="14"/>
  <c r="B8" i="11"/>
  <c r="B8" i="10"/>
  <c r="B8" i="6"/>
  <c r="B8" i="5"/>
  <c r="D77" i="18" l="1"/>
  <c r="C77" i="18"/>
  <c r="D61" i="18" l="1"/>
  <c r="D54" i="18"/>
  <c r="D48" i="18"/>
  <c r="C48" i="18"/>
  <c r="D36" i="18"/>
  <c r="C36" i="18"/>
  <c r="D22" i="18"/>
  <c r="C22" i="18"/>
  <c r="D14" i="18"/>
  <c r="C14" i="18"/>
  <c r="C34" i="18" l="1"/>
  <c r="E61" i="18"/>
  <c r="E48" i="18"/>
  <c r="E36" i="18"/>
  <c r="E54" i="18"/>
  <c r="E22" i="18"/>
  <c r="E14" i="18"/>
  <c r="D59" i="18"/>
  <c r="D47" i="18"/>
  <c r="C47" i="18"/>
  <c r="D34" i="18"/>
  <c r="C13" i="18"/>
  <c r="D13" i="18"/>
  <c r="C70" i="18" l="1"/>
  <c r="D70" i="18"/>
  <c r="E59" i="18"/>
  <c r="E34" i="18"/>
  <c r="E13" i="18"/>
  <c r="C12" i="18"/>
  <c r="E47" i="18"/>
  <c r="C65" i="18"/>
  <c r="D65" i="18"/>
  <c r="D12" i="18"/>
  <c r="C46" i="18" l="1"/>
  <c r="C69" i="18"/>
  <c r="E12" i="18"/>
  <c r="E65" i="18"/>
  <c r="D67" i="18"/>
  <c r="C67" i="18"/>
  <c r="D46" i="18"/>
  <c r="D69" i="18"/>
  <c r="C66" i="18" l="1"/>
  <c r="E46" i="18"/>
  <c r="E67" i="18"/>
  <c r="C68" i="18"/>
  <c r="D68" i="18"/>
  <c r="D66" i="18"/>
  <c r="C76" i="18" l="1"/>
  <c r="D76" i="18"/>
  <c r="F27" i="26" l="1"/>
  <c r="E27" i="26"/>
  <c r="C55" i="11" l="1"/>
  <c r="C53" i="11" s="1"/>
  <c r="C46" i="11"/>
  <c r="C40" i="11"/>
  <c r="C36" i="11"/>
  <c r="C26" i="11"/>
  <c r="C17" i="11"/>
  <c r="C13" i="11"/>
  <c r="C30" i="11" l="1"/>
  <c r="C29" i="11" s="1"/>
  <c r="C12" i="11"/>
  <c r="D38" i="14"/>
  <c r="D32" i="14"/>
  <c r="C50" i="14"/>
  <c r="D28" i="14"/>
  <c r="D19" i="14"/>
  <c r="D18" i="14" s="1"/>
  <c r="D15" i="14"/>
  <c r="D13" i="14" s="1"/>
  <c r="C12" i="10" l="1"/>
  <c r="D31" i="14"/>
  <c r="D12" i="14"/>
  <c r="C159" i="29" l="1"/>
  <c r="C126" i="29"/>
  <c r="C79" i="29"/>
  <c r="C33" i="29"/>
  <c r="D10" i="20"/>
  <c r="C10" i="20"/>
  <c r="D10" i="19"/>
  <c r="D10" i="16"/>
  <c r="D10" i="15"/>
  <c r="G10" i="14"/>
  <c r="D10" i="14"/>
  <c r="G10" i="6"/>
  <c r="D10" i="6"/>
  <c r="B57" i="11" l="1"/>
  <c r="B76" i="17"/>
  <c r="B8" i="1"/>
  <c r="B71" i="10" l="1"/>
  <c r="B67" i="23" l="1"/>
  <c r="B68" i="23" l="1"/>
  <c r="I151" i="29" l="1"/>
  <c r="AE82" i="23" l="1"/>
  <c r="AE37" i="23" s="1"/>
  <c r="AE66" i="23" l="1"/>
  <c r="AE19" i="23" s="1"/>
  <c r="R66" i="23"/>
  <c r="C66" i="23"/>
  <c r="B66" i="23"/>
  <c r="AE67" i="23"/>
  <c r="R67" i="23"/>
  <c r="C67" i="23"/>
  <c r="B61" i="10" l="1"/>
  <c r="B61" i="12"/>
  <c r="B61" i="13"/>
  <c r="B184" i="29" l="1"/>
  <c r="B183" i="29"/>
  <c r="B182" i="29"/>
  <c r="B181" i="29"/>
  <c r="C157" i="29"/>
  <c r="C155" i="29"/>
  <c r="C153" i="29"/>
  <c r="L151" i="29"/>
  <c r="K151" i="29"/>
  <c r="J151" i="29"/>
  <c r="G151" i="29"/>
  <c r="F151" i="29"/>
  <c r="E151" i="29"/>
  <c r="D151" i="29"/>
  <c r="M150" i="29"/>
  <c r="I150" i="29"/>
  <c r="D150" i="29"/>
  <c r="O149" i="29"/>
  <c r="N149" i="29"/>
  <c r="I149" i="29"/>
  <c r="D149" i="29"/>
  <c r="C124" i="29"/>
  <c r="C122" i="29"/>
  <c r="C120" i="29"/>
  <c r="C118" i="29"/>
  <c r="C117" i="29"/>
  <c r="C116" i="29"/>
  <c r="C115" i="29"/>
  <c r="C114" i="29"/>
  <c r="C113" i="29"/>
  <c r="C112" i="29"/>
  <c r="C111" i="29"/>
  <c r="C110" i="29"/>
  <c r="C109" i="29"/>
  <c r="C108" i="29"/>
  <c r="C107" i="29"/>
  <c r="L105" i="29"/>
  <c r="K105" i="29"/>
  <c r="J105" i="29"/>
  <c r="I105" i="29"/>
  <c r="G105" i="29"/>
  <c r="F105" i="29"/>
  <c r="E105" i="29"/>
  <c r="D105" i="29"/>
  <c r="M104" i="29"/>
  <c r="I104" i="29"/>
  <c r="D104" i="29"/>
  <c r="O103" i="29"/>
  <c r="N103" i="29"/>
  <c r="I103" i="29"/>
  <c r="D103" i="29"/>
  <c r="C77" i="29"/>
  <c r="C75" i="29"/>
  <c r="C73" i="29"/>
  <c r="C71" i="29"/>
  <c r="C70" i="29"/>
  <c r="C69" i="29"/>
  <c r="C68" i="29"/>
  <c r="C67" i="29"/>
  <c r="C66" i="29"/>
  <c r="C65" i="29"/>
  <c r="C64" i="29"/>
  <c r="C63" i="29"/>
  <c r="C62" i="29"/>
  <c r="C61" i="29"/>
  <c r="C60" i="29"/>
  <c r="G58" i="29"/>
  <c r="F58" i="29"/>
  <c r="E58" i="29"/>
  <c r="D58" i="29"/>
  <c r="I57" i="29"/>
  <c r="H57" i="29"/>
  <c r="D57" i="29"/>
  <c r="I56" i="29"/>
  <c r="D56" i="29"/>
  <c r="C31" i="29"/>
  <c r="C29" i="29"/>
  <c r="C27" i="29"/>
  <c r="C25" i="29"/>
  <c r="C24" i="29"/>
  <c r="C23" i="29"/>
  <c r="C22" i="29"/>
  <c r="C21" i="29"/>
  <c r="C20" i="29"/>
  <c r="C19" i="29"/>
  <c r="C18" i="29"/>
  <c r="C17" i="29"/>
  <c r="C16" i="29"/>
  <c r="C15" i="29"/>
  <c r="C14" i="29"/>
  <c r="I11" i="29"/>
  <c r="I10" i="29"/>
  <c r="B14" i="1" l="1"/>
  <c r="H68" i="12" l="1"/>
  <c r="J34" i="28"/>
  <c r="I34" i="28"/>
  <c r="B71" i="23"/>
  <c r="B206" i="25"/>
  <c r="B78" i="23"/>
  <c r="B85" i="23"/>
  <c r="AE78" i="23"/>
  <c r="AE33" i="23" s="1"/>
  <c r="C78" i="23"/>
  <c r="AE85" i="23"/>
  <c r="C85" i="23"/>
  <c r="B66" i="17"/>
  <c r="J24" i="1"/>
  <c r="I24" i="1"/>
  <c r="J21" i="1"/>
  <c r="J20" i="1"/>
  <c r="J18" i="1"/>
  <c r="J17" i="1"/>
  <c r="J16" i="1"/>
  <c r="N44" i="2"/>
  <c r="C46" i="2"/>
  <c r="C44" i="2" s="1"/>
  <c r="N23" i="2"/>
  <c r="C25" i="2"/>
  <c r="C23" i="2" s="1"/>
  <c r="B46" i="28"/>
  <c r="B177" i="25"/>
  <c r="B16" i="18"/>
  <c r="B15" i="18"/>
  <c r="B77" i="18"/>
  <c r="J42" i="28"/>
  <c r="I42" i="28"/>
  <c r="J41" i="28"/>
  <c r="I41" i="28"/>
  <c r="J39" i="28"/>
  <c r="I39" i="28"/>
  <c r="J37" i="28"/>
  <c r="I37" i="28"/>
  <c r="J36" i="28"/>
  <c r="I36" i="28"/>
  <c r="J35" i="28"/>
  <c r="I35" i="28"/>
  <c r="J33" i="28"/>
  <c r="I33" i="28"/>
  <c r="J32" i="28"/>
  <c r="I32" i="28"/>
  <c r="J31" i="28"/>
  <c r="I31" i="28"/>
  <c r="J30" i="28"/>
  <c r="I30" i="28"/>
  <c r="J29" i="28"/>
  <c r="I29" i="28"/>
  <c r="J25" i="28"/>
  <c r="I25" i="28"/>
  <c r="J24" i="28"/>
  <c r="I24" i="28"/>
  <c r="J22" i="28"/>
  <c r="I22" i="28"/>
  <c r="J20" i="28"/>
  <c r="I20" i="28"/>
  <c r="J19" i="28"/>
  <c r="I19" i="28"/>
  <c r="J17" i="28"/>
  <c r="I17" i="28"/>
  <c r="J16" i="28"/>
  <c r="I16" i="28"/>
  <c r="J15" i="28"/>
  <c r="I15" i="28"/>
  <c r="D42" i="28"/>
  <c r="C42" i="28"/>
  <c r="D41" i="28"/>
  <c r="C41" i="28"/>
  <c r="D39" i="28"/>
  <c r="C39" i="28"/>
  <c r="D37" i="28"/>
  <c r="C37" i="28"/>
  <c r="D36" i="28"/>
  <c r="C36" i="28"/>
  <c r="D35" i="28"/>
  <c r="C35" i="28"/>
  <c r="D33" i="28"/>
  <c r="C33" i="28"/>
  <c r="D32" i="28"/>
  <c r="C32" i="28"/>
  <c r="D31" i="28"/>
  <c r="C31" i="28"/>
  <c r="D30" i="28"/>
  <c r="C30" i="28"/>
  <c r="D29" i="28"/>
  <c r="C29" i="28"/>
  <c r="D25" i="28"/>
  <c r="C25" i="28"/>
  <c r="D24" i="28"/>
  <c r="C24" i="28"/>
  <c r="D22" i="28"/>
  <c r="C22" i="28"/>
  <c r="D20" i="28"/>
  <c r="C20" i="28"/>
  <c r="D19" i="28"/>
  <c r="C19" i="28"/>
  <c r="D17" i="28"/>
  <c r="C17" i="28"/>
  <c r="D16" i="28"/>
  <c r="C16" i="28"/>
  <c r="D15" i="28"/>
  <c r="C15" i="28"/>
  <c r="B48" i="28"/>
  <c r="B47" i="28"/>
  <c r="B45" i="28"/>
  <c r="B44" i="28"/>
  <c r="B43" i="28"/>
  <c r="B42" i="28"/>
  <c r="B41" i="28"/>
  <c r="B40" i="28"/>
  <c r="B39" i="28"/>
  <c r="B38" i="28"/>
  <c r="B37" i="28"/>
  <c r="B36" i="28"/>
  <c r="B35" i="28"/>
  <c r="B34" i="28"/>
  <c r="B33" i="28"/>
  <c r="B32" i="28"/>
  <c r="B31" i="28"/>
  <c r="B30" i="28"/>
  <c r="B29" i="28"/>
  <c r="B28" i="28"/>
  <c r="B27" i="28"/>
  <c r="B26" i="28"/>
  <c r="B25" i="28"/>
  <c r="B24" i="28"/>
  <c r="B23" i="28"/>
  <c r="B22" i="28"/>
  <c r="B21" i="28"/>
  <c r="B20" i="28"/>
  <c r="B19" i="28"/>
  <c r="B18" i="28"/>
  <c r="B17" i="28"/>
  <c r="B16" i="28"/>
  <c r="B15" i="28"/>
  <c r="B14" i="28"/>
  <c r="B13" i="28"/>
  <c r="C39" i="21"/>
  <c r="C42" i="21"/>
  <c r="C43" i="21"/>
  <c r="C44" i="21"/>
  <c r="C46" i="21"/>
  <c r="C47" i="21"/>
  <c r="C48" i="21"/>
  <c r="C49" i="21"/>
  <c r="C50" i="21"/>
  <c r="C51" i="21"/>
  <c r="B60" i="23"/>
  <c r="AE73" i="23"/>
  <c r="R73" i="23"/>
  <c r="C73" i="23"/>
  <c r="B40" i="20"/>
  <c r="C15" i="9"/>
  <c r="B505" i="27"/>
  <c r="C40" i="25"/>
  <c r="C26" i="25"/>
  <c r="C182" i="25" s="1"/>
  <c r="C17" i="25"/>
  <c r="C181" i="25" s="1"/>
  <c r="D16" i="25"/>
  <c r="D159" i="25"/>
  <c r="B35" i="26"/>
  <c r="H32" i="10"/>
  <c r="H31" i="10"/>
  <c r="G29" i="10"/>
  <c r="G26" i="10"/>
  <c r="G22" i="10"/>
  <c r="B36" i="26"/>
  <c r="B34" i="26"/>
  <c r="B33" i="26"/>
  <c r="B32" i="26"/>
  <c r="F31" i="26"/>
  <c r="B31" i="26"/>
  <c r="D30" i="26"/>
  <c r="C30" i="26"/>
  <c r="C33" i="26" s="1"/>
  <c r="B30" i="26"/>
  <c r="F29" i="26"/>
  <c r="E29" i="26"/>
  <c r="F26" i="26"/>
  <c r="E26" i="26"/>
  <c r="F25" i="26"/>
  <c r="E25" i="26"/>
  <c r="F24" i="26"/>
  <c r="E24" i="26"/>
  <c r="F23" i="26"/>
  <c r="E23" i="26"/>
  <c r="F22" i="26"/>
  <c r="E22" i="26"/>
  <c r="F21" i="26"/>
  <c r="E21" i="26"/>
  <c r="F20" i="26"/>
  <c r="E20" i="26"/>
  <c r="F19" i="26"/>
  <c r="E19" i="26"/>
  <c r="F18" i="26"/>
  <c r="E18" i="26"/>
  <c r="F17" i="26"/>
  <c r="E17" i="26"/>
  <c r="F16" i="26"/>
  <c r="E16" i="26"/>
  <c r="F15" i="26"/>
  <c r="E15" i="26"/>
  <c r="F14" i="26"/>
  <c r="E14" i="26"/>
  <c r="B14" i="26"/>
  <c r="F13" i="26"/>
  <c r="E13" i="26"/>
  <c r="B13" i="26"/>
  <c r="F11" i="26"/>
  <c r="E11" i="26"/>
  <c r="G10" i="26"/>
  <c r="G9" i="26"/>
  <c r="B205" i="25"/>
  <c r="B202" i="25"/>
  <c r="D197" i="25"/>
  <c r="D196" i="25"/>
  <c r="D195" i="25"/>
  <c r="D194" i="25"/>
  <c r="D193" i="25"/>
  <c r="D192" i="25"/>
  <c r="D191" i="25"/>
  <c r="D190" i="25"/>
  <c r="D189" i="25"/>
  <c r="D188" i="25"/>
  <c r="D187" i="25"/>
  <c r="D186" i="25"/>
  <c r="D184" i="25"/>
  <c r="D183" i="25"/>
  <c r="D182" i="25"/>
  <c r="D181" i="25"/>
  <c r="D180" i="25"/>
  <c r="G178" i="25"/>
  <c r="D178" i="25"/>
  <c r="C178" i="25"/>
  <c r="B178" i="25"/>
  <c r="G177" i="25"/>
  <c r="B175" i="25"/>
  <c r="B173" i="25"/>
  <c r="D163" i="25"/>
  <c r="D162" i="25"/>
  <c r="D161" i="25"/>
  <c r="D160" i="25"/>
  <c r="D169" i="25"/>
  <c r="D168" i="25"/>
  <c r="D119" i="25"/>
  <c r="D149" i="25"/>
  <c r="D116" i="25"/>
  <c r="D148" i="25"/>
  <c r="D147" i="25"/>
  <c r="D146" i="25"/>
  <c r="D152" i="25"/>
  <c r="D105" i="25"/>
  <c r="D103" i="25"/>
  <c r="D104" i="25"/>
  <c r="B103" i="25"/>
  <c r="B190" i="25" s="1"/>
  <c r="D139" i="25"/>
  <c r="D138" i="25"/>
  <c r="D137" i="25"/>
  <c r="D136" i="25"/>
  <c r="D135" i="25"/>
  <c r="D133" i="25"/>
  <c r="B132" i="25"/>
  <c r="B193" i="25" s="1"/>
  <c r="D91" i="25"/>
  <c r="D90" i="25"/>
  <c r="D172" i="25"/>
  <c r="B170" i="25"/>
  <c r="B197" i="25" s="1"/>
  <c r="D128" i="25"/>
  <c r="D127" i="25"/>
  <c r="D126" i="25"/>
  <c r="D125" i="25"/>
  <c r="D124" i="25"/>
  <c r="D131" i="25"/>
  <c r="D51" i="25"/>
  <c r="B44" i="25"/>
  <c r="B184" i="25" s="1"/>
  <c r="D70" i="25"/>
  <c r="D69" i="25"/>
  <c r="D68" i="25"/>
  <c r="D67" i="25"/>
  <c r="D75" i="25"/>
  <c r="B66" i="25"/>
  <c r="B186" i="25" s="1"/>
  <c r="D85" i="25"/>
  <c r="D82" i="25"/>
  <c r="D81" i="25"/>
  <c r="D80" i="25"/>
  <c r="D79" i="25"/>
  <c r="D78" i="25"/>
  <c r="D89" i="25"/>
  <c r="B76" i="25"/>
  <c r="B187" i="25" s="1"/>
  <c r="D61" i="25"/>
  <c r="D60" i="25"/>
  <c r="D59" i="25"/>
  <c r="D58" i="25"/>
  <c r="D57" i="25"/>
  <c r="D56" i="25"/>
  <c r="D55" i="25"/>
  <c r="D54" i="25"/>
  <c r="D53" i="25"/>
  <c r="D52" i="25"/>
  <c r="D40" i="25"/>
  <c r="B40" i="25"/>
  <c r="B183" i="25" s="1"/>
  <c r="D31" i="25"/>
  <c r="D30" i="25"/>
  <c r="D29" i="25"/>
  <c r="B26" i="25"/>
  <c r="B182" i="25" s="1"/>
  <c r="D21" i="25"/>
  <c r="D19" i="25"/>
  <c r="D47" i="25"/>
  <c r="D18" i="25"/>
  <c r="D17" i="25"/>
  <c r="B17" i="25"/>
  <c r="B181" i="25" s="1"/>
  <c r="D15" i="25"/>
  <c r="D14" i="25"/>
  <c r="B13" i="25"/>
  <c r="B180" i="25" s="1"/>
  <c r="D10" i="25"/>
  <c r="C10" i="25"/>
  <c r="B10" i="25"/>
  <c r="G9" i="25"/>
  <c r="B43" i="24"/>
  <c r="B42" i="24"/>
  <c r="B41" i="24"/>
  <c r="B40" i="24"/>
  <c r="B39" i="24"/>
  <c r="B38" i="24"/>
  <c r="B37" i="24"/>
  <c r="B36" i="24"/>
  <c r="B35" i="24"/>
  <c r="B34" i="24"/>
  <c r="B33" i="24"/>
  <c r="B32" i="24"/>
  <c r="B31" i="24"/>
  <c r="B30" i="24"/>
  <c r="B29" i="24"/>
  <c r="B28" i="24"/>
  <c r="B27" i="24"/>
  <c r="B26" i="24"/>
  <c r="B25" i="24"/>
  <c r="B24" i="24"/>
  <c r="B23" i="24"/>
  <c r="B22" i="24"/>
  <c r="B21" i="24"/>
  <c r="B20" i="24"/>
  <c r="B19" i="24"/>
  <c r="B18" i="24"/>
  <c r="B17" i="24"/>
  <c r="B16" i="24"/>
  <c r="B15" i="24"/>
  <c r="B14" i="24"/>
  <c r="B13" i="24"/>
  <c r="B12" i="24"/>
  <c r="B11" i="24"/>
  <c r="B91" i="23"/>
  <c r="B90" i="23"/>
  <c r="B89" i="23"/>
  <c r="B88" i="23"/>
  <c r="B87" i="23"/>
  <c r="AE84" i="23"/>
  <c r="C84" i="23"/>
  <c r="B84" i="23"/>
  <c r="AE83" i="23"/>
  <c r="C83" i="23"/>
  <c r="B83" i="23"/>
  <c r="C82" i="23"/>
  <c r="AE77" i="23"/>
  <c r="AE32" i="23" s="1"/>
  <c r="C77" i="23"/>
  <c r="B77" i="23"/>
  <c r="AE75" i="23"/>
  <c r="AE29" i="23" s="1"/>
  <c r="C75" i="23"/>
  <c r="AE71" i="23"/>
  <c r="R71" i="23"/>
  <c r="C71" i="23"/>
  <c r="AE69" i="23"/>
  <c r="R69" i="23"/>
  <c r="C69" i="23"/>
  <c r="AE68" i="23"/>
  <c r="R68" i="23"/>
  <c r="C68" i="23"/>
  <c r="AE65" i="23"/>
  <c r="R65" i="23"/>
  <c r="C65" i="23"/>
  <c r="AE64" i="23"/>
  <c r="R64" i="23"/>
  <c r="C64" i="23"/>
  <c r="AE62" i="23"/>
  <c r="R62" i="23"/>
  <c r="C62" i="23"/>
  <c r="B62" i="23"/>
  <c r="AE61" i="23"/>
  <c r="R61" i="23"/>
  <c r="C61" i="23"/>
  <c r="B61" i="23"/>
  <c r="AE60" i="23"/>
  <c r="R60" i="23"/>
  <c r="C60" i="23"/>
  <c r="AE59" i="23"/>
  <c r="R59" i="23"/>
  <c r="C59" i="23"/>
  <c r="B59" i="23"/>
  <c r="AE58" i="23"/>
  <c r="R58" i="23"/>
  <c r="C58" i="23"/>
  <c r="B58" i="23"/>
  <c r="AE57" i="23"/>
  <c r="R57" i="23"/>
  <c r="C57" i="23"/>
  <c r="AE56" i="23"/>
  <c r="R56" i="23"/>
  <c r="C56" i="23"/>
  <c r="B56" i="23"/>
  <c r="C54" i="23"/>
  <c r="B54" i="23"/>
  <c r="B53" i="23"/>
  <c r="AE52" i="23"/>
  <c r="AD52" i="23"/>
  <c r="AC52" i="23"/>
  <c r="AB52" i="23"/>
  <c r="AA52" i="23"/>
  <c r="Z52" i="23"/>
  <c r="Y52" i="23"/>
  <c r="X52" i="23"/>
  <c r="W52" i="23"/>
  <c r="V52" i="23"/>
  <c r="U52" i="23"/>
  <c r="T52" i="23"/>
  <c r="S52" i="23"/>
  <c r="R52" i="23"/>
  <c r="Q52" i="23"/>
  <c r="P52" i="23"/>
  <c r="O52" i="23"/>
  <c r="N52" i="23"/>
  <c r="M52" i="23"/>
  <c r="L52" i="23"/>
  <c r="K52" i="23"/>
  <c r="J52" i="23"/>
  <c r="I52" i="23"/>
  <c r="H52" i="23"/>
  <c r="G52" i="23"/>
  <c r="B50" i="23"/>
  <c r="B48" i="23"/>
  <c r="B47" i="23"/>
  <c r="B46" i="23"/>
  <c r="B45" i="23"/>
  <c r="B44" i="23"/>
  <c r="B43" i="23"/>
  <c r="B42" i="23"/>
  <c r="B41" i="23"/>
  <c r="B40" i="23"/>
  <c r="B39" i="23"/>
  <c r="B38" i="23"/>
  <c r="B37" i="23"/>
  <c r="B36" i="23"/>
  <c r="B35" i="23"/>
  <c r="B34" i="23"/>
  <c r="B33" i="23"/>
  <c r="B32" i="23"/>
  <c r="B31" i="23"/>
  <c r="B30" i="23"/>
  <c r="B29" i="23"/>
  <c r="B28" i="23"/>
  <c r="B27" i="23"/>
  <c r="B26" i="23"/>
  <c r="B25" i="23"/>
  <c r="B24" i="23"/>
  <c r="B23" i="23"/>
  <c r="B22" i="23"/>
  <c r="B21" i="23"/>
  <c r="B20" i="23"/>
  <c r="B19" i="23"/>
  <c r="B18" i="23"/>
  <c r="B17" i="23"/>
  <c r="B16" i="23"/>
  <c r="B15" i="23"/>
  <c r="B14" i="23"/>
  <c r="B13" i="23"/>
  <c r="B12" i="23"/>
  <c r="AE11" i="23"/>
  <c r="AD11" i="23"/>
  <c r="AC11" i="23"/>
  <c r="AB11" i="23"/>
  <c r="AA11" i="23"/>
  <c r="Z11" i="23"/>
  <c r="Y11" i="23"/>
  <c r="X11" i="23"/>
  <c r="W11" i="23"/>
  <c r="R11" i="23"/>
  <c r="Q11" i="23"/>
  <c r="P11" i="23"/>
  <c r="O11" i="23"/>
  <c r="N11" i="23"/>
  <c r="M11" i="23"/>
  <c r="L11" i="23"/>
  <c r="K11" i="23"/>
  <c r="J11" i="23"/>
  <c r="I11" i="23"/>
  <c r="D10" i="23"/>
  <c r="AE9" i="23"/>
  <c r="C52" i="21"/>
  <c r="Q38" i="21"/>
  <c r="B32" i="21"/>
  <c r="Q9" i="21"/>
  <c r="B39" i="20"/>
  <c r="B38" i="20"/>
  <c r="B37" i="20"/>
  <c r="B36" i="20"/>
  <c r="B35" i="20"/>
  <c r="B34" i="20"/>
  <c r="B33" i="20"/>
  <c r="B32" i="20"/>
  <c r="B31" i="20"/>
  <c r="B30" i="20"/>
  <c r="B29" i="20"/>
  <c r="B28" i="20"/>
  <c r="B27" i="20"/>
  <c r="B26" i="20"/>
  <c r="B25" i="20"/>
  <c r="B24" i="20"/>
  <c r="B23" i="20"/>
  <c r="B22" i="20"/>
  <c r="B21" i="20"/>
  <c r="B20" i="20"/>
  <c r="B19" i="20"/>
  <c r="B18" i="20"/>
  <c r="B17" i="20"/>
  <c r="B16" i="20"/>
  <c r="B15" i="20"/>
  <c r="B14" i="20"/>
  <c r="B13" i="20"/>
  <c r="B12" i="20"/>
  <c r="H9" i="20"/>
  <c r="B34" i="19"/>
  <c r="B31" i="19"/>
  <c r="B24" i="19"/>
  <c r="B13" i="19"/>
  <c r="B12" i="19"/>
  <c r="H10" i="19"/>
  <c r="H9" i="19"/>
  <c r="B86" i="18"/>
  <c r="B80" i="18"/>
  <c r="B79" i="18"/>
  <c r="B78" i="18"/>
  <c r="B76" i="18"/>
  <c r="B75" i="18"/>
  <c r="B74" i="18"/>
  <c r="B73" i="18"/>
  <c r="B72" i="18"/>
  <c r="B71" i="18"/>
  <c r="B70" i="18"/>
  <c r="B69" i="18"/>
  <c r="B68" i="18"/>
  <c r="B67" i="18"/>
  <c r="B66" i="18"/>
  <c r="B65" i="18"/>
  <c r="B64" i="18"/>
  <c r="B63" i="18"/>
  <c r="B62" i="18"/>
  <c r="B61" i="18"/>
  <c r="B60" i="18"/>
  <c r="B59" i="18"/>
  <c r="B58" i="18"/>
  <c r="B57" i="18"/>
  <c r="B56" i="18"/>
  <c r="B55" i="18"/>
  <c r="B54" i="18"/>
  <c r="B53" i="18"/>
  <c r="B52" i="18"/>
  <c r="B51" i="18"/>
  <c r="B50" i="18"/>
  <c r="B49" i="18"/>
  <c r="B48" i="18"/>
  <c r="B47" i="18"/>
  <c r="B46" i="18"/>
  <c r="B45" i="18"/>
  <c r="B44" i="18"/>
  <c r="B43" i="18"/>
  <c r="B42" i="18"/>
  <c r="B40" i="18"/>
  <c r="B39" i="18"/>
  <c r="B38" i="18"/>
  <c r="B37" i="18"/>
  <c r="B36" i="18"/>
  <c r="B35" i="18"/>
  <c r="B34" i="18"/>
  <c r="B33" i="18"/>
  <c r="B32" i="18"/>
  <c r="B31" i="18"/>
  <c r="B30" i="18"/>
  <c r="B29" i="18"/>
  <c r="B28" i="18"/>
  <c r="B27" i="18"/>
  <c r="B26" i="18"/>
  <c r="B25" i="18"/>
  <c r="B24" i="18"/>
  <c r="B23" i="18"/>
  <c r="B22" i="18"/>
  <c r="B21" i="18"/>
  <c r="B20" i="18"/>
  <c r="B19" i="18"/>
  <c r="B18" i="18"/>
  <c r="B17" i="18"/>
  <c r="B14" i="18"/>
  <c r="B13" i="18"/>
  <c r="B12" i="18"/>
  <c r="F9" i="18"/>
  <c r="C21" i="9"/>
  <c r="B75" i="17"/>
  <c r="B74" i="17"/>
  <c r="B73" i="17"/>
  <c r="B72" i="17"/>
  <c r="B71" i="17"/>
  <c r="B70" i="17"/>
  <c r="B69" i="17"/>
  <c r="B68" i="17"/>
  <c r="B67" i="17"/>
  <c r="B65" i="17"/>
  <c r="B64" i="17"/>
  <c r="B63" i="17"/>
  <c r="B62" i="17"/>
  <c r="B61" i="17"/>
  <c r="B60" i="17"/>
  <c r="B59" i="17"/>
  <c r="B58" i="17"/>
  <c r="B57" i="17"/>
  <c r="B56" i="17"/>
  <c r="B55" i="17"/>
  <c r="B54" i="17"/>
  <c r="B53" i="17"/>
  <c r="B52" i="17"/>
  <c r="B51" i="17"/>
  <c r="B50" i="17"/>
  <c r="B49" i="17"/>
  <c r="B48" i="17"/>
  <c r="B47" i="17"/>
  <c r="B46" i="17"/>
  <c r="B45" i="17"/>
  <c r="B44" i="17"/>
  <c r="B43" i="17"/>
  <c r="B42" i="17"/>
  <c r="B41" i="17"/>
  <c r="B40" i="17"/>
  <c r="B39" i="17"/>
  <c r="B38" i="17"/>
  <c r="B37" i="17"/>
  <c r="B36" i="17"/>
  <c r="B35" i="17"/>
  <c r="B34" i="17"/>
  <c r="B33" i="17"/>
  <c r="B32" i="17"/>
  <c r="B31" i="17"/>
  <c r="B30" i="17"/>
  <c r="B29" i="17"/>
  <c r="B28" i="17"/>
  <c r="B27" i="17"/>
  <c r="B26" i="17"/>
  <c r="B25" i="17"/>
  <c r="B24" i="17"/>
  <c r="B23" i="17"/>
  <c r="B22" i="17"/>
  <c r="B21" i="17"/>
  <c r="B20" i="17"/>
  <c r="B19" i="17"/>
  <c r="B18" i="17"/>
  <c r="B17" i="17"/>
  <c r="B16" i="17"/>
  <c r="B15" i="17"/>
  <c r="B14" i="17"/>
  <c r="B13" i="17"/>
  <c r="I10" i="17"/>
  <c r="F10" i="17"/>
  <c r="C10" i="17"/>
  <c r="L9" i="17"/>
  <c r="C20" i="9"/>
  <c r="B71" i="16"/>
  <c r="B69" i="16"/>
  <c r="B68" i="16"/>
  <c r="B67" i="16"/>
  <c r="H9" i="16"/>
  <c r="C19" i="9"/>
  <c r="B79" i="15"/>
  <c r="B78" i="15"/>
  <c r="B76" i="15"/>
  <c r="B75" i="15"/>
  <c r="B74" i="15"/>
  <c r="H9" i="15"/>
  <c r="C18" i="9"/>
  <c r="B51" i="14"/>
  <c r="B50" i="14"/>
  <c r="B49" i="14"/>
  <c r="B48" i="14"/>
  <c r="B47" i="14"/>
  <c r="B46" i="14"/>
  <c r="B45" i="14"/>
  <c r="B44" i="14"/>
  <c r="B43" i="14"/>
  <c r="B42" i="14"/>
  <c r="B41" i="14"/>
  <c r="B40" i="14"/>
  <c r="B39" i="14"/>
  <c r="B38" i="14"/>
  <c r="B37" i="14"/>
  <c r="B36" i="14"/>
  <c r="B35" i="14"/>
  <c r="B34" i="14"/>
  <c r="B33" i="14"/>
  <c r="B32" i="14"/>
  <c r="B31" i="14"/>
  <c r="B30" i="14"/>
  <c r="B29" i="14"/>
  <c r="B28" i="14"/>
  <c r="B27" i="14"/>
  <c r="B26" i="14"/>
  <c r="B25" i="14"/>
  <c r="B24" i="14"/>
  <c r="B23" i="14"/>
  <c r="B22" i="14"/>
  <c r="B21" i="14"/>
  <c r="B20" i="14"/>
  <c r="B19" i="14"/>
  <c r="B18" i="14"/>
  <c r="B17" i="14"/>
  <c r="B16" i="14"/>
  <c r="B15" i="14"/>
  <c r="B14" i="14"/>
  <c r="B13" i="14"/>
  <c r="B12" i="14"/>
  <c r="I9" i="14"/>
  <c r="C17" i="9"/>
  <c r="B77" i="12"/>
  <c r="B73" i="13"/>
  <c r="B71" i="13"/>
  <c r="B70" i="13"/>
  <c r="B69" i="13"/>
  <c r="B68" i="13"/>
  <c r="B67" i="13"/>
  <c r="B66" i="13"/>
  <c r="B65" i="13"/>
  <c r="B64" i="13"/>
  <c r="B63" i="13"/>
  <c r="B62" i="13"/>
  <c r="B60" i="13"/>
  <c r="B59" i="13"/>
  <c r="B58" i="13"/>
  <c r="H57" i="13"/>
  <c r="G57" i="13"/>
  <c r="B57" i="13"/>
  <c r="H56" i="13"/>
  <c r="G56" i="13"/>
  <c r="B56" i="13"/>
  <c r="H55" i="13"/>
  <c r="G55" i="13"/>
  <c r="B55" i="13"/>
  <c r="H54" i="13"/>
  <c r="G54" i="13"/>
  <c r="B54" i="13"/>
  <c r="H53" i="13"/>
  <c r="G53" i="13"/>
  <c r="B53" i="13"/>
  <c r="D50" i="13"/>
  <c r="B52" i="13"/>
  <c r="H51" i="13"/>
  <c r="G51" i="13"/>
  <c r="B51" i="13"/>
  <c r="B50" i="13"/>
  <c r="B49" i="13"/>
  <c r="H48" i="13"/>
  <c r="B48" i="13"/>
  <c r="H47" i="13"/>
  <c r="B47" i="13"/>
  <c r="H46" i="13"/>
  <c r="B46" i="13"/>
  <c r="H45" i="13"/>
  <c r="G45" i="13"/>
  <c r="B45" i="13"/>
  <c r="H44" i="13"/>
  <c r="G44" i="13"/>
  <c r="B44" i="13"/>
  <c r="H43" i="13"/>
  <c r="G43" i="13"/>
  <c r="B43" i="13"/>
  <c r="D42" i="13"/>
  <c r="B42" i="13"/>
  <c r="H41" i="13"/>
  <c r="G41" i="13"/>
  <c r="B41" i="13"/>
  <c r="H40" i="13"/>
  <c r="G40" i="13"/>
  <c r="B40" i="13"/>
  <c r="H39" i="13"/>
  <c r="G39" i="13"/>
  <c r="B39" i="13"/>
  <c r="H38" i="13"/>
  <c r="G38" i="13"/>
  <c r="B38" i="13"/>
  <c r="H37" i="13"/>
  <c r="G37" i="13"/>
  <c r="B37" i="13"/>
  <c r="D36" i="13"/>
  <c r="B36" i="13"/>
  <c r="B35" i="13"/>
  <c r="B34" i="13"/>
  <c r="B33" i="13"/>
  <c r="H32" i="13"/>
  <c r="G32" i="13"/>
  <c r="B32" i="13"/>
  <c r="H31" i="13"/>
  <c r="G31" i="13"/>
  <c r="B31" i="13"/>
  <c r="H30" i="13"/>
  <c r="G30" i="13"/>
  <c r="B30" i="13"/>
  <c r="H29" i="13"/>
  <c r="G29" i="13"/>
  <c r="B29" i="13"/>
  <c r="H28" i="13"/>
  <c r="G28" i="13"/>
  <c r="B28" i="13"/>
  <c r="D27" i="13"/>
  <c r="B27" i="13"/>
  <c r="H26" i="13"/>
  <c r="G26" i="13"/>
  <c r="B26" i="13"/>
  <c r="B25" i="13"/>
  <c r="B24" i="13"/>
  <c r="H23" i="13"/>
  <c r="G23" i="13"/>
  <c r="B23" i="13"/>
  <c r="H22" i="13"/>
  <c r="G22" i="13"/>
  <c r="B22" i="13"/>
  <c r="H21" i="13"/>
  <c r="G21" i="13"/>
  <c r="B21" i="13"/>
  <c r="H20" i="13"/>
  <c r="G20" i="13"/>
  <c r="B20" i="13"/>
  <c r="H19" i="13"/>
  <c r="G19" i="13"/>
  <c r="B19" i="13"/>
  <c r="D18" i="13"/>
  <c r="B18" i="13"/>
  <c r="H17" i="13"/>
  <c r="G17" i="13"/>
  <c r="B17" i="13"/>
  <c r="H16" i="13"/>
  <c r="G16" i="13"/>
  <c r="B16" i="13"/>
  <c r="H15" i="13"/>
  <c r="G15" i="13"/>
  <c r="B15" i="13"/>
  <c r="H14" i="13"/>
  <c r="G14" i="13"/>
  <c r="B14" i="13"/>
  <c r="D13" i="13"/>
  <c r="B13" i="13"/>
  <c r="B12" i="13"/>
  <c r="I9" i="13"/>
  <c r="C16" i="9"/>
  <c r="B71" i="12"/>
  <c r="B70" i="12"/>
  <c r="B69" i="12"/>
  <c r="B68" i="12"/>
  <c r="B67" i="12"/>
  <c r="B66" i="12"/>
  <c r="B65" i="12"/>
  <c r="B64" i="12"/>
  <c r="B63" i="12"/>
  <c r="B62" i="12"/>
  <c r="B60" i="12"/>
  <c r="B59" i="12"/>
  <c r="B58" i="12"/>
  <c r="H57" i="12"/>
  <c r="G57" i="12"/>
  <c r="B57" i="12"/>
  <c r="H56" i="12"/>
  <c r="G56" i="12"/>
  <c r="B56" i="12"/>
  <c r="H55" i="12"/>
  <c r="G55" i="12"/>
  <c r="B55" i="12"/>
  <c r="H54" i="12"/>
  <c r="G54" i="12"/>
  <c r="B54" i="12"/>
  <c r="H53" i="12"/>
  <c r="G53" i="12"/>
  <c r="B53" i="12"/>
  <c r="D52" i="12"/>
  <c r="B52" i="12"/>
  <c r="H51" i="12"/>
  <c r="G51" i="12"/>
  <c r="B51" i="12"/>
  <c r="B50" i="12"/>
  <c r="B49" i="12"/>
  <c r="H48" i="12"/>
  <c r="G48" i="12"/>
  <c r="B48" i="12"/>
  <c r="H47" i="12"/>
  <c r="G47" i="12"/>
  <c r="B47" i="12"/>
  <c r="H46" i="12"/>
  <c r="G46" i="12"/>
  <c r="B46" i="12"/>
  <c r="H45" i="12"/>
  <c r="G45" i="12"/>
  <c r="B45" i="12"/>
  <c r="H44" i="12"/>
  <c r="G44" i="12"/>
  <c r="B44" i="12"/>
  <c r="H43" i="12"/>
  <c r="G43" i="12"/>
  <c r="B43" i="12"/>
  <c r="B42" i="12"/>
  <c r="H41" i="12"/>
  <c r="G41" i="12"/>
  <c r="B41" i="12"/>
  <c r="H40" i="12"/>
  <c r="G40" i="12"/>
  <c r="B40" i="12"/>
  <c r="H39" i="12"/>
  <c r="G39" i="12"/>
  <c r="B39" i="12"/>
  <c r="H38" i="12"/>
  <c r="G38" i="12"/>
  <c r="B38" i="12"/>
  <c r="H37" i="12"/>
  <c r="G37" i="12"/>
  <c r="B37" i="12"/>
  <c r="D36" i="12"/>
  <c r="B36" i="12"/>
  <c r="B35" i="12"/>
  <c r="B34" i="12"/>
  <c r="B33" i="12"/>
  <c r="H32" i="12"/>
  <c r="G32" i="12"/>
  <c r="B32" i="12"/>
  <c r="H31" i="12"/>
  <c r="G31" i="12"/>
  <c r="B31" i="12"/>
  <c r="H30" i="12"/>
  <c r="G30" i="12"/>
  <c r="B30" i="12"/>
  <c r="H29" i="12"/>
  <c r="G29" i="12"/>
  <c r="B29" i="12"/>
  <c r="H28" i="12"/>
  <c r="G28" i="12"/>
  <c r="B28" i="12"/>
  <c r="D27" i="12"/>
  <c r="D25" i="12" s="1"/>
  <c r="B27" i="12"/>
  <c r="H26" i="12"/>
  <c r="G26" i="12"/>
  <c r="B26" i="12"/>
  <c r="B25" i="12"/>
  <c r="B24" i="12"/>
  <c r="H23" i="12"/>
  <c r="G23" i="12"/>
  <c r="B23" i="12"/>
  <c r="H22" i="12"/>
  <c r="G22" i="12"/>
  <c r="B22" i="12"/>
  <c r="H21" i="12"/>
  <c r="G21" i="12"/>
  <c r="B21" i="12"/>
  <c r="H20" i="12"/>
  <c r="G20" i="12"/>
  <c r="B20" i="12"/>
  <c r="H19" i="12"/>
  <c r="G19" i="12"/>
  <c r="B19" i="12"/>
  <c r="D18" i="12"/>
  <c r="B18" i="12"/>
  <c r="H17" i="12"/>
  <c r="G17" i="12"/>
  <c r="B17" i="12"/>
  <c r="H16" i="12"/>
  <c r="G16" i="12"/>
  <c r="B16" i="12"/>
  <c r="H15" i="12"/>
  <c r="G15" i="12"/>
  <c r="B15" i="12"/>
  <c r="H14" i="12"/>
  <c r="G14" i="12"/>
  <c r="B14" i="12"/>
  <c r="D13" i="12"/>
  <c r="B13" i="12"/>
  <c r="B12" i="12"/>
  <c r="I9" i="12"/>
  <c r="B72" i="11"/>
  <c r="B70" i="11"/>
  <c r="B69" i="11"/>
  <c r="B68" i="11"/>
  <c r="B67" i="11"/>
  <c r="B66" i="11"/>
  <c r="B65" i="11"/>
  <c r="F64" i="11"/>
  <c r="E64" i="11"/>
  <c r="D64" i="11"/>
  <c r="C64" i="11"/>
  <c r="B64" i="11"/>
  <c r="B63" i="11"/>
  <c r="B62" i="11"/>
  <c r="G61" i="11"/>
  <c r="B61" i="11"/>
  <c r="H60" i="11"/>
  <c r="G60" i="11"/>
  <c r="B60" i="11"/>
  <c r="H59" i="11"/>
  <c r="G59" i="11"/>
  <c r="B59" i="11"/>
  <c r="H58" i="11"/>
  <c r="G58" i="11"/>
  <c r="B58" i="11"/>
  <c r="H57" i="11"/>
  <c r="G57" i="11"/>
  <c r="H56" i="11"/>
  <c r="G56" i="11"/>
  <c r="B56" i="11"/>
  <c r="D55" i="11"/>
  <c r="D53" i="11" s="1"/>
  <c r="B55" i="11"/>
  <c r="H54" i="11"/>
  <c r="G54" i="11"/>
  <c r="B54" i="11"/>
  <c r="G52" i="11"/>
  <c r="B52" i="11"/>
  <c r="H51" i="11"/>
  <c r="G51" i="11"/>
  <c r="B51" i="11"/>
  <c r="H50" i="11"/>
  <c r="G50" i="11"/>
  <c r="B50" i="11"/>
  <c r="H49" i="11"/>
  <c r="G49" i="11"/>
  <c r="B49" i="11"/>
  <c r="H48" i="11"/>
  <c r="G48" i="11"/>
  <c r="B48" i="11"/>
  <c r="H47" i="11"/>
  <c r="G47" i="11"/>
  <c r="B47" i="11"/>
  <c r="D46" i="11"/>
  <c r="B46" i="11"/>
  <c r="H45" i="11"/>
  <c r="G45" i="11"/>
  <c r="B45" i="11"/>
  <c r="H44" i="11"/>
  <c r="G44" i="11"/>
  <c r="B44" i="11"/>
  <c r="H43" i="11"/>
  <c r="G43" i="11"/>
  <c r="B43" i="11"/>
  <c r="H42" i="11"/>
  <c r="G42" i="11"/>
  <c r="B42" i="11"/>
  <c r="H41" i="11"/>
  <c r="G41" i="11"/>
  <c r="B41" i="11"/>
  <c r="D40" i="11"/>
  <c r="B40" i="11"/>
  <c r="H39" i="11"/>
  <c r="G39" i="11"/>
  <c r="B39" i="11"/>
  <c r="H38" i="11"/>
  <c r="G38" i="11"/>
  <c r="B38" i="11"/>
  <c r="H37" i="11"/>
  <c r="G37" i="11"/>
  <c r="B37" i="11"/>
  <c r="D36" i="11"/>
  <c r="B36" i="11"/>
  <c r="H35" i="11"/>
  <c r="G35" i="11"/>
  <c r="B35" i="11"/>
  <c r="H34" i="11"/>
  <c r="G34" i="11"/>
  <c r="B34" i="11"/>
  <c r="H33" i="11"/>
  <c r="G33" i="11"/>
  <c r="B33" i="11"/>
  <c r="H32" i="11"/>
  <c r="G32" i="11"/>
  <c r="B32" i="11"/>
  <c r="B31" i="11"/>
  <c r="B30" i="11"/>
  <c r="B29" i="11"/>
  <c r="H28" i="11"/>
  <c r="G28" i="11"/>
  <c r="B28" i="11"/>
  <c r="H27" i="11"/>
  <c r="G27" i="11"/>
  <c r="B27" i="11"/>
  <c r="D26" i="11"/>
  <c r="B26" i="11"/>
  <c r="H25" i="11"/>
  <c r="G25" i="11"/>
  <c r="B25" i="11"/>
  <c r="H24" i="11"/>
  <c r="G24" i="11"/>
  <c r="B24" i="11"/>
  <c r="H23" i="11"/>
  <c r="G23" i="11"/>
  <c r="B23" i="11"/>
  <c r="H22" i="11"/>
  <c r="G22" i="11"/>
  <c r="B22" i="11"/>
  <c r="H21" i="11"/>
  <c r="G21" i="11"/>
  <c r="B21" i="11"/>
  <c r="H20" i="11"/>
  <c r="G20" i="11"/>
  <c r="B20" i="11"/>
  <c r="H19" i="11"/>
  <c r="G19" i="11"/>
  <c r="B19" i="11"/>
  <c r="H18" i="11"/>
  <c r="G18" i="11"/>
  <c r="B18" i="11"/>
  <c r="D17" i="11"/>
  <c r="B17" i="11"/>
  <c r="H16" i="11"/>
  <c r="G16" i="11"/>
  <c r="B16" i="11"/>
  <c r="H15" i="11"/>
  <c r="G15" i="11"/>
  <c r="B15" i="11"/>
  <c r="H14" i="11"/>
  <c r="G14" i="11"/>
  <c r="B14" i="11"/>
  <c r="D13" i="11"/>
  <c r="B13" i="11"/>
  <c r="B12" i="11"/>
  <c r="I9" i="11"/>
  <c r="C14" i="9"/>
  <c r="B69" i="10"/>
  <c r="B68" i="10"/>
  <c r="B67" i="10"/>
  <c r="B66" i="10"/>
  <c r="B65" i="10"/>
  <c r="B64" i="10"/>
  <c r="B63" i="10"/>
  <c r="B62" i="10"/>
  <c r="B60" i="10"/>
  <c r="B59" i="10"/>
  <c r="B58" i="10"/>
  <c r="H57" i="10"/>
  <c r="G57" i="10"/>
  <c r="B57" i="10"/>
  <c r="H56" i="10"/>
  <c r="G56" i="10"/>
  <c r="B56" i="10"/>
  <c r="H55" i="10"/>
  <c r="G55" i="10"/>
  <c r="B55" i="10"/>
  <c r="H54" i="10"/>
  <c r="G54" i="10"/>
  <c r="H53" i="10"/>
  <c r="G53" i="10"/>
  <c r="B53" i="10"/>
  <c r="D52" i="10"/>
  <c r="D50" i="10" s="1"/>
  <c r="B52" i="10"/>
  <c r="H51" i="10"/>
  <c r="G51" i="10"/>
  <c r="B51" i="10"/>
  <c r="B50" i="10"/>
  <c r="B49" i="10"/>
  <c r="H48" i="10"/>
  <c r="G48" i="10"/>
  <c r="B48" i="10"/>
  <c r="H47" i="10"/>
  <c r="G47" i="10"/>
  <c r="B47" i="10"/>
  <c r="H46" i="10"/>
  <c r="G46" i="10"/>
  <c r="B46" i="10"/>
  <c r="H45" i="10"/>
  <c r="G45" i="10"/>
  <c r="B45" i="10"/>
  <c r="H44" i="10"/>
  <c r="G44" i="10"/>
  <c r="B44" i="10"/>
  <c r="H43" i="10"/>
  <c r="G43" i="10"/>
  <c r="B43" i="10"/>
  <c r="D42" i="10"/>
  <c r="B42" i="10"/>
  <c r="H41" i="10"/>
  <c r="G41" i="10"/>
  <c r="B41" i="10"/>
  <c r="H40" i="10"/>
  <c r="G40" i="10"/>
  <c r="B40" i="10"/>
  <c r="H39" i="10"/>
  <c r="G39" i="10"/>
  <c r="B39" i="10"/>
  <c r="H38" i="10"/>
  <c r="G38" i="10"/>
  <c r="B38" i="10"/>
  <c r="H37" i="10"/>
  <c r="G37" i="10"/>
  <c r="B37" i="10"/>
  <c r="D36" i="10"/>
  <c r="B36" i="10"/>
  <c r="B35" i="10"/>
  <c r="B34" i="10"/>
  <c r="B33" i="10"/>
  <c r="B32" i="10"/>
  <c r="B31" i="10"/>
  <c r="B30" i="10"/>
  <c r="B29" i="10"/>
  <c r="B28" i="10"/>
  <c r="B27" i="10"/>
  <c r="B26" i="10"/>
  <c r="B25" i="10"/>
  <c r="B24" i="10"/>
  <c r="B23" i="10"/>
  <c r="B22" i="10"/>
  <c r="B21" i="10"/>
  <c r="B20" i="10"/>
  <c r="B19" i="10"/>
  <c r="B18" i="10"/>
  <c r="B17" i="10"/>
  <c r="B16" i="10"/>
  <c r="B15" i="10"/>
  <c r="B14" i="10"/>
  <c r="B13" i="10"/>
  <c r="B12" i="10"/>
  <c r="I9" i="10"/>
  <c r="C13" i="9"/>
  <c r="B59" i="6"/>
  <c r="B56" i="6"/>
  <c r="B55" i="6"/>
  <c r="B54" i="6"/>
  <c r="B53" i="6"/>
  <c r="B52" i="6"/>
  <c r="B51" i="6"/>
  <c r="B50" i="6"/>
  <c r="B49" i="6"/>
  <c r="H48" i="6"/>
  <c r="G48" i="6"/>
  <c r="B48" i="6"/>
  <c r="H47" i="6"/>
  <c r="G47" i="6"/>
  <c r="B47" i="6"/>
  <c r="H46" i="6"/>
  <c r="G46" i="6"/>
  <c r="B46" i="6"/>
  <c r="D45" i="6"/>
  <c r="D43" i="6" s="1"/>
  <c r="B45" i="6"/>
  <c r="H44" i="6"/>
  <c r="G44" i="6"/>
  <c r="B44" i="6"/>
  <c r="B43" i="6"/>
  <c r="B42" i="6"/>
  <c r="H41" i="6"/>
  <c r="G41" i="6"/>
  <c r="B41" i="6"/>
  <c r="H40" i="6"/>
  <c r="G40" i="6"/>
  <c r="B40" i="6"/>
  <c r="H39" i="6"/>
  <c r="G39" i="6"/>
  <c r="B39" i="6"/>
  <c r="H38" i="6"/>
  <c r="G38" i="6"/>
  <c r="B38" i="6"/>
  <c r="D37" i="6"/>
  <c r="B37" i="6"/>
  <c r="H36" i="6"/>
  <c r="G36" i="6"/>
  <c r="B36" i="6"/>
  <c r="H35" i="6"/>
  <c r="G35" i="6"/>
  <c r="B35" i="6"/>
  <c r="H34" i="6"/>
  <c r="G34" i="6"/>
  <c r="B34" i="6"/>
  <c r="H33" i="6"/>
  <c r="G33" i="6"/>
  <c r="B33" i="6"/>
  <c r="H32" i="6"/>
  <c r="G32" i="6"/>
  <c r="B32" i="6"/>
  <c r="D31" i="6"/>
  <c r="B31" i="6"/>
  <c r="B30" i="6"/>
  <c r="B29" i="6"/>
  <c r="B28" i="6"/>
  <c r="H27" i="6"/>
  <c r="G27" i="6"/>
  <c r="B27" i="6"/>
  <c r="H26" i="6"/>
  <c r="G26" i="6"/>
  <c r="B26" i="6"/>
  <c r="H25" i="6"/>
  <c r="G25" i="6"/>
  <c r="B25" i="6"/>
  <c r="D24" i="6"/>
  <c r="D22" i="6" s="1"/>
  <c r="B24" i="6"/>
  <c r="H23" i="6"/>
  <c r="G23" i="6"/>
  <c r="B23" i="6"/>
  <c r="B22" i="6"/>
  <c r="B21" i="6"/>
  <c r="H20" i="6"/>
  <c r="G20" i="6"/>
  <c r="B20" i="6"/>
  <c r="H19" i="6"/>
  <c r="G19" i="6"/>
  <c r="B19" i="6"/>
  <c r="H18" i="6"/>
  <c r="G18" i="6"/>
  <c r="B18" i="6"/>
  <c r="D17" i="6"/>
  <c r="D12" i="6" s="1"/>
  <c r="B17" i="6"/>
  <c r="H16" i="6"/>
  <c r="G16" i="6"/>
  <c r="B16" i="6"/>
  <c r="H15" i="6"/>
  <c r="G15" i="6"/>
  <c r="B15" i="6"/>
  <c r="H14" i="6"/>
  <c r="G14" i="6"/>
  <c r="B14" i="6"/>
  <c r="D13" i="6"/>
  <c r="B13" i="6"/>
  <c r="B12" i="6"/>
  <c r="I9" i="6"/>
  <c r="C12" i="9"/>
  <c r="D8" i="9"/>
  <c r="E8" i="9"/>
  <c r="F8" i="9"/>
  <c r="B52" i="14"/>
  <c r="B60" i="5"/>
  <c r="H11" i="5"/>
  <c r="G10" i="5"/>
  <c r="I9" i="5"/>
  <c r="C11" i="9"/>
  <c r="B107" i="2"/>
  <c r="B106" i="2"/>
  <c r="B105" i="2"/>
  <c r="B104" i="2"/>
  <c r="B103" i="2"/>
  <c r="B102" i="2"/>
  <c r="H101" i="2"/>
  <c r="G101" i="2"/>
  <c r="F101" i="2"/>
  <c r="E101" i="2"/>
  <c r="D101" i="2"/>
  <c r="B101" i="2"/>
  <c r="M100" i="2"/>
  <c r="L100" i="2"/>
  <c r="K100" i="2"/>
  <c r="J100" i="2"/>
  <c r="I100" i="2"/>
  <c r="H100" i="2"/>
  <c r="G100" i="2"/>
  <c r="F100" i="2"/>
  <c r="E100" i="2"/>
  <c r="D100" i="2"/>
  <c r="B100" i="2"/>
  <c r="M99" i="2"/>
  <c r="L99" i="2"/>
  <c r="K99" i="2"/>
  <c r="J99" i="2"/>
  <c r="I99" i="2"/>
  <c r="H99" i="2"/>
  <c r="G99" i="2"/>
  <c r="F99" i="2"/>
  <c r="E99" i="2"/>
  <c r="D99" i="2"/>
  <c r="B99" i="2"/>
  <c r="M98" i="2"/>
  <c r="L98" i="2"/>
  <c r="K98" i="2"/>
  <c r="J98" i="2"/>
  <c r="I98" i="2"/>
  <c r="H98" i="2"/>
  <c r="G98" i="2"/>
  <c r="F98" i="2"/>
  <c r="E98" i="2"/>
  <c r="D98" i="2"/>
  <c r="B98" i="2"/>
  <c r="B97" i="2"/>
  <c r="M96" i="2"/>
  <c r="L96" i="2"/>
  <c r="K96" i="2"/>
  <c r="J96" i="2"/>
  <c r="I96" i="2"/>
  <c r="H96" i="2"/>
  <c r="G96" i="2"/>
  <c r="F96" i="2"/>
  <c r="E96" i="2"/>
  <c r="D96" i="2"/>
  <c r="B96" i="2"/>
  <c r="B95" i="2"/>
  <c r="H94" i="2"/>
  <c r="G94" i="2"/>
  <c r="F94" i="2"/>
  <c r="E94" i="2"/>
  <c r="D94" i="2"/>
  <c r="B94" i="2"/>
  <c r="M93" i="2"/>
  <c r="L93" i="2"/>
  <c r="K93" i="2"/>
  <c r="J93" i="2"/>
  <c r="I93" i="2"/>
  <c r="H93" i="2"/>
  <c r="G93" i="2"/>
  <c r="F93" i="2"/>
  <c r="E93" i="2"/>
  <c r="D93" i="2"/>
  <c r="B93" i="2"/>
  <c r="M92" i="2"/>
  <c r="L92" i="2"/>
  <c r="K92" i="2"/>
  <c r="J92" i="2"/>
  <c r="I92" i="2"/>
  <c r="H92" i="2"/>
  <c r="G92" i="2"/>
  <c r="F92" i="2"/>
  <c r="E92" i="2"/>
  <c r="D92" i="2"/>
  <c r="B92" i="2"/>
  <c r="M91" i="2"/>
  <c r="L91" i="2"/>
  <c r="K91" i="2"/>
  <c r="J91" i="2"/>
  <c r="I91" i="2"/>
  <c r="H91" i="2"/>
  <c r="G91" i="2"/>
  <c r="F91" i="2"/>
  <c r="E91" i="2"/>
  <c r="D91" i="2"/>
  <c r="B91" i="2"/>
  <c r="M90" i="2"/>
  <c r="L90" i="2"/>
  <c r="K90" i="2"/>
  <c r="J90" i="2"/>
  <c r="I90" i="2"/>
  <c r="H90" i="2"/>
  <c r="G90" i="2"/>
  <c r="F90" i="2"/>
  <c r="E90" i="2"/>
  <c r="D90" i="2"/>
  <c r="B90" i="2"/>
  <c r="B89" i="2"/>
  <c r="M88" i="2"/>
  <c r="L88" i="2"/>
  <c r="K88" i="2"/>
  <c r="J88" i="2"/>
  <c r="I88" i="2"/>
  <c r="H88" i="2"/>
  <c r="G88" i="2"/>
  <c r="F88" i="2"/>
  <c r="E88" i="2"/>
  <c r="D88" i="2"/>
  <c r="B88" i="2"/>
  <c r="M87" i="2"/>
  <c r="L87" i="2"/>
  <c r="K87" i="2"/>
  <c r="J87" i="2"/>
  <c r="I87" i="2"/>
  <c r="H87" i="2"/>
  <c r="G87" i="2"/>
  <c r="F87" i="2"/>
  <c r="E87" i="2"/>
  <c r="D87" i="2"/>
  <c r="B87" i="2"/>
  <c r="M86" i="2"/>
  <c r="L86" i="2"/>
  <c r="K86" i="2"/>
  <c r="J86" i="2"/>
  <c r="I86" i="2"/>
  <c r="H86" i="2"/>
  <c r="G86" i="2"/>
  <c r="F86" i="2"/>
  <c r="E86" i="2"/>
  <c r="D86" i="2"/>
  <c r="B86" i="2"/>
  <c r="M85" i="2"/>
  <c r="L85" i="2"/>
  <c r="K85" i="2"/>
  <c r="J85" i="2"/>
  <c r="I85" i="2"/>
  <c r="H85" i="2"/>
  <c r="G85" i="2"/>
  <c r="F85" i="2"/>
  <c r="E85" i="2"/>
  <c r="D85" i="2"/>
  <c r="B85" i="2"/>
  <c r="M84" i="2"/>
  <c r="L84" i="2"/>
  <c r="K84" i="2"/>
  <c r="J84" i="2"/>
  <c r="I84" i="2"/>
  <c r="H84" i="2"/>
  <c r="G84" i="2"/>
  <c r="F84" i="2"/>
  <c r="E84" i="2"/>
  <c r="D84" i="2"/>
  <c r="B84" i="2"/>
  <c r="B83" i="2"/>
  <c r="B82" i="2"/>
  <c r="B81" i="2"/>
  <c r="H80" i="2"/>
  <c r="G80" i="2"/>
  <c r="F80" i="2"/>
  <c r="E80" i="2"/>
  <c r="D80" i="2"/>
  <c r="B80" i="2"/>
  <c r="M79" i="2"/>
  <c r="L79" i="2"/>
  <c r="K79" i="2"/>
  <c r="J79" i="2"/>
  <c r="I79" i="2"/>
  <c r="H79" i="2"/>
  <c r="G79" i="2"/>
  <c r="F79" i="2"/>
  <c r="E79" i="2"/>
  <c r="D79" i="2"/>
  <c r="B79" i="2"/>
  <c r="M78" i="2"/>
  <c r="L78" i="2"/>
  <c r="K78" i="2"/>
  <c r="J78" i="2"/>
  <c r="I78" i="2"/>
  <c r="H78" i="2"/>
  <c r="G78" i="2"/>
  <c r="F78" i="2"/>
  <c r="E78" i="2"/>
  <c r="D78" i="2"/>
  <c r="B78" i="2"/>
  <c r="M77" i="2"/>
  <c r="L77" i="2"/>
  <c r="K77" i="2"/>
  <c r="J77" i="2"/>
  <c r="I77" i="2"/>
  <c r="H77" i="2"/>
  <c r="G77" i="2"/>
  <c r="F77" i="2"/>
  <c r="E77" i="2"/>
  <c r="D77" i="2"/>
  <c r="B77" i="2"/>
  <c r="B76" i="2"/>
  <c r="M75" i="2"/>
  <c r="L75" i="2"/>
  <c r="K75" i="2"/>
  <c r="J75" i="2"/>
  <c r="I75" i="2"/>
  <c r="H75" i="2"/>
  <c r="G75" i="2"/>
  <c r="F75" i="2"/>
  <c r="E75" i="2"/>
  <c r="D75" i="2"/>
  <c r="B75" i="2"/>
  <c r="B74" i="2"/>
  <c r="H73" i="2"/>
  <c r="G73" i="2"/>
  <c r="F73" i="2"/>
  <c r="E73" i="2"/>
  <c r="D73" i="2"/>
  <c r="B73" i="2"/>
  <c r="M72" i="2"/>
  <c r="L72" i="2"/>
  <c r="K72" i="2"/>
  <c r="J72" i="2"/>
  <c r="I72" i="2"/>
  <c r="H72" i="2"/>
  <c r="G72" i="2"/>
  <c r="F72" i="2"/>
  <c r="E72" i="2"/>
  <c r="D72" i="2"/>
  <c r="B72" i="2"/>
  <c r="M71" i="2"/>
  <c r="L71" i="2"/>
  <c r="K71" i="2"/>
  <c r="J71" i="2"/>
  <c r="I71" i="2"/>
  <c r="H71" i="2"/>
  <c r="G71" i="2"/>
  <c r="F71" i="2"/>
  <c r="E71" i="2"/>
  <c r="D71" i="2"/>
  <c r="B71" i="2"/>
  <c r="M70" i="2"/>
  <c r="L70" i="2"/>
  <c r="K70" i="2"/>
  <c r="J70" i="2"/>
  <c r="I70" i="2"/>
  <c r="H70" i="2"/>
  <c r="G70" i="2"/>
  <c r="F70" i="2"/>
  <c r="E70" i="2"/>
  <c r="D70" i="2"/>
  <c r="B70" i="2"/>
  <c r="B69" i="2"/>
  <c r="M68" i="2"/>
  <c r="L68" i="2"/>
  <c r="K68" i="2"/>
  <c r="J68" i="2"/>
  <c r="I68" i="2"/>
  <c r="H68" i="2"/>
  <c r="G68" i="2"/>
  <c r="F68" i="2"/>
  <c r="E68" i="2"/>
  <c r="D68" i="2"/>
  <c r="B68" i="2"/>
  <c r="M67" i="2"/>
  <c r="L67" i="2"/>
  <c r="K67" i="2"/>
  <c r="J67" i="2"/>
  <c r="I67" i="2"/>
  <c r="H67" i="2"/>
  <c r="G67" i="2"/>
  <c r="F67" i="2"/>
  <c r="E67" i="2"/>
  <c r="D67" i="2"/>
  <c r="B67" i="2"/>
  <c r="M66" i="2"/>
  <c r="L66" i="2"/>
  <c r="K66" i="2"/>
  <c r="J66" i="2"/>
  <c r="I66" i="2"/>
  <c r="H66" i="2"/>
  <c r="G66" i="2"/>
  <c r="F66" i="2"/>
  <c r="E66" i="2"/>
  <c r="D66" i="2"/>
  <c r="B66" i="2"/>
  <c r="B65" i="2"/>
  <c r="B64" i="2"/>
  <c r="M63" i="2"/>
  <c r="L63" i="2"/>
  <c r="K63" i="2"/>
  <c r="J63" i="2"/>
  <c r="I63" i="2"/>
  <c r="H63" i="2"/>
  <c r="G63" i="2"/>
  <c r="F63" i="2"/>
  <c r="E63" i="2"/>
  <c r="D63" i="2"/>
  <c r="I62" i="2"/>
  <c r="D62" i="2"/>
  <c r="B58" i="2"/>
  <c r="B57" i="2"/>
  <c r="B56" i="2"/>
  <c r="B55" i="2"/>
  <c r="B53" i="2"/>
  <c r="B52" i="2"/>
  <c r="B51" i="2"/>
  <c r="B50" i="2"/>
  <c r="B49" i="2"/>
  <c r="B48" i="2"/>
  <c r="B47" i="2"/>
  <c r="B46" i="2"/>
  <c r="B45" i="2"/>
  <c r="B44" i="2"/>
  <c r="B43" i="2"/>
  <c r="B42" i="2"/>
  <c r="B41" i="2"/>
  <c r="B40" i="2"/>
  <c r="B39" i="2"/>
  <c r="B38" i="2"/>
  <c r="B37" i="2"/>
  <c r="B36" i="2"/>
  <c r="B35" i="2"/>
  <c r="B34" i="2"/>
  <c r="B33" i="2"/>
  <c r="C32" i="2"/>
  <c r="B32" i="2"/>
  <c r="B31" i="2"/>
  <c r="B30" i="2"/>
  <c r="B29" i="2"/>
  <c r="B28" i="2"/>
  <c r="B27" i="2"/>
  <c r="B26" i="2"/>
  <c r="B25" i="2"/>
  <c r="B24" i="2"/>
  <c r="B23" i="2"/>
  <c r="B22" i="2"/>
  <c r="B21" i="2"/>
  <c r="B20" i="2"/>
  <c r="B19" i="2"/>
  <c r="B18" i="2"/>
  <c r="B17" i="2"/>
  <c r="B16" i="2"/>
  <c r="B15" i="2"/>
  <c r="N13" i="2"/>
  <c r="C14" i="2"/>
  <c r="B14" i="2"/>
  <c r="B13" i="2"/>
  <c r="N12" i="2"/>
  <c r="M12" i="2"/>
  <c r="L12" i="2"/>
  <c r="K12" i="2"/>
  <c r="J12" i="2"/>
  <c r="I12" i="2"/>
  <c r="H12" i="2"/>
  <c r="G12" i="2"/>
  <c r="F12" i="2"/>
  <c r="E12" i="2"/>
  <c r="D12" i="2"/>
  <c r="C12" i="2"/>
  <c r="N10" i="2"/>
  <c r="N9" i="2"/>
  <c r="B8" i="2"/>
  <c r="C10" i="9" s="1"/>
  <c r="B25" i="1"/>
  <c r="D24" i="1"/>
  <c r="C24" i="1"/>
  <c r="B24" i="1"/>
  <c r="B23" i="1"/>
  <c r="B22" i="1"/>
  <c r="B13" i="1"/>
  <c r="B12" i="1"/>
  <c r="J11" i="1"/>
  <c r="I11" i="1"/>
  <c r="G10" i="1"/>
  <c r="E10" i="1"/>
  <c r="C10" i="1"/>
  <c r="J9" i="1"/>
  <c r="C9" i="9"/>
  <c r="B9" i="26"/>
  <c r="B9" i="11"/>
  <c r="B9" i="17"/>
  <c r="B9" i="24"/>
  <c r="B9" i="15"/>
  <c r="B9" i="18"/>
  <c r="B9" i="1"/>
  <c r="B9" i="12"/>
  <c r="B9" i="10"/>
  <c r="B9" i="16"/>
  <c r="B9" i="14"/>
  <c r="G32" i="10"/>
  <c r="G21" i="10"/>
  <c r="H19" i="10"/>
  <c r="F50" i="18"/>
  <c r="H30" i="10"/>
  <c r="E32" i="26"/>
  <c r="F63" i="18"/>
  <c r="F57" i="18"/>
  <c r="F51" i="18"/>
  <c r="F56" i="18"/>
  <c r="F61" i="18"/>
  <c r="H21" i="10"/>
  <c r="F49" i="18"/>
  <c r="F48" i="18"/>
  <c r="F62" i="18"/>
  <c r="F52" i="18"/>
  <c r="F58" i="18"/>
  <c r="F59" i="18"/>
  <c r="F53" i="18"/>
  <c r="F64" i="18"/>
  <c r="F54" i="18"/>
  <c r="F60" i="18"/>
  <c r="F55" i="18"/>
  <c r="F47" i="18"/>
  <c r="F34" i="18"/>
  <c r="F46" i="18"/>
  <c r="F12" i="18"/>
  <c r="F32" i="18"/>
  <c r="F15" i="18"/>
  <c r="F43" i="18"/>
  <c r="F37" i="18"/>
  <c r="F26" i="18"/>
  <c r="F20" i="18"/>
  <c r="F31" i="18"/>
  <c r="F42" i="18"/>
  <c r="F25" i="18"/>
  <c r="F19" i="18"/>
  <c r="F30" i="18"/>
  <c r="F41" i="18"/>
  <c r="F35" i="18"/>
  <c r="F18" i="18"/>
  <c r="F29" i="18"/>
  <c r="F23" i="18"/>
  <c r="F40" i="18"/>
  <c r="F45" i="18"/>
  <c r="F17" i="18"/>
  <c r="F28" i="18"/>
  <c r="F22" i="18"/>
  <c r="F39" i="18"/>
  <c r="F33" i="18"/>
  <c r="F44" i="18"/>
  <c r="F16" i="18"/>
  <c r="F21" i="18"/>
  <c r="F27" i="18"/>
  <c r="F13" i="18"/>
  <c r="F14" i="18"/>
  <c r="F36" i="18"/>
  <c r="F65" i="18"/>
  <c r="F67" i="18"/>
  <c r="AE14" i="23" l="1"/>
  <c r="AE53" i="23"/>
  <c r="AE39" i="23"/>
  <c r="AE38" i="23" s="1"/>
  <c r="D43" i="25"/>
  <c r="C183" i="25"/>
  <c r="J44" i="2"/>
  <c r="H16" i="23"/>
  <c r="H12" i="23" s="1"/>
  <c r="D33" i="26"/>
  <c r="G76" i="2"/>
  <c r="D18" i="28"/>
  <c r="K36" i="28"/>
  <c r="G13" i="12"/>
  <c r="F36" i="28"/>
  <c r="D65" i="25"/>
  <c r="D12" i="13"/>
  <c r="I14" i="28"/>
  <c r="AB31" i="23"/>
  <c r="AB27" i="23" s="1"/>
  <c r="H14" i="10"/>
  <c r="G13" i="13"/>
  <c r="AE16" i="23"/>
  <c r="N31" i="23"/>
  <c r="N27" i="23" s="1"/>
  <c r="Y16" i="23"/>
  <c r="Y12" i="23" s="1"/>
  <c r="E16" i="23"/>
  <c r="E12" i="23" s="1"/>
  <c r="J23" i="28"/>
  <c r="J21" i="28" s="1"/>
  <c r="H13" i="12"/>
  <c r="V22" i="23"/>
  <c r="V20" i="23" s="1"/>
  <c r="H31" i="23"/>
  <c r="H27" i="23" s="1"/>
  <c r="E38" i="23"/>
  <c r="E36" i="23" s="1"/>
  <c r="S38" i="23"/>
  <c r="S36" i="23" s="1"/>
  <c r="X38" i="23"/>
  <c r="X36" i="23" s="1"/>
  <c r="P38" i="23"/>
  <c r="P36" i="23" s="1"/>
  <c r="F17" i="28"/>
  <c r="K44" i="2"/>
  <c r="D40" i="28"/>
  <c r="D38" i="28" s="1"/>
  <c r="E44" i="2"/>
  <c r="F44" i="2"/>
  <c r="G44" i="2"/>
  <c r="H44" i="2"/>
  <c r="D34" i="28"/>
  <c r="E32" i="28"/>
  <c r="D23" i="28"/>
  <c r="D21" i="28" s="1"/>
  <c r="J69" i="2"/>
  <c r="C18" i="28"/>
  <c r="AD38" i="23"/>
  <c r="AD36" i="23" s="1"/>
  <c r="C59" i="13"/>
  <c r="C61" i="13" s="1"/>
  <c r="G36" i="13"/>
  <c r="F76" i="2"/>
  <c r="B76" i="12"/>
  <c r="G31" i="6"/>
  <c r="F29" i="28"/>
  <c r="F31" i="2"/>
  <c r="J31" i="2"/>
  <c r="U16" i="23"/>
  <c r="U12" i="23" s="1"/>
  <c r="H36" i="13"/>
  <c r="H31" i="6"/>
  <c r="C31" i="2"/>
  <c r="C51" i="2" s="1"/>
  <c r="C53" i="2" s="1"/>
  <c r="E69" i="2"/>
  <c r="H27" i="12"/>
  <c r="I22" i="23"/>
  <c r="I20" i="23" s="1"/>
  <c r="O22" i="23"/>
  <c r="O20" i="23" s="1"/>
  <c r="U22" i="23"/>
  <c r="U20" i="23" s="1"/>
  <c r="AA22" i="23"/>
  <c r="AA20" i="23" s="1"/>
  <c r="O31" i="23"/>
  <c r="O27" i="23" s="1"/>
  <c r="K38" i="23"/>
  <c r="K36" i="23" s="1"/>
  <c r="E25" i="28"/>
  <c r="F35" i="28"/>
  <c r="K19" i="28"/>
  <c r="L24" i="28"/>
  <c r="K30" i="28"/>
  <c r="K33" i="28"/>
  <c r="K42" i="28"/>
  <c r="K69" i="2"/>
  <c r="F38" i="23"/>
  <c r="F36" i="23" s="1"/>
  <c r="Z38" i="23"/>
  <c r="Z36" i="23" s="1"/>
  <c r="H27" i="13"/>
  <c r="I40" i="28"/>
  <c r="I38" i="28" s="1"/>
  <c r="C63" i="12"/>
  <c r="C14" i="28"/>
  <c r="H45" i="6"/>
  <c r="H24" i="6"/>
  <c r="H52" i="12"/>
  <c r="I31" i="2"/>
  <c r="G17" i="10"/>
  <c r="G31" i="23"/>
  <c r="G27" i="23" s="1"/>
  <c r="U31" i="23"/>
  <c r="U27" i="23" s="1"/>
  <c r="I38" i="23"/>
  <c r="I36" i="23" s="1"/>
  <c r="W38" i="23"/>
  <c r="W36" i="23" s="1"/>
  <c r="AC38" i="23"/>
  <c r="AC36" i="23" s="1"/>
  <c r="F33" i="28"/>
  <c r="K17" i="28"/>
  <c r="K22" i="28"/>
  <c r="K29" i="28"/>
  <c r="L32" i="28"/>
  <c r="L36" i="28"/>
  <c r="K41" i="28"/>
  <c r="H42" i="13"/>
  <c r="K83" i="2"/>
  <c r="X31" i="23"/>
  <c r="X27" i="23" s="1"/>
  <c r="M16" i="23"/>
  <c r="M12" i="23" s="1"/>
  <c r="G22" i="23"/>
  <c r="G20" i="23" s="1"/>
  <c r="M22" i="23"/>
  <c r="M20" i="23" s="1"/>
  <c r="Y22" i="23"/>
  <c r="Y20" i="23" s="1"/>
  <c r="K31" i="23"/>
  <c r="K27" i="23" s="1"/>
  <c r="S31" i="23"/>
  <c r="S27" i="23" s="1"/>
  <c r="Y31" i="23"/>
  <c r="Y27" i="23" s="1"/>
  <c r="M38" i="23"/>
  <c r="M36" i="23" s="1"/>
  <c r="U38" i="23"/>
  <c r="U36" i="23" s="1"/>
  <c r="D95" i="25"/>
  <c r="L22" i="23"/>
  <c r="L20" i="23" s="1"/>
  <c r="AD22" i="23"/>
  <c r="AD20" i="23" s="1"/>
  <c r="F32" i="28"/>
  <c r="E36" i="28"/>
  <c r="K25" i="28"/>
  <c r="G89" i="2"/>
  <c r="I16" i="23"/>
  <c r="I12" i="23" s="1"/>
  <c r="N31" i="2"/>
  <c r="N54" i="2" s="1"/>
  <c r="G17" i="6"/>
  <c r="H83" i="2"/>
  <c r="AC16" i="23"/>
  <c r="AC12" i="23" s="1"/>
  <c r="AC31" i="23"/>
  <c r="AC27" i="23" s="1"/>
  <c r="F31" i="23"/>
  <c r="F27" i="23" s="1"/>
  <c r="L31" i="23"/>
  <c r="L27" i="23" s="1"/>
  <c r="T31" i="23"/>
  <c r="T27" i="23" s="1"/>
  <c r="Z31" i="23"/>
  <c r="Z27" i="23" s="1"/>
  <c r="R38" i="23"/>
  <c r="B77" i="15"/>
  <c r="B72" i="13"/>
  <c r="G24" i="6"/>
  <c r="L34" i="28"/>
  <c r="G45" i="6"/>
  <c r="L33" i="28"/>
  <c r="G55" i="11"/>
  <c r="B60" i="6"/>
  <c r="H42" i="10"/>
  <c r="G52" i="12"/>
  <c r="G42" i="13"/>
  <c r="J16" i="23"/>
  <c r="J12" i="23" s="1"/>
  <c r="P16" i="23"/>
  <c r="V16" i="23"/>
  <c r="V12" i="23" s="1"/>
  <c r="F16" i="23"/>
  <c r="F12" i="23" s="1"/>
  <c r="R16" i="23"/>
  <c r="H22" i="23"/>
  <c r="H20" i="23" s="1"/>
  <c r="N22" i="23"/>
  <c r="N20" i="23" s="1"/>
  <c r="AB22" i="23"/>
  <c r="AB20" i="23" s="1"/>
  <c r="H18" i="13"/>
  <c r="H42" i="12"/>
  <c r="D39" i="25"/>
  <c r="I65" i="2"/>
  <c r="M97" i="2"/>
  <c r="F41" i="28"/>
  <c r="D29" i="6"/>
  <c r="L29" i="28"/>
  <c r="K32" i="28"/>
  <c r="E41" i="28"/>
  <c r="G31" i="11"/>
  <c r="D144" i="25"/>
  <c r="W31" i="23"/>
  <c r="W27" i="23" s="1"/>
  <c r="E15" i="28"/>
  <c r="G31" i="2"/>
  <c r="M44" i="2"/>
  <c r="C13" i="2"/>
  <c r="C30" i="2" s="1"/>
  <c r="G15" i="1"/>
  <c r="D46" i="14"/>
  <c r="K31" i="2"/>
  <c r="F83" i="2"/>
  <c r="D35" i="10"/>
  <c r="D59" i="10" s="1"/>
  <c r="D61" i="10" s="1"/>
  <c r="J18" i="28"/>
  <c r="I18" i="28"/>
  <c r="E29" i="28"/>
  <c r="D35" i="13"/>
  <c r="H31" i="2"/>
  <c r="C55" i="6"/>
  <c r="D12" i="12"/>
  <c r="D34" i="12" s="1"/>
  <c r="N16" i="23"/>
  <c r="N12" i="23" s="1"/>
  <c r="Z16" i="23"/>
  <c r="Z12" i="23" s="1"/>
  <c r="X22" i="23"/>
  <c r="X20" i="23" s="1"/>
  <c r="F22" i="1"/>
  <c r="L30" i="28"/>
  <c r="L22" i="28"/>
  <c r="L17" i="28"/>
  <c r="K97" i="2"/>
  <c r="K24" i="28"/>
  <c r="E17" i="28"/>
  <c r="C55" i="2"/>
  <c r="D50" i="12"/>
  <c r="D63" i="12" s="1"/>
  <c r="G38" i="23"/>
  <c r="G36" i="23" s="1"/>
  <c r="E31" i="28"/>
  <c r="I28" i="28"/>
  <c r="I27" i="28" s="1"/>
  <c r="F89" i="2"/>
  <c r="D18" i="10"/>
  <c r="G18" i="10" s="1"/>
  <c r="H13" i="6"/>
  <c r="G26" i="11"/>
  <c r="C62" i="11"/>
  <c r="K89" i="2"/>
  <c r="X16" i="23"/>
  <c r="X12" i="23" s="1"/>
  <c r="AD16" i="23"/>
  <c r="AD12" i="23" s="1"/>
  <c r="J22" i="23"/>
  <c r="J20" i="23" s="1"/>
  <c r="P22" i="23"/>
  <c r="P20" i="23" s="1"/>
  <c r="F97" i="2"/>
  <c r="F69" i="2"/>
  <c r="F30" i="26"/>
  <c r="E35" i="28"/>
  <c r="G16" i="23"/>
  <c r="G12" i="23" s="1"/>
  <c r="I69" i="2"/>
  <c r="H89" i="2"/>
  <c r="G18" i="13"/>
  <c r="K37" i="28"/>
  <c r="L41" i="28"/>
  <c r="J40" i="28"/>
  <c r="K20" i="28"/>
  <c r="L19" i="28"/>
  <c r="L15" i="28"/>
  <c r="S22" i="23"/>
  <c r="S20" i="23" s="1"/>
  <c r="Q16" i="23"/>
  <c r="Q12" i="23" s="1"/>
  <c r="O38" i="23"/>
  <c r="O36" i="23" s="1"/>
  <c r="K22" i="23"/>
  <c r="K20" i="23" s="1"/>
  <c r="W22" i="23"/>
  <c r="W20" i="23" s="1"/>
  <c r="AA31" i="23"/>
  <c r="AA27" i="23" s="1"/>
  <c r="AB16" i="23"/>
  <c r="AB12" i="23" s="1"/>
  <c r="P31" i="23"/>
  <c r="P27" i="23" s="1"/>
  <c r="AD31" i="23"/>
  <c r="AD27" i="23" s="1"/>
  <c r="E22" i="23"/>
  <c r="E20" i="23" s="1"/>
  <c r="H38" i="23"/>
  <c r="H36" i="23" s="1"/>
  <c r="V38" i="23"/>
  <c r="V36" i="23" s="1"/>
  <c r="R22" i="23"/>
  <c r="R20" i="23" s="1"/>
  <c r="J38" i="23"/>
  <c r="J36" i="23" s="1"/>
  <c r="I31" i="23"/>
  <c r="I27" i="23" s="1"/>
  <c r="Y38" i="23"/>
  <c r="Y36" i="23" s="1"/>
  <c r="AA38" i="23"/>
  <c r="AA36" i="23" s="1"/>
  <c r="Q31" i="23"/>
  <c r="Q38" i="23"/>
  <c r="Q36" i="23" s="1"/>
  <c r="H36" i="11"/>
  <c r="H17" i="10"/>
  <c r="H52" i="13"/>
  <c r="G52" i="13"/>
  <c r="G50" i="13"/>
  <c r="H50" i="12"/>
  <c r="G43" i="6"/>
  <c r="J97" i="2"/>
  <c r="J83" i="2"/>
  <c r="M23" i="2"/>
  <c r="M65" i="2"/>
  <c r="H22" i="1"/>
  <c r="AE22" i="23"/>
  <c r="S16" i="23"/>
  <c r="S12" i="23" s="1"/>
  <c r="H29" i="10"/>
  <c r="H26" i="10"/>
  <c r="H40" i="11"/>
  <c r="H22" i="10"/>
  <c r="H15" i="10"/>
  <c r="H17" i="11"/>
  <c r="Q22" i="23"/>
  <c r="Q20" i="23" s="1"/>
  <c r="H25" i="13"/>
  <c r="G27" i="12"/>
  <c r="H37" i="6"/>
  <c r="G37" i="6"/>
  <c r="G13" i="6"/>
  <c r="H97" i="2"/>
  <c r="D65" i="2"/>
  <c r="F39" i="28"/>
  <c r="D28" i="28"/>
  <c r="E20" i="28"/>
  <c r="I76" i="2"/>
  <c r="D76" i="2"/>
  <c r="E65" i="2"/>
  <c r="E97" i="2"/>
  <c r="C40" i="28"/>
  <c r="C38" i="28" s="1"/>
  <c r="L97" i="2"/>
  <c r="E42" i="28"/>
  <c r="E39" i="28"/>
  <c r="E37" i="28"/>
  <c r="M89" i="2"/>
  <c r="C34" i="28"/>
  <c r="J89" i="2"/>
  <c r="L89" i="2"/>
  <c r="E33" i="28"/>
  <c r="F31" i="28"/>
  <c r="E31" i="2"/>
  <c r="E83" i="2"/>
  <c r="M76" i="2"/>
  <c r="L76" i="2"/>
  <c r="K76" i="2"/>
  <c r="F22" i="28"/>
  <c r="E22" i="28"/>
  <c r="H69" i="2"/>
  <c r="M69" i="2"/>
  <c r="E19" i="28"/>
  <c r="J65" i="2"/>
  <c r="M13" i="2"/>
  <c r="K65" i="2"/>
  <c r="F65" i="2"/>
  <c r="E16" i="28"/>
  <c r="H65" i="2"/>
  <c r="N55" i="2"/>
  <c r="N30" i="2"/>
  <c r="I23" i="28"/>
  <c r="I21" i="28" s="1"/>
  <c r="E24" i="28"/>
  <c r="F24" i="28"/>
  <c r="E30" i="28"/>
  <c r="F30" i="28"/>
  <c r="K16" i="28"/>
  <c r="L16" i="28"/>
  <c r="J28" i="28"/>
  <c r="K31" i="28"/>
  <c r="L31" i="28"/>
  <c r="K35" i="28"/>
  <c r="L35" i="28"/>
  <c r="K39" i="28"/>
  <c r="L39" i="28"/>
  <c r="H18" i="10"/>
  <c r="G28" i="10"/>
  <c r="H28" i="10"/>
  <c r="G36" i="12"/>
  <c r="H36" i="12"/>
  <c r="H26" i="11"/>
  <c r="D89" i="2"/>
  <c r="D31" i="2"/>
  <c r="K34" i="28"/>
  <c r="G22" i="6"/>
  <c r="G46" i="11"/>
  <c r="H46" i="11"/>
  <c r="E30" i="26"/>
  <c r="L69" i="2"/>
  <c r="G69" i="2"/>
  <c r="E76" i="2"/>
  <c r="J76" i="2"/>
  <c r="D97" i="2"/>
  <c r="D44" i="2"/>
  <c r="I89" i="2"/>
  <c r="D25" i="25"/>
  <c r="J14" i="28"/>
  <c r="K15" i="28"/>
  <c r="G97" i="2"/>
  <c r="L44" i="2"/>
  <c r="H13" i="13"/>
  <c r="C63" i="13"/>
  <c r="H18" i="12"/>
  <c r="G20" i="10"/>
  <c r="E89" i="2"/>
  <c r="F16" i="28"/>
  <c r="D30" i="6"/>
  <c r="D50" i="6" s="1"/>
  <c r="D53" i="6" s="1"/>
  <c r="C50" i="6"/>
  <c r="C53" i="6" s="1"/>
  <c r="H50" i="10"/>
  <c r="H52" i="10"/>
  <c r="C59" i="12"/>
  <c r="C61" i="12" s="1"/>
  <c r="D14" i="28"/>
  <c r="F15" i="28"/>
  <c r="B71" i="11"/>
  <c r="B72" i="12"/>
  <c r="B70" i="16"/>
  <c r="G42" i="10"/>
  <c r="T16" i="23"/>
  <c r="T12" i="23" s="1"/>
  <c r="T38" i="23"/>
  <c r="T36" i="23" s="1"/>
  <c r="D69" i="2"/>
  <c r="C23" i="28"/>
  <c r="C21" i="28" s="1"/>
  <c r="H76" i="2"/>
  <c r="I17" i="6"/>
  <c r="B9" i="21"/>
  <c r="B9" i="2"/>
  <c r="B10" i="28" s="1"/>
  <c r="B61" i="2"/>
  <c r="B9" i="6"/>
  <c r="B9" i="13"/>
  <c r="B9" i="20"/>
  <c r="D55" i="6"/>
  <c r="J31" i="23"/>
  <c r="J27" i="23" s="1"/>
  <c r="D38" i="25"/>
  <c r="C63" i="10"/>
  <c r="H17" i="6"/>
  <c r="G16" i="10"/>
  <c r="AA16" i="23"/>
  <c r="AA12" i="23" s="1"/>
  <c r="AB38" i="23"/>
  <c r="AB36" i="23" s="1"/>
  <c r="D50" i="25"/>
  <c r="C28" i="28"/>
  <c r="I97" i="2"/>
  <c r="I44" i="2"/>
  <c r="H22" i="6"/>
  <c r="G27" i="13"/>
  <c r="O16" i="23"/>
  <c r="O12" i="23" s="1"/>
  <c r="F22" i="23"/>
  <c r="F20" i="23" s="1"/>
  <c r="AC22" i="23"/>
  <c r="AC20" i="23" s="1"/>
  <c r="V31" i="23"/>
  <c r="V27" i="23" s="1"/>
  <c r="F19" i="28"/>
  <c r="H50" i="13"/>
  <c r="C59" i="10"/>
  <c r="C61" i="10" s="1"/>
  <c r="G18" i="12"/>
  <c r="L16" i="23"/>
  <c r="L12" i="23" s="1"/>
  <c r="E31" i="23"/>
  <c r="H20" i="10"/>
  <c r="G31" i="10"/>
  <c r="G40" i="11"/>
  <c r="H55" i="11"/>
  <c r="W16" i="23"/>
  <c r="W12" i="23" s="1"/>
  <c r="T22" i="23"/>
  <c r="T20" i="23" s="1"/>
  <c r="Z22" i="23"/>
  <c r="Z20" i="23" s="1"/>
  <c r="N38" i="23"/>
  <c r="N36" i="23" s="1"/>
  <c r="L38" i="23"/>
  <c r="L36" i="23" s="1"/>
  <c r="G19" i="10"/>
  <c r="I53" i="12"/>
  <c r="M83" i="2"/>
  <c r="M31" i="2"/>
  <c r="H31" i="11"/>
  <c r="G30" i="10"/>
  <c r="D27" i="10"/>
  <c r="H43" i="6"/>
  <c r="H53" i="11"/>
  <c r="G53" i="11"/>
  <c r="C54" i="6"/>
  <c r="C29" i="6"/>
  <c r="G17" i="11"/>
  <c r="G15" i="10"/>
  <c r="G83" i="2"/>
  <c r="L31" i="2"/>
  <c r="L83" i="2"/>
  <c r="B8" i="28"/>
  <c r="D12" i="11"/>
  <c r="G14" i="10"/>
  <c r="D30" i="11"/>
  <c r="G65" i="2"/>
  <c r="L65" i="2"/>
  <c r="K16" i="23"/>
  <c r="K12" i="23" s="1"/>
  <c r="H36" i="10"/>
  <c r="G36" i="10"/>
  <c r="E22" i="1"/>
  <c r="H16" i="10"/>
  <c r="M31" i="23"/>
  <c r="M27" i="23" s="1"/>
  <c r="D35" i="12"/>
  <c r="G42" i="12"/>
  <c r="D83" i="2"/>
  <c r="I83" i="2"/>
  <c r="G52" i="10"/>
  <c r="H13" i="11"/>
  <c r="G36" i="11"/>
  <c r="G13" i="11"/>
  <c r="D25" i="13"/>
  <c r="AE12" i="23" l="1"/>
  <c r="P12" i="23"/>
  <c r="G28" i="26"/>
  <c r="AE20" i="23"/>
  <c r="G14" i="26"/>
  <c r="G12" i="26"/>
  <c r="G22" i="1"/>
  <c r="J22" i="1" s="1"/>
  <c r="G16" i="26"/>
  <c r="G21" i="26"/>
  <c r="G24" i="26"/>
  <c r="G17" i="26"/>
  <c r="G15" i="26"/>
  <c r="G25" i="26"/>
  <c r="G20" i="26"/>
  <c r="G22" i="26"/>
  <c r="G18" i="26"/>
  <c r="G26" i="26"/>
  <c r="G13" i="26"/>
  <c r="G29" i="26"/>
  <c r="G23" i="26"/>
  <c r="G19" i="26"/>
  <c r="F33" i="26"/>
  <c r="G27" i="26"/>
  <c r="E33" i="26"/>
  <c r="F18" i="28"/>
  <c r="F95" i="2"/>
  <c r="K95" i="2"/>
  <c r="H55" i="2"/>
  <c r="G12" i="13"/>
  <c r="D62" i="13"/>
  <c r="C13" i="28"/>
  <c r="C26" i="28" s="1"/>
  <c r="G15" i="28" s="1"/>
  <c r="C51" i="6"/>
  <c r="C56" i="6" s="1"/>
  <c r="I74" i="2"/>
  <c r="F34" i="28"/>
  <c r="L18" i="28"/>
  <c r="G74" i="2"/>
  <c r="S42" i="23"/>
  <c r="S46" i="23"/>
  <c r="E95" i="2"/>
  <c r="J95" i="2"/>
  <c r="J55" i="2"/>
  <c r="E18" i="28"/>
  <c r="E64" i="2"/>
  <c r="C62" i="13"/>
  <c r="C60" i="12"/>
  <c r="T45" i="23"/>
  <c r="W26" i="23"/>
  <c r="Q27" i="23"/>
  <c r="Q42" i="23" s="1"/>
  <c r="I26" i="23"/>
  <c r="I96" i="23" s="1"/>
  <c r="R31" i="23"/>
  <c r="N45" i="23"/>
  <c r="G45" i="23"/>
  <c r="L46" i="23"/>
  <c r="H42" i="23"/>
  <c r="H48" i="23" s="1"/>
  <c r="N51" i="2"/>
  <c r="N53" i="2" s="1"/>
  <c r="N56" i="2" s="1"/>
  <c r="F55" i="2"/>
  <c r="D27" i="28"/>
  <c r="D43" i="28" s="1"/>
  <c r="D45" i="28" s="1"/>
  <c r="J51" i="2"/>
  <c r="D74" i="2"/>
  <c r="F64" i="2"/>
  <c r="K54" i="2"/>
  <c r="G25" i="12"/>
  <c r="I51" i="2"/>
  <c r="H95" i="2"/>
  <c r="D55" i="2"/>
  <c r="H51" i="2"/>
  <c r="I82" i="2"/>
  <c r="E82" i="2"/>
  <c r="K51" i="2"/>
  <c r="G51" i="2"/>
  <c r="F51" i="2"/>
  <c r="L74" i="2"/>
  <c r="G55" i="2"/>
  <c r="J74" i="2"/>
  <c r="K55" i="2"/>
  <c r="D54" i="2"/>
  <c r="D30" i="2"/>
  <c r="M30" i="2"/>
  <c r="J64" i="2"/>
  <c r="L30" i="2"/>
  <c r="K64" i="2"/>
  <c r="I30" i="2"/>
  <c r="H30" i="6"/>
  <c r="H35" i="13"/>
  <c r="M46" i="23"/>
  <c r="K40" i="28"/>
  <c r="Y45" i="23"/>
  <c r="E27" i="23"/>
  <c r="E42" i="23" s="1"/>
  <c r="E97" i="23" s="1"/>
  <c r="I13" i="28"/>
  <c r="I26" i="28" s="1"/>
  <c r="H46" i="23"/>
  <c r="K42" i="23"/>
  <c r="K97" i="23" s="1"/>
  <c r="M26" i="23"/>
  <c r="M96" i="23" s="1"/>
  <c r="O42" i="23"/>
  <c r="O48" i="23" s="1"/>
  <c r="AD46" i="23"/>
  <c r="AD26" i="23"/>
  <c r="AE31" i="23"/>
  <c r="I56" i="10"/>
  <c r="I55" i="10"/>
  <c r="I52" i="10"/>
  <c r="W42" i="23"/>
  <c r="W48" i="23" s="1"/>
  <c r="P46" i="23"/>
  <c r="J30" i="2"/>
  <c r="Y26" i="23"/>
  <c r="J54" i="2"/>
  <c r="C54" i="2"/>
  <c r="F54" i="2"/>
  <c r="W46" i="23"/>
  <c r="O46" i="23"/>
  <c r="AA46" i="23"/>
  <c r="G26" i="23"/>
  <c r="G96" i="23" s="1"/>
  <c r="U46" i="23"/>
  <c r="D59" i="13"/>
  <c r="D61" i="13" s="1"/>
  <c r="X42" i="23"/>
  <c r="X48" i="23" s="1"/>
  <c r="Y46" i="23"/>
  <c r="U26" i="23"/>
  <c r="F42" i="23"/>
  <c r="F48" i="23" s="1"/>
  <c r="I47" i="28"/>
  <c r="D51" i="6"/>
  <c r="D56" i="6" s="1"/>
  <c r="C34" i="10"/>
  <c r="C60" i="10" s="1"/>
  <c r="C64" i="10" s="1"/>
  <c r="L45" i="23"/>
  <c r="D54" i="6"/>
  <c r="AC46" i="23"/>
  <c r="H12" i="11"/>
  <c r="U45" i="23"/>
  <c r="AD45" i="23"/>
  <c r="G30" i="6"/>
  <c r="F46" i="23"/>
  <c r="J26" i="23"/>
  <c r="J96" i="23" s="1"/>
  <c r="AA45" i="23"/>
  <c r="J45" i="23"/>
  <c r="E46" i="23"/>
  <c r="H25" i="12"/>
  <c r="N42" i="23"/>
  <c r="X45" i="23"/>
  <c r="F82" i="2"/>
  <c r="Z45" i="23"/>
  <c r="F74" i="2"/>
  <c r="C62" i="12"/>
  <c r="C27" i="28"/>
  <c r="V26" i="23"/>
  <c r="Z42" i="23"/>
  <c r="Z48" i="23" s="1"/>
  <c r="K82" i="2"/>
  <c r="N46" i="23"/>
  <c r="C60" i="13"/>
  <c r="C70" i="13" s="1"/>
  <c r="F28" i="28"/>
  <c r="K74" i="2"/>
  <c r="L64" i="2"/>
  <c r="L54" i="2"/>
  <c r="I42" i="10"/>
  <c r="K30" i="2"/>
  <c r="M95" i="2"/>
  <c r="M55" i="2"/>
  <c r="D82" i="2"/>
  <c r="E34" i="28"/>
  <c r="H54" i="2"/>
  <c r="H74" i="2"/>
  <c r="M74" i="2"/>
  <c r="F30" i="2"/>
  <c r="I54" i="10"/>
  <c r="I44" i="10"/>
  <c r="G50" i="12"/>
  <c r="K18" i="28"/>
  <c r="G50" i="10"/>
  <c r="I38" i="10"/>
  <c r="D59" i="12"/>
  <c r="D61" i="12" s="1"/>
  <c r="Z26" i="23"/>
  <c r="I41" i="10"/>
  <c r="E28" i="28"/>
  <c r="G42" i="23"/>
  <c r="G48" i="23" s="1"/>
  <c r="I43" i="10"/>
  <c r="J46" i="23"/>
  <c r="K46" i="23"/>
  <c r="AC42" i="23"/>
  <c r="L40" i="28"/>
  <c r="J38" i="28"/>
  <c r="J47" i="28" s="1"/>
  <c r="I45" i="23"/>
  <c r="N26" i="23"/>
  <c r="G12" i="1"/>
  <c r="L23" i="28"/>
  <c r="K23" i="28"/>
  <c r="U42" i="23"/>
  <c r="U48" i="23" s="1"/>
  <c r="AC45" i="23"/>
  <c r="F26" i="23"/>
  <c r="F96" i="23" s="1"/>
  <c r="AB42" i="23"/>
  <c r="G46" i="23"/>
  <c r="X46" i="23"/>
  <c r="R36" i="23"/>
  <c r="R46" i="23" s="1"/>
  <c r="X26" i="23"/>
  <c r="Y42" i="23"/>
  <c r="L42" i="23"/>
  <c r="I42" i="23"/>
  <c r="I48" i="23" s="1"/>
  <c r="F45" i="23"/>
  <c r="I51" i="10"/>
  <c r="E54" i="2"/>
  <c r="E51" i="2"/>
  <c r="I64" i="2"/>
  <c r="AB26" i="23"/>
  <c r="AB46" i="23"/>
  <c r="F62" i="11"/>
  <c r="H30" i="11"/>
  <c r="I25" i="13"/>
  <c r="I56" i="12"/>
  <c r="I57" i="10"/>
  <c r="I40" i="10"/>
  <c r="I36" i="10"/>
  <c r="I48" i="10"/>
  <c r="I39" i="10"/>
  <c r="I45" i="10"/>
  <c r="I37" i="10"/>
  <c r="I53" i="10"/>
  <c r="I46" i="10"/>
  <c r="I47" i="10"/>
  <c r="I50" i="10"/>
  <c r="G50" i="6"/>
  <c r="I30" i="6"/>
  <c r="G53" i="6"/>
  <c r="H13" i="1"/>
  <c r="G12" i="6"/>
  <c r="E13" i="1"/>
  <c r="I20" i="6"/>
  <c r="I18" i="6"/>
  <c r="I19" i="6"/>
  <c r="I23" i="6"/>
  <c r="Q46" i="23"/>
  <c r="H64" i="2"/>
  <c r="F38" i="28"/>
  <c r="I95" i="2"/>
  <c r="D47" i="28"/>
  <c r="M54" i="2"/>
  <c r="M64" i="2"/>
  <c r="I54" i="2"/>
  <c r="D64" i="2"/>
  <c r="F40" i="28"/>
  <c r="E40" i="28"/>
  <c r="E38" i="28"/>
  <c r="J82" i="2"/>
  <c r="F21" i="28"/>
  <c r="F23" i="28"/>
  <c r="E23" i="28"/>
  <c r="C47" i="28"/>
  <c r="E30" i="2"/>
  <c r="E55" i="2"/>
  <c r="E74" i="2"/>
  <c r="H30" i="2"/>
  <c r="T42" i="23"/>
  <c r="AE36" i="23"/>
  <c r="T46" i="23"/>
  <c r="I43" i="13"/>
  <c r="I54" i="13"/>
  <c r="I53" i="13"/>
  <c r="I45" i="13"/>
  <c r="I51" i="13"/>
  <c r="I44" i="13"/>
  <c r="I38" i="13"/>
  <c r="I47" i="13"/>
  <c r="I56" i="13"/>
  <c r="I55" i="13"/>
  <c r="I42" i="13"/>
  <c r="I46" i="13"/>
  <c r="I52" i="13"/>
  <c r="I41" i="13"/>
  <c r="I50" i="13"/>
  <c r="I48" i="13"/>
  <c r="I40" i="13"/>
  <c r="I36" i="13"/>
  <c r="I57" i="13"/>
  <c r="I37" i="13"/>
  <c r="I39" i="13"/>
  <c r="F12" i="1"/>
  <c r="I36" i="12"/>
  <c r="AB45" i="23"/>
  <c r="I46" i="23"/>
  <c r="D13" i="10"/>
  <c r="AA26" i="23"/>
  <c r="I35" i="13"/>
  <c r="G35" i="13"/>
  <c r="H59" i="13"/>
  <c r="T26" i="23"/>
  <c r="G12" i="12"/>
  <c r="AC26" i="23"/>
  <c r="H27" i="10"/>
  <c r="D60" i="12"/>
  <c r="D70" i="12" s="1"/>
  <c r="V45" i="23"/>
  <c r="V42" i="23"/>
  <c r="H12" i="13"/>
  <c r="J13" i="28"/>
  <c r="K14" i="28"/>
  <c r="L14" i="28"/>
  <c r="Z46" i="23"/>
  <c r="I48" i="12"/>
  <c r="I25" i="12"/>
  <c r="H26" i="23"/>
  <c r="H96" i="23" s="1"/>
  <c r="H45" i="23"/>
  <c r="H12" i="6"/>
  <c r="I12" i="6"/>
  <c r="G35" i="12"/>
  <c r="I50" i="12"/>
  <c r="E26" i="23"/>
  <c r="E96" i="23" s="1"/>
  <c r="O45" i="23"/>
  <c r="O26" i="23"/>
  <c r="D95" i="2"/>
  <c r="I55" i="2"/>
  <c r="E14" i="28"/>
  <c r="D13" i="28"/>
  <c r="F14" i="28"/>
  <c r="G95" i="2"/>
  <c r="L55" i="2"/>
  <c r="L95" i="2"/>
  <c r="L28" i="28"/>
  <c r="J27" i="28"/>
  <c r="K28" i="28"/>
  <c r="I47" i="12"/>
  <c r="I57" i="12"/>
  <c r="I54" i="12"/>
  <c r="I38" i="12"/>
  <c r="I46" i="12"/>
  <c r="I43" i="12"/>
  <c r="I51" i="12"/>
  <c r="I52" i="12"/>
  <c r="I37" i="12"/>
  <c r="I41" i="12"/>
  <c r="I55" i="12"/>
  <c r="I42" i="12"/>
  <c r="I40" i="12"/>
  <c r="V46" i="23"/>
  <c r="L26" i="23"/>
  <c r="L96" i="23" s="1"/>
  <c r="I39" i="12"/>
  <c r="I44" i="12"/>
  <c r="H35" i="12"/>
  <c r="I35" i="12"/>
  <c r="I16" i="6"/>
  <c r="I26" i="6"/>
  <c r="I24" i="6"/>
  <c r="I15" i="6"/>
  <c r="I27" i="6"/>
  <c r="I25" i="6"/>
  <c r="I13" i="6"/>
  <c r="I14" i="6"/>
  <c r="D51" i="2"/>
  <c r="AA42" i="23"/>
  <c r="I22" i="6"/>
  <c r="D62" i="12"/>
  <c r="W45" i="23"/>
  <c r="I45" i="12"/>
  <c r="P42" i="23"/>
  <c r="AD42" i="23"/>
  <c r="E21" i="28"/>
  <c r="L21" i="28"/>
  <c r="K21" i="28"/>
  <c r="I43" i="28"/>
  <c r="C56" i="2"/>
  <c r="C52" i="2"/>
  <c r="M42" i="23"/>
  <c r="M45" i="23"/>
  <c r="G35" i="10"/>
  <c r="H15" i="1"/>
  <c r="J15" i="1" s="1"/>
  <c r="I35" i="10"/>
  <c r="H35" i="10"/>
  <c r="G27" i="10"/>
  <c r="D25" i="10"/>
  <c r="S45" i="23"/>
  <c r="S26" i="23"/>
  <c r="Q26" i="23"/>
  <c r="G64" i="2"/>
  <c r="G54" i="2"/>
  <c r="G30" i="2"/>
  <c r="H23" i="10"/>
  <c r="G23" i="10"/>
  <c r="G30" i="11"/>
  <c r="D29" i="11"/>
  <c r="D62" i="11" s="1"/>
  <c r="G12" i="11"/>
  <c r="E62" i="11"/>
  <c r="I22" i="1"/>
  <c r="D30" i="14"/>
  <c r="H82" i="2"/>
  <c r="M51" i="2"/>
  <c r="M82" i="2"/>
  <c r="AE27" i="23"/>
  <c r="L51" i="2"/>
  <c r="L82" i="2"/>
  <c r="G82" i="2"/>
  <c r="J42" i="23"/>
  <c r="D63" i="13"/>
  <c r="D60" i="13"/>
  <c r="G25" i="13"/>
  <c r="D34" i="13"/>
  <c r="K26" i="23"/>
  <c r="K45" i="23"/>
  <c r="R26" i="23" l="1"/>
  <c r="P45" i="23"/>
  <c r="G62" i="11"/>
  <c r="H62" i="11"/>
  <c r="I30" i="11"/>
  <c r="I60" i="11"/>
  <c r="AE46" i="23"/>
  <c r="C64" i="12"/>
  <c r="C70" i="12"/>
  <c r="D12" i="10"/>
  <c r="G12" i="10" s="1"/>
  <c r="G13" i="10"/>
  <c r="F23" i="1"/>
  <c r="E15" i="1"/>
  <c r="I13" i="10"/>
  <c r="I12" i="10"/>
  <c r="H97" i="23"/>
  <c r="G23" i="1"/>
  <c r="E23" i="1"/>
  <c r="H53" i="2"/>
  <c r="G25" i="1"/>
  <c r="C46" i="28"/>
  <c r="D22" i="1"/>
  <c r="C22" i="1"/>
  <c r="S48" i="23"/>
  <c r="K48" i="23"/>
  <c r="U43" i="23"/>
  <c r="N52" i="2"/>
  <c r="K53" i="2"/>
  <c r="J53" i="2"/>
  <c r="I53" i="2"/>
  <c r="D47" i="14"/>
  <c r="D50" i="14" s="1"/>
  <c r="Y43" i="23"/>
  <c r="W43" i="23"/>
  <c r="W47" i="23" s="1"/>
  <c r="N48" i="23"/>
  <c r="I52" i="2"/>
  <c r="E53" i="2"/>
  <c r="F102" i="2"/>
  <c r="F25" i="1"/>
  <c r="Q45" i="23"/>
  <c r="G34" i="12"/>
  <c r="F13" i="1"/>
  <c r="I13" i="1" s="1"/>
  <c r="C12" i="1"/>
  <c r="H12" i="1"/>
  <c r="J12" i="1" s="1"/>
  <c r="K102" i="2"/>
  <c r="J102" i="2"/>
  <c r="G53" i="2"/>
  <c r="D102" i="2"/>
  <c r="F53" i="2"/>
  <c r="F106" i="2"/>
  <c r="G21" i="28"/>
  <c r="D106" i="2"/>
  <c r="H106" i="2"/>
  <c r="G106" i="2"/>
  <c r="E106" i="2"/>
  <c r="D105" i="2"/>
  <c r="L81" i="2"/>
  <c r="D81" i="2"/>
  <c r="F105" i="2"/>
  <c r="F52" i="2"/>
  <c r="I81" i="2"/>
  <c r="K52" i="2"/>
  <c r="E25" i="1"/>
  <c r="G105" i="2"/>
  <c r="K81" i="2"/>
  <c r="I46" i="28"/>
  <c r="C64" i="13"/>
  <c r="G23" i="28"/>
  <c r="J52" i="2"/>
  <c r="E102" i="2"/>
  <c r="I43" i="23"/>
  <c r="I47" i="23" s="1"/>
  <c r="H29" i="6"/>
  <c r="AD43" i="23"/>
  <c r="AD47" i="23" s="1"/>
  <c r="V43" i="23"/>
  <c r="V47" i="23" s="1"/>
  <c r="G16" i="28"/>
  <c r="E105" i="2"/>
  <c r="E45" i="23"/>
  <c r="X43" i="23"/>
  <c r="G19" i="28"/>
  <c r="I18" i="12"/>
  <c r="R42" i="23"/>
  <c r="P43" i="23"/>
  <c r="P47" i="23" s="1"/>
  <c r="G61" i="12"/>
  <c r="E81" i="2"/>
  <c r="C62" i="10"/>
  <c r="Z43" i="23"/>
  <c r="Z47" i="23" s="1"/>
  <c r="G29" i="6"/>
  <c r="I38" i="6"/>
  <c r="E52" i="2"/>
  <c r="F97" i="23"/>
  <c r="K47" i="28"/>
  <c r="AB48" i="23"/>
  <c r="I44" i="6"/>
  <c r="J43" i="23"/>
  <c r="J94" i="23" s="1"/>
  <c r="I53" i="6"/>
  <c r="I31" i="6"/>
  <c r="I40" i="6"/>
  <c r="C43" i="28"/>
  <c r="G27" i="28" s="1"/>
  <c r="F27" i="28"/>
  <c r="E48" i="23"/>
  <c r="G22" i="28"/>
  <c r="G14" i="28"/>
  <c r="AC48" i="23"/>
  <c r="F43" i="23"/>
  <c r="F47" i="23" s="1"/>
  <c r="E27" i="28"/>
  <c r="G17" i="28"/>
  <c r="H105" i="2"/>
  <c r="N43" i="23"/>
  <c r="N47" i="23" s="1"/>
  <c r="G18" i="28"/>
  <c r="G24" i="28"/>
  <c r="F81" i="2"/>
  <c r="J81" i="2"/>
  <c r="D64" i="12"/>
  <c r="O43" i="23"/>
  <c r="G43" i="23"/>
  <c r="K38" i="28"/>
  <c r="E47" i="28"/>
  <c r="L38" i="28"/>
  <c r="G97" i="23"/>
  <c r="AA43" i="23"/>
  <c r="E12" i="1"/>
  <c r="I12" i="1" s="1"/>
  <c r="E43" i="23"/>
  <c r="E94" i="23" s="1"/>
  <c r="I97" i="23"/>
  <c r="L43" i="23"/>
  <c r="L95" i="23" s="1"/>
  <c r="L97" i="23"/>
  <c r="L48" i="23"/>
  <c r="Y48" i="23"/>
  <c r="Q48" i="23"/>
  <c r="I31" i="13"/>
  <c r="I13" i="13"/>
  <c r="G34" i="13"/>
  <c r="M81" i="2"/>
  <c r="H52" i="2"/>
  <c r="AE42" i="23"/>
  <c r="AB43" i="23"/>
  <c r="AB47" i="23" s="1"/>
  <c r="H29" i="11"/>
  <c r="I29" i="11"/>
  <c r="I27" i="13"/>
  <c r="I16" i="13"/>
  <c r="I15" i="13"/>
  <c r="I20" i="13"/>
  <c r="I23" i="13"/>
  <c r="I32" i="13"/>
  <c r="I14" i="13"/>
  <c r="I18" i="13"/>
  <c r="I21" i="13"/>
  <c r="I17" i="13"/>
  <c r="H34" i="13"/>
  <c r="I28" i="13"/>
  <c r="I12" i="13"/>
  <c r="I19" i="13"/>
  <c r="I22" i="13"/>
  <c r="I30" i="13"/>
  <c r="I29" i="13"/>
  <c r="I26" i="13"/>
  <c r="H61" i="12"/>
  <c r="H59" i="12"/>
  <c r="G59" i="12"/>
  <c r="I12" i="12"/>
  <c r="I26" i="12"/>
  <c r="I22" i="12"/>
  <c r="I30" i="12"/>
  <c r="I28" i="12"/>
  <c r="I16" i="12"/>
  <c r="I21" i="12"/>
  <c r="I31" i="12"/>
  <c r="I13" i="12"/>
  <c r="I17" i="12"/>
  <c r="H34" i="12"/>
  <c r="I15" i="12"/>
  <c r="I29" i="12"/>
  <c r="I14" i="12"/>
  <c r="I19" i="12"/>
  <c r="I32" i="12"/>
  <c r="I20" i="12"/>
  <c r="I23" i="12"/>
  <c r="I27" i="12"/>
  <c r="I39" i="6"/>
  <c r="I46" i="6"/>
  <c r="I41" i="6"/>
  <c r="I47" i="6"/>
  <c r="I37" i="6"/>
  <c r="I36" i="6"/>
  <c r="I32" i="6"/>
  <c r="H50" i="6"/>
  <c r="I43" i="6"/>
  <c r="G13" i="1"/>
  <c r="J13" i="1" s="1"/>
  <c r="I34" i="6"/>
  <c r="I33" i="6"/>
  <c r="I48" i="6"/>
  <c r="I35" i="6"/>
  <c r="I45" i="6"/>
  <c r="I102" i="2"/>
  <c r="H81" i="2"/>
  <c r="AD48" i="23"/>
  <c r="J43" i="28"/>
  <c r="J45" i="28" s="1"/>
  <c r="K27" i="28"/>
  <c r="L27" i="28"/>
  <c r="D26" i="28"/>
  <c r="F13" i="28"/>
  <c r="E13" i="28"/>
  <c r="D46" i="28"/>
  <c r="G13" i="28"/>
  <c r="AC43" i="23"/>
  <c r="T43" i="23"/>
  <c r="G81" i="2"/>
  <c r="H43" i="23"/>
  <c r="H94" i="23" s="1"/>
  <c r="P48" i="23"/>
  <c r="V48" i="23"/>
  <c r="G59" i="13"/>
  <c r="G61" i="13"/>
  <c r="G29" i="11"/>
  <c r="K13" i="28"/>
  <c r="J46" i="28"/>
  <c r="L13" i="28"/>
  <c r="J26" i="28"/>
  <c r="H23" i="1"/>
  <c r="T48" i="23"/>
  <c r="AA48" i="23"/>
  <c r="D53" i="2"/>
  <c r="D52" i="2"/>
  <c r="H25" i="10"/>
  <c r="I14" i="10"/>
  <c r="I19" i="10"/>
  <c r="I26" i="10"/>
  <c r="I27" i="10"/>
  <c r="I28" i="10"/>
  <c r="I29" i="10"/>
  <c r="I32" i="10"/>
  <c r="I18" i="10"/>
  <c r="I31" i="10"/>
  <c r="I30" i="10"/>
  <c r="I15" i="10"/>
  <c r="I22" i="10"/>
  <c r="I21" i="10"/>
  <c r="I20" i="10"/>
  <c r="I16" i="10"/>
  <c r="I25" i="10"/>
  <c r="I17" i="10"/>
  <c r="M48" i="23"/>
  <c r="M97" i="23"/>
  <c r="M43" i="23"/>
  <c r="K96" i="23"/>
  <c r="K43" i="23"/>
  <c r="L53" i="2"/>
  <c r="L102" i="2"/>
  <c r="G102" i="2"/>
  <c r="L52" i="2"/>
  <c r="G52" i="2"/>
  <c r="H25" i="1"/>
  <c r="M53" i="2"/>
  <c r="M102" i="2"/>
  <c r="H102" i="2"/>
  <c r="D63" i="10"/>
  <c r="G25" i="10"/>
  <c r="I45" i="28"/>
  <c r="I44" i="28"/>
  <c r="M52" i="2"/>
  <c r="S43" i="23"/>
  <c r="J48" i="23"/>
  <c r="J97" i="23"/>
  <c r="I23" i="10"/>
  <c r="Q43" i="23"/>
  <c r="D64" i="13"/>
  <c r="D70" i="13"/>
  <c r="I17" i="11"/>
  <c r="I26" i="11"/>
  <c r="I33" i="11"/>
  <c r="I13" i="11"/>
  <c r="I14" i="11"/>
  <c r="I45" i="11"/>
  <c r="I44" i="11"/>
  <c r="I19" i="11"/>
  <c r="I16" i="11"/>
  <c r="I20" i="11"/>
  <c r="I23" i="11"/>
  <c r="I56" i="11"/>
  <c r="I57" i="11"/>
  <c r="I49" i="11"/>
  <c r="I38" i="11"/>
  <c r="I54" i="11"/>
  <c r="I25" i="11"/>
  <c r="I18" i="11"/>
  <c r="I43" i="11"/>
  <c r="I27" i="11"/>
  <c r="I41" i="11"/>
  <c r="I47" i="11"/>
  <c r="I50" i="11"/>
  <c r="I51" i="11"/>
  <c r="I15" i="11"/>
  <c r="I42" i="11"/>
  <c r="I34" i="11"/>
  <c r="I39" i="11"/>
  <c r="I58" i="11"/>
  <c r="I22" i="11"/>
  <c r="I48" i="11"/>
  <c r="I32" i="11"/>
  <c r="I36" i="11"/>
  <c r="I37" i="11"/>
  <c r="I31" i="11"/>
  <c r="I40" i="11"/>
  <c r="I59" i="11"/>
  <c r="I24" i="11"/>
  <c r="I46" i="11"/>
  <c r="I28" i="11"/>
  <c r="I35" i="11"/>
  <c r="I21" i="11"/>
  <c r="I12" i="11"/>
  <c r="I53" i="11"/>
  <c r="I55" i="11"/>
  <c r="G59" i="10"/>
  <c r="H59" i="10"/>
  <c r="AE26" i="23"/>
  <c r="AE45" i="23"/>
  <c r="D34" i="10" l="1"/>
  <c r="D60" i="10" s="1"/>
  <c r="D64" i="10" s="1"/>
  <c r="D62" i="10"/>
  <c r="C23" i="1"/>
  <c r="F15" i="1"/>
  <c r="I15" i="1" s="1"/>
  <c r="I23" i="1"/>
  <c r="D23" i="1"/>
  <c r="L47" i="23"/>
  <c r="L94" i="23"/>
  <c r="H56" i="2"/>
  <c r="J25" i="1"/>
  <c r="Y47" i="23"/>
  <c r="J56" i="2"/>
  <c r="I56" i="2"/>
  <c r="K56" i="2"/>
  <c r="E46" i="28"/>
  <c r="I94" i="23"/>
  <c r="U47" i="23"/>
  <c r="K104" i="2"/>
  <c r="AA47" i="23"/>
  <c r="J95" i="23"/>
  <c r="R43" i="23"/>
  <c r="R47" i="23" s="1"/>
  <c r="F104" i="2"/>
  <c r="I25" i="1"/>
  <c r="E104" i="2"/>
  <c r="J104" i="2"/>
  <c r="F56" i="2"/>
  <c r="G56" i="2"/>
  <c r="E56" i="2"/>
  <c r="O47" i="23"/>
  <c r="X47" i="23"/>
  <c r="R45" i="23"/>
  <c r="R48" i="23"/>
  <c r="K46" i="28"/>
  <c r="D12" i="1"/>
  <c r="G28" i="28"/>
  <c r="D56" i="2"/>
  <c r="D103" i="2"/>
  <c r="E103" i="2"/>
  <c r="C25" i="1"/>
  <c r="F103" i="2"/>
  <c r="F94" i="23"/>
  <c r="I95" i="23"/>
  <c r="G36" i="28"/>
  <c r="C45" i="28"/>
  <c r="F45" i="28" s="1"/>
  <c r="F43" i="28"/>
  <c r="C44" i="28"/>
  <c r="G29" i="28"/>
  <c r="G35" i="28"/>
  <c r="G33" i="28"/>
  <c r="D13" i="1"/>
  <c r="H53" i="6"/>
  <c r="G38" i="28"/>
  <c r="G31" i="28"/>
  <c r="G40" i="28"/>
  <c r="G30" i="28"/>
  <c r="G34" i="28"/>
  <c r="G39" i="28"/>
  <c r="F95" i="23"/>
  <c r="J47" i="23"/>
  <c r="G32" i="28"/>
  <c r="E43" i="28"/>
  <c r="G41" i="28"/>
  <c r="E47" i="23"/>
  <c r="E95" i="23"/>
  <c r="G95" i="23"/>
  <c r="G94" i="23"/>
  <c r="G47" i="23"/>
  <c r="H47" i="23"/>
  <c r="H95" i="23"/>
  <c r="AE48" i="23"/>
  <c r="H61" i="13"/>
  <c r="L43" i="28"/>
  <c r="J23" i="1"/>
  <c r="C13" i="1"/>
  <c r="D104" i="2"/>
  <c r="I104" i="2"/>
  <c r="G103" i="2"/>
  <c r="K43" i="28"/>
  <c r="AC47" i="23"/>
  <c r="D44" i="28"/>
  <c r="D48" i="28"/>
  <c r="F26" i="28"/>
  <c r="E26" i="28"/>
  <c r="L26" i="28"/>
  <c r="J48" i="28"/>
  <c r="K26" i="28"/>
  <c r="J44" i="28"/>
  <c r="K44" i="28" s="1"/>
  <c r="T47" i="23"/>
  <c r="AE43" i="23"/>
  <c r="G104" i="2"/>
  <c r="L104" i="2"/>
  <c r="L56" i="2"/>
  <c r="K95" i="23"/>
  <c r="K94" i="23"/>
  <c r="K47" i="23"/>
  <c r="S47" i="23"/>
  <c r="H104" i="2"/>
  <c r="M104" i="2"/>
  <c r="M56" i="2"/>
  <c r="G61" i="10"/>
  <c r="H61" i="10"/>
  <c r="G34" i="10"/>
  <c r="H34" i="10"/>
  <c r="D25" i="1"/>
  <c r="H103" i="2"/>
  <c r="Q47" i="23"/>
  <c r="I48" i="28"/>
  <c r="K45" i="28"/>
  <c r="M47" i="23"/>
  <c r="M94" i="23"/>
  <c r="M95" i="23"/>
  <c r="F107" i="2" l="1"/>
  <c r="E107" i="2"/>
  <c r="D15" i="1"/>
  <c r="D107" i="2"/>
  <c r="C48" i="28"/>
  <c r="E48" i="28" s="1"/>
  <c r="E45" i="28"/>
  <c r="G45" i="28"/>
  <c r="G107" i="2"/>
  <c r="H107" i="2"/>
  <c r="E44" i="28"/>
  <c r="K48" i="28"/>
  <c r="AE47" i="23"/>
  <c r="G199" i="25" l="1"/>
  <c r="E199" i="25"/>
</calcChain>
</file>

<file path=xl/sharedStrings.xml><?xml version="1.0" encoding="utf-8"?>
<sst xmlns="http://schemas.openxmlformats.org/spreadsheetml/2006/main" count="782" uniqueCount="640">
  <si>
    <t>Infraestruturas de Portugal, S.A.</t>
  </si>
  <si>
    <t>Metro do Porto, S.A.</t>
  </si>
  <si>
    <t>Agência para a Modernização Administrativa, I.P.</t>
  </si>
  <si>
    <t>Fundo Ambiental</t>
  </si>
  <si>
    <t>-</t>
  </si>
  <si>
    <t>Escolher Língua/Choose Language:</t>
  </si>
  <si>
    <t>English</t>
  </si>
  <si>
    <t>Português</t>
  </si>
  <si>
    <t>Capital</t>
  </si>
  <si>
    <t>Esta estimativa apenas é utilizada para os meses em que haja falta de reporte. Nos restantes meses, é utilizada a informação efetivamente reportada pelas entidades.</t>
  </si>
  <si>
    <t>This estimate is used only in months in which there is a lack of report. In other months, the information considered is that effectively reported by the entities.</t>
  </si>
  <si>
    <t>Para as entidades identificadas considera-se na execução orçamental uma estimativa de execução para os meses em falta, esta estimativa consiste na correspondente previsão mensal.</t>
  </si>
  <si>
    <t>For the entities identified above an estimate is being used for the months without report, the estimate corresponds to the 2022 monthly budget implementation prediction.</t>
  </si>
  <si>
    <t>Subsector</t>
  </si>
  <si>
    <t>2021</t>
  </si>
  <si>
    <t>2022</t>
  </si>
  <si>
    <t>From the 1st July 2014, the responsibility on pension supplements, previously paid by the Military Forces Pension Fund, was transferred to the CGA. This is reflected in the "Survival and Other" component.</t>
  </si>
  <si>
    <t>R01</t>
  </si>
  <si>
    <t>R02</t>
  </si>
  <si>
    <t>R03</t>
  </si>
  <si>
    <t>R06</t>
  </si>
  <si>
    <t>R0604 a R0605</t>
  </si>
  <si>
    <t>R0601/02/07 a 09</t>
  </si>
  <si>
    <t>R04/R05/R07/R08/R15</t>
  </si>
  <si>
    <t>R09</t>
  </si>
  <si>
    <t>R10</t>
  </si>
  <si>
    <t>R1004 a R1005</t>
  </si>
  <si>
    <t>R1001/02/07 a 09</t>
  </si>
  <si>
    <t>R13</t>
  </si>
  <si>
    <t>D01</t>
  </si>
  <si>
    <t>D02</t>
  </si>
  <si>
    <t>D03</t>
  </si>
  <si>
    <t>D04</t>
  </si>
  <si>
    <t>D0404 e D0405</t>
  </si>
  <si>
    <t>D0401/02/07 a 09</t>
  </si>
  <si>
    <t>D05</t>
  </si>
  <si>
    <t>D06</t>
  </si>
  <si>
    <t>D07</t>
  </si>
  <si>
    <t>D08</t>
  </si>
  <si>
    <t>D0804 a D0805</t>
  </si>
  <si>
    <t>D0801/02/07 a 09</t>
  </si>
  <si>
    <t>D11</t>
  </si>
  <si>
    <t>set</t>
  </si>
  <si>
    <t>Pagamentos de encargos para sistemas de segurança social, realizados em janeiro mas respeitantes ao ano anterior, pelos Estabelecimentos de Educação e Ensinos Básico e Secundário.</t>
  </si>
  <si>
    <t>December’s employer social security contributions payed in january by the Basic and Secondary Education Establishments.</t>
  </si>
  <si>
    <t>Devolução pelo Fundo Europeu de Estabilização Financeira (FEEF) ao Estado português, da rentabilidade das prepaid margins retida aquando do desembolso inicial do empréstimo do PAEF.</t>
  </si>
  <si>
    <t>Return from the European Financial Stabilization Fund to the Portuguese State of the profitability of the prepaid margins retained when the loan was initially disbursed.</t>
  </si>
  <si>
    <t>(a)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t>
  </si>
  <si>
    <t>(a) The values identified in this item correspond to those recorded by the NHS' entities in the information systems that support the budget execution monitoring. Negative monthly values derive from accumulated amounts lower than those of the previous month recorded by the entities.</t>
  </si>
  <si>
    <t>Pagamento à parceria público-privada do Hospital de Loures, efetuado em janeiro de 2022, decorrente de decisão arbitral de tribunal.</t>
  </si>
  <si>
    <t>Payment to the Hospital Beatriz Ângelo's public-private partnership, made in January 2022, following arbitral tribunal decision.</t>
  </si>
  <si>
    <t>Fundo REVITA</t>
  </si>
  <si>
    <t>Associação Centro de Competências Ferroviário</t>
  </si>
  <si>
    <t>(1)</t>
  </si>
  <si>
    <t>(2)</t>
  </si>
  <si>
    <t>TOTAL</t>
  </si>
  <si>
    <t>Assembleia da República</t>
  </si>
  <si>
    <t>Cofre Privativo do Tribunal de Contas — Açores</t>
  </si>
  <si>
    <t>Cofre Privativo do Tribunal de Contas — Sede</t>
  </si>
  <si>
    <t>Cofre Privativo Tribunal Contas — Madeira</t>
  </si>
  <si>
    <t>Comissão de Acesso aos Documentos Administrativos</t>
  </si>
  <si>
    <t>Comissão Nacional de Eleições</t>
  </si>
  <si>
    <t>Comissão Nacional de Proteção de Dados</t>
  </si>
  <si>
    <t>Conselho das Finanças Públicas</t>
  </si>
  <si>
    <t>Conselho Económico e Social</t>
  </si>
  <si>
    <t>Conselho Nacional de Ética para as Ciências da Vida</t>
  </si>
  <si>
    <t>Conselho Superior de Magistratura</t>
  </si>
  <si>
    <t>Entidade Reguladora para a Comunicação Social</t>
  </si>
  <si>
    <t>Gabinete do Representante da República — Região Autónoma da Madeira</t>
  </si>
  <si>
    <t>Gabinete do Representante da República — Região Autónoma dos Açores</t>
  </si>
  <si>
    <t>Mecanismo Nacional para a Monitorização da Implementação da Convenção sobre os Direitos das Pessoas com. Deficiência</t>
  </si>
  <si>
    <t>Mecanismo Nacional Anticorrupção</t>
  </si>
  <si>
    <t>Presidência da República</t>
  </si>
  <si>
    <t>Serviço do Provedor de Justiça</t>
  </si>
  <si>
    <t>Supremo Tribunal Administrativo</t>
  </si>
  <si>
    <t>Supremo Tribunal de Justiça</t>
  </si>
  <si>
    <t>Tribunal Constitucional</t>
  </si>
  <si>
    <t>Tribunal de Contas — Secção Regional da Madeira</t>
  </si>
  <si>
    <t>Tribunal de Contas — Secção Regional dos Açores</t>
  </si>
  <si>
    <t>Tribunal de Contas — Sede</t>
  </si>
  <si>
    <t>Agência Nacional Erasmus + Juventude/Desporto e Corpo Europeu de Solidariedade</t>
  </si>
  <si>
    <t>Agência para o Desenvolvimento e Coesão</t>
  </si>
  <si>
    <t>Autoridade Antidopagem de Portugal</t>
  </si>
  <si>
    <t>Autoridade para a Prevenção e o Combate à Violência no Desporto</t>
  </si>
  <si>
    <t>Comissão de Coordenação e Desenvolvimento Regional de Lisboa e Vale do Tejo</t>
  </si>
  <si>
    <t>Comissão de Coordenação e Desenvolvimento Regional do Alentejo</t>
  </si>
  <si>
    <t>Comissão de Coordenação e Desenvolvimento Regional do Algarve</t>
  </si>
  <si>
    <t>Comissão de Coordenação e Desenvolvimento Regional do Centro</t>
  </si>
  <si>
    <t>Comissão de Coordenação e Desenvolvimento Regional do Norte</t>
  </si>
  <si>
    <t>Comissão de Recrutamento e Seleção para a Administração Pública — CRESAP</t>
  </si>
  <si>
    <t>Direção-Geral da Autarquias Locais</t>
  </si>
  <si>
    <t>Direção-Geral do Território</t>
  </si>
  <si>
    <t>Entidade de Serviços Partilhados da Administração Pública, I.P.</t>
  </si>
  <si>
    <t>Fundação do Desporto</t>
  </si>
  <si>
    <t>Fundação Luso-Americana para o Desenvolvimento</t>
  </si>
  <si>
    <t>Fundo de Apoio Municipal</t>
  </si>
  <si>
    <t>Fundo para a Inovação Social</t>
  </si>
  <si>
    <t>Gabinete do Secretário-Geral Estruturas Comuns ao SIED e SIS</t>
  </si>
  <si>
    <t>Gabinetes dos Membros do Governo — Coesão Territorial</t>
  </si>
  <si>
    <t>Gabinetes dos Membros do Governo da Presidência do Conselho de Ministros</t>
  </si>
  <si>
    <t>Gestão Administrativa e Financeira da Presidência do Conselho de Ministros</t>
  </si>
  <si>
    <t>Instituto de Proteção e Assistência na Doença, I.P.</t>
  </si>
  <si>
    <t>Instituto Nacional de Administração, I.P.</t>
  </si>
  <si>
    <t>Instituto Nacional de Estatística, I.P.</t>
  </si>
  <si>
    <t>Instituto Português do Desporto e Juventude, I.P.</t>
  </si>
  <si>
    <t>Serviço de Informações de Segurança</t>
  </si>
  <si>
    <t>Serviço de Informações Estratégicas de Defesa</t>
  </si>
  <si>
    <t>Serviços Sociais da Administração Pública</t>
  </si>
  <si>
    <t>Unidade Nacional do Mecanismo Financeiro do Espaço Económico Europeu</t>
  </si>
  <si>
    <t>Ação Governativa — Ministério dos Negócios Estrageiros</t>
  </si>
  <si>
    <t>AICEP — Agência para o Investimento e Comércio Externo de Portugal, E.P.E.</t>
  </si>
  <si>
    <t>Camões — Instituto da Cooperação e da Língua, I.P.</t>
  </si>
  <si>
    <t>Fundo da Língua Portuguesa</t>
  </si>
  <si>
    <t>Fundo para as Relações Internacionais, I.P.</t>
  </si>
  <si>
    <t>Gestão Administrativa e Financeira do Ministério dos Negócios Estrangeiros</t>
  </si>
  <si>
    <t>Arsenal do Alfeite, S.A.</t>
  </si>
  <si>
    <t>Direção-Geral de Recursos da Defesa Nacional</t>
  </si>
  <si>
    <t>Estado-Maior General das Forças Armadas</t>
  </si>
  <si>
    <t>Exército</t>
  </si>
  <si>
    <t>EXTRA — Explosivos da Trafaria, S.A.</t>
  </si>
  <si>
    <t>Força Aérea</t>
  </si>
  <si>
    <t>Gabinete de Membros do Governo do Ministério da Defesa</t>
  </si>
  <si>
    <t>IDD — Portugal Defence, S.A.</t>
  </si>
  <si>
    <t>Inspeção-Geral da Defesa Nacional</t>
  </si>
  <si>
    <t>Instituto de Ação Social das Forças Armadas</t>
  </si>
  <si>
    <t>Instituto da Defesa Nacional</t>
  </si>
  <si>
    <t>Instituto Hidrográfico</t>
  </si>
  <si>
    <t>Laboratório Nacional do Medicamento</t>
  </si>
  <si>
    <t>Marinha</t>
  </si>
  <si>
    <t>Polícia Judiciária Militar</t>
  </si>
  <si>
    <t>Ação Governativa — Ministério da Administração Interna</t>
  </si>
  <si>
    <t>Autoridade Nacional de Emergência e Proteção Civil</t>
  </si>
  <si>
    <t>Autoridade Nacional de Segurança Rodoviária</t>
  </si>
  <si>
    <t>Cofre de Previdência da PSP</t>
  </si>
  <si>
    <t>Escola Nacional de Bombeiros</t>
  </si>
  <si>
    <t>Guarda Nacional Republicana</t>
  </si>
  <si>
    <t>Inspeção-Geral da Administração Interna</t>
  </si>
  <si>
    <t>Polícia de Segurança Pública</t>
  </si>
  <si>
    <t>Secretaria-Geral do Ministério da Administração Interna</t>
  </si>
  <si>
    <t>Serviços Sociais da GNR</t>
  </si>
  <si>
    <t>Serviços Sociais da PSP</t>
  </si>
  <si>
    <t>Centro de Estudos Judiciários</t>
  </si>
  <si>
    <t>Comissão de Proteção às Vítimas de Crimes</t>
  </si>
  <si>
    <t>Comissão para o Acompanhamento dos Auxiliares de Justiça</t>
  </si>
  <si>
    <t>Direção-Geral da Administração da Justiça</t>
  </si>
  <si>
    <t>Direção-Geral da Política de Justiça</t>
  </si>
  <si>
    <t>Direção-Geral de Reinserção e Serviços Prisionais</t>
  </si>
  <si>
    <t>Fundo de Modernização da Justiça</t>
  </si>
  <si>
    <t>Gabinetes dos Membros do Governo do Ministério da Justiça</t>
  </si>
  <si>
    <t>Inspeção-Geral dos Serviços de Justiça</t>
  </si>
  <si>
    <t>Instituto de Gestão Financeira e Equipamentos da Justiça, I.P.</t>
  </si>
  <si>
    <t>Instituto dos Registos e do Notariado, I.P.</t>
  </si>
  <si>
    <t>Instituto Nacional da Propriedade Industrial, I.P.</t>
  </si>
  <si>
    <t>Instituto Nacional de Medicina Legal e Ciências Forenses, I.P.</t>
  </si>
  <si>
    <t>Polícia Judiciária</t>
  </si>
  <si>
    <t>Secretaria-Geral do Ministério da Justiça</t>
  </si>
  <si>
    <t>Tribunal da Relação de Coimbra</t>
  </si>
  <si>
    <t>Tribunal da Relação de Évora</t>
  </si>
  <si>
    <t>Tribunal da Relação de Guimarães</t>
  </si>
  <si>
    <t>Tribunal da Relação de Lisboa</t>
  </si>
  <si>
    <t>Tribunal da Relação do Porto</t>
  </si>
  <si>
    <t>Ação Governativa — Ministério das Finanças</t>
  </si>
  <si>
    <t>Agência de Gestão da Tesouraria e da Dívida Pública — IGCP, E.P.E.</t>
  </si>
  <si>
    <t>Autoridade de Supervisão de Seguros e Fundos de Pensões</t>
  </si>
  <si>
    <t>Autoridade Tributária e Aduaneira</t>
  </si>
  <si>
    <t>BANIF Imobiliária, S.A.</t>
  </si>
  <si>
    <t>BANIF, S.A.</t>
  </si>
  <si>
    <t>Comissão de Normalização Contabilística</t>
  </si>
  <si>
    <t>Comissão do Mercado de Valores Mobiliários</t>
  </si>
  <si>
    <t>CONSEST — Promoção Imobiliária, S.A.</t>
  </si>
  <si>
    <t>ESTAMO — Participações Imobiliárias, S.A.</t>
  </si>
  <si>
    <t>FRME — Fundo para a Revitalização e Modernização do Tecido Empresarial, SGPS, S.A.</t>
  </si>
  <si>
    <t>Fundo de Acidentes de Trabalho</t>
  </si>
  <si>
    <t>Fundo de Estabilização Tributária</t>
  </si>
  <si>
    <t>Fundo de Garantia Automóvel</t>
  </si>
  <si>
    <t>Fundo de Garantia de Depósitos</t>
  </si>
  <si>
    <t>Fundo de Reabilitação e Conservação Patrimonial</t>
  </si>
  <si>
    <t>Fundo de Resolução</t>
  </si>
  <si>
    <t>Gabinete de Planeamento, Estratégia, Avaliação e Relações Internacionais</t>
  </si>
  <si>
    <t>Inspeção-Geral de Finanças</t>
  </si>
  <si>
    <t>Oitante, S.A.</t>
  </si>
  <si>
    <t>Parpública — Participações Públicas, SGPS, S.A.</t>
  </si>
  <si>
    <t>Parvalorem, S.A.</t>
  </si>
  <si>
    <t>SAGESECUR — Estudos, Desenvolvimento e Participações em Projetos de Investimento Valores Mobiliários, S.A.</t>
  </si>
  <si>
    <t>Secretaria-Geral do Ministério das Finanças</t>
  </si>
  <si>
    <t>Sistema de Indemnização aos Investidores</t>
  </si>
  <si>
    <t>Wil — Projetos Turísticos, S.A.</t>
  </si>
  <si>
    <t>Fundo de Regularização da Dívida Pública</t>
  </si>
  <si>
    <t>Agência Nacional de Inovação, S.A.</t>
  </si>
  <si>
    <t>Direção-Geral de Política do Mar</t>
  </si>
  <si>
    <t>ENATUR — Empresa Nacional de Turismo, S.A.</t>
  </si>
  <si>
    <t>Entidade Regional de Turismo da Região de Lisboa</t>
  </si>
  <si>
    <t>Estrutura de Missão para a Extensão da Plataforma Continental</t>
  </si>
  <si>
    <t>Fundo Azul</t>
  </si>
  <si>
    <t>Fundo de Apoio ao Financiamento à Inovação — FINOVA</t>
  </si>
  <si>
    <t>Fundo de Apoio ao Turismo e ao Cinema</t>
  </si>
  <si>
    <t>Fundo de Capital e Quase Capital</t>
  </si>
  <si>
    <t>Fundo de Capitalização e Resiliência</t>
  </si>
  <si>
    <t>Fundo de Coinvestimento 200M</t>
  </si>
  <si>
    <t>Fundo de Contragarantia Mútuo</t>
  </si>
  <si>
    <t>Fundo de Fundos para a Internacionalização</t>
  </si>
  <si>
    <t>Fundo de Garantia de Viagens e Turismo</t>
  </si>
  <si>
    <t>Fundo de Inovação, Tecnologia e Economia Circular</t>
  </si>
  <si>
    <t>Fundo Imobiliário Especial de Apoio às Empresas</t>
  </si>
  <si>
    <t>Fundo para a Promoção dos Direitos dos Consumidores</t>
  </si>
  <si>
    <t>Fundo Revive Natureza</t>
  </si>
  <si>
    <t>IAPMEI — Agência para a Competitividade e Inovação, I.P.</t>
  </si>
  <si>
    <t>Instituto do Turismo de Portugal, I.P.</t>
  </si>
  <si>
    <t>Instituto Português da Qualidade, I.P.</t>
  </si>
  <si>
    <t>Instituto Português de Acreditação I.P.</t>
  </si>
  <si>
    <t>Região de Turismo do Algarve</t>
  </si>
  <si>
    <t>Turismo Centro de Portugal</t>
  </si>
  <si>
    <t>Turismo do Alentejo, E.R.T.</t>
  </si>
  <si>
    <t>Cinemateca Portuguesa — Museu do Cinema, I.P.</t>
  </si>
  <si>
    <t>Fundação Centro Cultural de Belém</t>
  </si>
  <si>
    <t>Fundo de Fomento Cultural</t>
  </si>
  <si>
    <t>Fundo de Salvaguarda do Património Cultural</t>
  </si>
  <si>
    <t>Gabinetes dos Membros do Governo do Ministério da Cultura</t>
  </si>
  <si>
    <t>Gestão Administrativa e Financeira do Ministério da Cultura</t>
  </si>
  <si>
    <t>Instituto do Cinema e do Audiovisual, I.P.</t>
  </si>
  <si>
    <t>OPART — Organismo de Produção Artística, E.P.E.</t>
  </si>
  <si>
    <t>Rádio e Televisão de Portugal, S.A.</t>
  </si>
  <si>
    <t>Teatro Nacional D. Maria II, E.P.E.</t>
  </si>
  <si>
    <t>Academia das Ciências de Lisboa</t>
  </si>
  <si>
    <t>Agência Nacional para a Gestão do Programa Erasmus + Educação e Formação</t>
  </si>
  <si>
    <t>AUP — Associação das Universidades Portuguesas</t>
  </si>
  <si>
    <t>Centro Científico e Cultural de Macau, I.P.</t>
  </si>
  <si>
    <t>Direção-Geral do Ensino Superior</t>
  </si>
  <si>
    <t>Escola Superior de Enfermagem de Coimbra</t>
  </si>
  <si>
    <t>Escola Superior de Enfermagem de Lisboa</t>
  </si>
  <si>
    <t>Escola Superior de Enfermagem do Porto</t>
  </si>
  <si>
    <t>Escola Superior de Hotelaria e Turismo do Estoril</t>
  </si>
  <si>
    <t>Escola Superior Náutica Infante D. Henrique</t>
  </si>
  <si>
    <t>Fundação Gaspar Frutuoso</t>
  </si>
  <si>
    <t>Fundação para a Ciência e Tecnologia, I.P.</t>
  </si>
  <si>
    <t>Fundação para o Desenvolvimento Ciências Económicas Financeiras e Empresariais</t>
  </si>
  <si>
    <t>IMAR — Instituto do Mar</t>
  </si>
  <si>
    <t>Instituto Politécnico da Guarda</t>
  </si>
  <si>
    <t>Instituto Politécnico de Beja</t>
  </si>
  <si>
    <t>Instituto Politécnico de Bragança</t>
  </si>
  <si>
    <t>Instituto Politécnico de Castelo Branco</t>
  </si>
  <si>
    <t>Instituto Politécnico de Coimbra</t>
  </si>
  <si>
    <t>Instituto Politécnico de Leiria</t>
  </si>
  <si>
    <t>Instituto Politécnico de Lisboa</t>
  </si>
  <si>
    <t>Instituto Politécnico de Portalegre</t>
  </si>
  <si>
    <t>Instituto Politécnico de Santarém</t>
  </si>
  <si>
    <t>Instituto Politécnico de Setúbal</t>
  </si>
  <si>
    <t>Instituto Politécnico de Tomar</t>
  </si>
  <si>
    <t>Instituto Politécnico de Viana do Castelo</t>
  </si>
  <si>
    <t>Instituto Politécnico de Viseu</t>
  </si>
  <si>
    <t>Instituto Politécnico do Cávado e do Ave — Fundação Pública</t>
  </si>
  <si>
    <t>Instituto Politécnico do Porto</t>
  </si>
  <si>
    <t>Instituto Superior de Engenharia de Lisboa</t>
  </si>
  <si>
    <t>Instituto Superior de Engenharia do Porto</t>
  </si>
  <si>
    <t>ISCTE — Instituto Universitário de Lisboa — Fundação Pública</t>
  </si>
  <si>
    <t>SAS — Instituto Politécnico da Guarda</t>
  </si>
  <si>
    <t>SAS — Instituto Politécnico de Beja</t>
  </si>
  <si>
    <t>SAS — Instituto Politécnico de Bragança</t>
  </si>
  <si>
    <t>SAS — Instituto Politécnico de Castelo Branco</t>
  </si>
  <si>
    <t>SAS — Instituto Politécnico de Coimbra</t>
  </si>
  <si>
    <t>SAS — Instituto Politécnico de Leiria</t>
  </si>
  <si>
    <t>SAS — Instituto Politécnico de Lisboa</t>
  </si>
  <si>
    <t>SAS — Instituto Politécnico de Portalegre</t>
  </si>
  <si>
    <t>SAS — Instituto Politécnico de Santarém</t>
  </si>
  <si>
    <t>SAS — Instituto Politécnico de Setúbal</t>
  </si>
  <si>
    <t>SAS — Instituto Politécnico de Tomar</t>
  </si>
  <si>
    <t>SAS — Instituto Politécnico de Viana do Castelo</t>
  </si>
  <si>
    <t>SAS — Instituto Politécnico de Viseu</t>
  </si>
  <si>
    <t>SAS — Instituto Politécnico do Porto</t>
  </si>
  <si>
    <t>SAS — Universidade Beira Interior</t>
  </si>
  <si>
    <t>SAS — Universidade da Madeira</t>
  </si>
  <si>
    <t>SAS — Universidade de Coimbra</t>
  </si>
  <si>
    <t>SAS — Universidade de Évora</t>
  </si>
  <si>
    <t>SAS — Universidade de Lisboa (UL)</t>
  </si>
  <si>
    <t>SAS — Universidade de Trás-os-Montes e Alto Douro</t>
  </si>
  <si>
    <t>SAS — Universidade do Algarve</t>
  </si>
  <si>
    <t>SAS — Universidade do Minho</t>
  </si>
  <si>
    <t>SAS — Universidade dos Açores</t>
  </si>
  <si>
    <t>UL — Faculdade de Arquitetura</t>
  </si>
  <si>
    <t>UL — Faculdade de Belas-Artes</t>
  </si>
  <si>
    <t>UL — Faculdade de Ciências</t>
  </si>
  <si>
    <t>UL — Faculdade de Direito</t>
  </si>
  <si>
    <t>UL — Faculdade de Farmácia</t>
  </si>
  <si>
    <t>UL — Faculdade de Letras</t>
  </si>
  <si>
    <t>UL — Faculdade de Medicina</t>
  </si>
  <si>
    <t>UL — Faculdade de Medicina Dentária</t>
  </si>
  <si>
    <t>UL — Faculdade de Medicina Veterinária</t>
  </si>
  <si>
    <t>UL — Faculdade de Motricidade Humana</t>
  </si>
  <si>
    <t>UL — Faculdade de Psicologia</t>
  </si>
  <si>
    <t>UL — Instituto de Ciências Sociais</t>
  </si>
  <si>
    <t>UL — Instituto de Educação</t>
  </si>
  <si>
    <t>UL — Instituto de Geografia e Ordenamento do Território</t>
  </si>
  <si>
    <t>UL — Instituto Superior Ciências Sociais Políticas</t>
  </si>
  <si>
    <t>UL — Instituto Superior de Agronomia</t>
  </si>
  <si>
    <t>UL — Instituto Superior de Economia e Gestão</t>
  </si>
  <si>
    <t>UL — Instituto Superior Técnico</t>
  </si>
  <si>
    <t>UNINOVA — Instituto de Desenvolvimento de Novas Tecnologias</t>
  </si>
  <si>
    <t>Universidade Aberta</t>
  </si>
  <si>
    <t>Universidade da Beira Interior</t>
  </si>
  <si>
    <t>Universidade da Madeira</t>
  </si>
  <si>
    <t>Universidade de Aveiro — Fundação Pública</t>
  </si>
  <si>
    <t>Universidade de Coimbra</t>
  </si>
  <si>
    <t>Universidade de Évora</t>
  </si>
  <si>
    <t>Universidade de Trás-os-Montes e Alto Douro</t>
  </si>
  <si>
    <t>Universidade do Algarve</t>
  </si>
  <si>
    <t>Universidade do Minho — Fundação Pública</t>
  </si>
  <si>
    <t>Universidade do Porto — Fundação Pública</t>
  </si>
  <si>
    <t>Universidade dos Açores</t>
  </si>
  <si>
    <t>Universidade Nova de Lisboa — Fundação Pública</t>
  </si>
  <si>
    <t>Agência Nacional para a Qualificação e o Ensino Profissional, I.P.</t>
  </si>
  <si>
    <t>Conselho Nacional de Educação</t>
  </si>
  <si>
    <t>Direção-Geral da Administração Escolar</t>
  </si>
  <si>
    <t>Direção-Geral da Educação</t>
  </si>
  <si>
    <t>Direção-Geral de Estatísticas da Educação e Ciência</t>
  </si>
  <si>
    <t>Direção-Geral dos Estabelecimentos Escolares</t>
  </si>
  <si>
    <t>Editorial do Ministério da Educação e Ciência</t>
  </si>
  <si>
    <t>Escola Portuguesa de Cabo Verde — CELP</t>
  </si>
  <si>
    <t>Escola Portuguesa de Díli — CELP — Ruy Cinatti</t>
  </si>
  <si>
    <t>Escola Portuguesa de Luanda — Centro de Ensino e Língua Portuguesa</t>
  </si>
  <si>
    <t>Escola Portuguesa de Moçambique</t>
  </si>
  <si>
    <t>Escola Portuguesa de S. Tomé e Príncipe — CELP</t>
  </si>
  <si>
    <t>Estabelecimentos de Educação e Ensinos Básico e Secundário</t>
  </si>
  <si>
    <t>Inspeção-Geral da Educação e Ciência</t>
  </si>
  <si>
    <t>Instituto de Avaliação Educativa, I.P.</t>
  </si>
  <si>
    <t>Instituto de Gestão Financeira da Educação, I.P.</t>
  </si>
  <si>
    <t>Secretaria-Geral do Ministério da Educação</t>
  </si>
  <si>
    <t>Ação Governativa — Ministério do Trabalho, Solidariedade e Segurança Social</t>
  </si>
  <si>
    <t>Autoridade para as Condições do Trabalho</t>
  </si>
  <si>
    <t>Caixa-Geral de Aposentações, I.P.</t>
  </si>
  <si>
    <t>Casa Pia de Lisboa, I.P.</t>
  </si>
  <si>
    <t>Centro de Educação e Formação Profissional Integrada (CEFPI)</t>
  </si>
  <si>
    <t>Centro de Formação e Inovação Tecnológica (INOVINTER)</t>
  </si>
  <si>
    <t>Centro de Formação Profissional CESAE Digital</t>
  </si>
  <si>
    <t>Centro de Formação Profissional da Indústria de Calçado</t>
  </si>
  <si>
    <t>Centro de Formação Profissional da Indústria da Construção Civil e Obras Públicas do Sul</t>
  </si>
  <si>
    <t>Centro de Formação Profissional da Indústria da Cortiça</t>
  </si>
  <si>
    <t>Centro de Formação Profissional da Indústria da Fundição</t>
  </si>
  <si>
    <t>Centro de Formação Profissional da Indústria da Ourivesaria e Relojoaria (CINDOR)</t>
  </si>
  <si>
    <t>Centro de Formação Profissional da Indústria Eletrónica</t>
  </si>
  <si>
    <t>Centro de Formação Profissional da Indústria Metalúrgica e Metalomecânica</t>
  </si>
  <si>
    <t>Centro de Formação Profissional da Indústria Têxtil, Vestuário, Confeção e Lanifícios</t>
  </si>
  <si>
    <t>Centro de Formação Profissional da Reparação Automóvel</t>
  </si>
  <si>
    <t>Centro de Formação Profissional das Indústrias da Madeira e Mobiliário</t>
  </si>
  <si>
    <t>Centro de Formação Profissional das Pescas e do Mar</t>
  </si>
  <si>
    <t>Centro de Formação Profissional dos Trabalhadores de Escritório, Comércio, Serviços e Novas Tecnologias</t>
  </si>
  <si>
    <t>Centro de Formação Profissional para a Indústria de Cerâmica</t>
  </si>
  <si>
    <t>Centro de Formação Profissional para o Artesanato e Património</t>
  </si>
  <si>
    <t>Centro de Formação Profissional para o Comércio e Afins</t>
  </si>
  <si>
    <t>Centro de Formação Profissional para o Setor Alimentar</t>
  </si>
  <si>
    <t>Centro de Formação Profissional para Setor da Construção Civil e Obras Públicas do Norte</t>
  </si>
  <si>
    <t>Centro de Formação Sindical e Aperfeiçoamento Profissional</t>
  </si>
  <si>
    <t>Centro de Reabilitação Profissional de Gaia</t>
  </si>
  <si>
    <t>Centro de Relações Laborais</t>
  </si>
  <si>
    <t>Centro Protocolar de Formação Profissional para Jornalistas</t>
  </si>
  <si>
    <t>Centro Protocolar de Formação Profissional para o Setor da Justiça</t>
  </si>
  <si>
    <t>Comissão Nacional de Promoção dos Direitos e Proteção das Crianças e Jovens</t>
  </si>
  <si>
    <t>Comissão para a Igualdade no Trabalho e Emprego</t>
  </si>
  <si>
    <t>Cooperativa António Sérgio para a Economia Social</t>
  </si>
  <si>
    <t>Direção-Geral da Segurança Social</t>
  </si>
  <si>
    <t>Direção-Geral do Emprego e das Relações de Trabalho</t>
  </si>
  <si>
    <t>Fundo de Reestruturação do Setor Solidário</t>
  </si>
  <si>
    <t>Gabinete de Estratégia e Planeamento</t>
  </si>
  <si>
    <t>Inspeção-Geral do Ministério do Trabalho, Solidariedade e Segurança Social</t>
  </si>
  <si>
    <t>Instituto do Emprego e Formação Profissional, I.P.</t>
  </si>
  <si>
    <t>Instituto Nacional para a Reabilitação, I.P.</t>
  </si>
  <si>
    <t>Santa Casa da Misericórdia de Lisboa, I.P.</t>
  </si>
  <si>
    <t>Secretaria-Geral do Ministério do Trabalho, Solidariedade e Segurança Social</t>
  </si>
  <si>
    <t>Ação Governativa — Ministério da Saúde</t>
  </si>
  <si>
    <t>Administração Central do Sistema de Saúde, I.P.</t>
  </si>
  <si>
    <t>Direção Executiva do Serviço Nacional de Saúde</t>
  </si>
  <si>
    <t>Direção-Geral da Saúde</t>
  </si>
  <si>
    <t>EAS — Empresa Ambiente na Saúde, Tratamento de Resíduos Hospitalares Unipessoal, Lda.</t>
  </si>
  <si>
    <t>Entidade Reguladora da Saúde</t>
  </si>
  <si>
    <t>INFARMED — Autoridade Nacional do Medicamento e Produtos de Saúde, I.P.</t>
  </si>
  <si>
    <t>Inspeção-Geral das Atividades em Saúde</t>
  </si>
  <si>
    <t>Instituto Nacional de Emergência Médica, I.P.</t>
  </si>
  <si>
    <t>Instituto Nacional de Saúde Dr. Ricardo Jorge, I.P.</t>
  </si>
  <si>
    <t>Instituto Português de Oncologia — Coimbra, E.P.E.</t>
  </si>
  <si>
    <t>Instituto Português do Sangue e da Transplantação</t>
  </si>
  <si>
    <t>Secretaria-Geral do Ministério da Saúde</t>
  </si>
  <si>
    <t>Serviços Partilhados do Ministério da Saúde, E.P.E.</t>
  </si>
  <si>
    <t>SUCH — Serviço de Utilização Comum dos Hospitais</t>
  </si>
  <si>
    <t>Unidade Local de Saúde de Matosinhos, E.P.E.</t>
  </si>
  <si>
    <t>Agência para a Energia</t>
  </si>
  <si>
    <t>Agência Portuguesa do Ambiente, I.P.</t>
  </si>
  <si>
    <t>AVEIROPOLIS — Sociedade para o Desenvolvimento do Programa Polis em Aveiro, S.A.</t>
  </si>
  <si>
    <t>Conselho Nacional da Água</t>
  </si>
  <si>
    <t>Conselho Nacional do Ambiente e Desenvolvimento Sustentável</t>
  </si>
  <si>
    <t>Costa Polis — Sociedade para o Desenvolvimento do Programa Polis na Costa da Caparica, S.A.</t>
  </si>
  <si>
    <t>Direção-Geral de Energia e Geologia</t>
  </si>
  <si>
    <t>Entidade Nacional para o Setor Energético, E.P.E.</t>
  </si>
  <si>
    <t>Entidade Reguladora dos Serviços das Águas e dos Resíduos</t>
  </si>
  <si>
    <t>Entidade Reguladora dos Serviços Energéticos, I.P.</t>
  </si>
  <si>
    <t>Inspeção-Geral da Agricultura, do Mar, do Ambiente e do Ordenamento do Território</t>
  </si>
  <si>
    <t>Instituto da Conservação da Natureza e das Florestas, I.P.</t>
  </si>
  <si>
    <t>Laboratório Nacional de Energia e Geologia, I.P.</t>
  </si>
  <si>
    <t>Metropolitano de Lisboa, E.P.E.</t>
  </si>
  <si>
    <t>Polis Litoral Norte, S.A.</t>
  </si>
  <si>
    <t>Polis Litoral Ria de Aveiro, S.A.</t>
  </si>
  <si>
    <t>Transtejo — Transportes Tejo, S.A.</t>
  </si>
  <si>
    <t>Vianapolis, Sociedade para o Desenvolvimento do Programa Polis em Viana do Castelo, S.A.</t>
  </si>
  <si>
    <t>Autoridade da Mobilidade e dos Transportes</t>
  </si>
  <si>
    <t>Autoridade Nacional da Aviação Civil</t>
  </si>
  <si>
    <t>Comissão Nacional de Congressos da Estrada</t>
  </si>
  <si>
    <t>CP — Comboios de Portugal, E.P.E.</t>
  </si>
  <si>
    <t>Fundação Museu Nacional Ferroviário Armando Ginestal Machado</t>
  </si>
  <si>
    <t>Fundo para o Serviço Público de Transportes</t>
  </si>
  <si>
    <t>Gabinete de Prevenção e Investigação de Acidentes com Aeronaves e de Acidentes Ferroviários</t>
  </si>
  <si>
    <t>Instituto da Mobilidade e dos Transportes</t>
  </si>
  <si>
    <t>Laboratório Nacional de Engenharia Civil</t>
  </si>
  <si>
    <t>Metro — Mondego, S.A.</t>
  </si>
  <si>
    <t>Direção-Geral da Agricultura e Desenvolvimento Rural</t>
  </si>
  <si>
    <t>Direção-Geral de Alimentação e Veterinária</t>
  </si>
  <si>
    <t>Direção-Geral de Recursos Naturais, Segurança e Serviços Marítimos</t>
  </si>
  <si>
    <t>EDIA — Empresa de Desenvolvimento e Infraestruturas do Alqueva, S.A.</t>
  </si>
  <si>
    <t>Fundo de Compensação Salarial dos Profissionais da Pesca</t>
  </si>
  <si>
    <t>Fundo Sanitário e de Segurança Alimentar Mais</t>
  </si>
  <si>
    <t>Instituto da Vinha e do Vinho, I.P.</t>
  </si>
  <si>
    <t>Instituto de Financiamento da Agricultura e Pescas, I.P.</t>
  </si>
  <si>
    <t>Instituto dos Vinhos do Douro e do Porto, I.P.</t>
  </si>
  <si>
    <t>Instituto Nacional de Investigação Agrária e Veterinária, I.P.</t>
  </si>
  <si>
    <t>Instituto Português do Mar e da Atmosfera, I.P.</t>
  </si>
  <si>
    <t>Da qual Administração Central e Segurança Social</t>
  </si>
  <si>
    <t>€ Milhões</t>
  </si>
  <si>
    <t>Fonte: Direção-Geral do Orçamento.</t>
  </si>
  <si>
    <t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t>
  </si>
  <si>
    <t>Subsetor e principais destaques</t>
  </si>
  <si>
    <t>The line “Old age pension scheme from Banking regime” includes:
- From August 2017 onward, supplemental pension benefits due to Companhia Carris de Ferro de Lisboa, S.A. (Carris) former employees, as Social Security is in charge of making these payments according to Decree-Law no. 95/2017 of August 10.
- From January 2020 onward, supplemental pension benefits due to Sociedade de Transportes Coletivos do Porto, S.A. (STCP) former employees, as Social Security is in charge of making these payments according to Decree-Law no. 151/2019 of October 11.</t>
  </si>
  <si>
    <t>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t>
  </si>
  <si>
    <t>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t>
  </si>
  <si>
    <t>The increase in the number of pensioners and pension expenditure in the item "Survival and Others Pensions" as of October 2017 is the result of the transfer to Caixa Geral de Aposentações, I.P., of the financial burden with the pension supplements of Carris’ employees (Law Decree nr. 95/2017 of August 10th). - These supplements have a direct impact on the decrease of the item "Average Value paid per new Survival and Others Pensioner".</t>
  </si>
  <si>
    <t>Subsetor Estado / Serviços Integrados</t>
  </si>
  <si>
    <t>Teatro Nacional de São João, E.P.E.</t>
  </si>
  <si>
    <t>Instituto Português de Oncologia — Lisboa, E.P.E.</t>
  </si>
  <si>
    <t>Instituto Português de Oncologia — Porto, E.P.E.</t>
  </si>
  <si>
    <t>Unidade Local de Saúde da Guarda, E.P.E.</t>
  </si>
  <si>
    <t>Unidade Local de Saúde de Castelo Branco, E.P.E.</t>
  </si>
  <si>
    <t>Unidade Local de Saúde do Alto Minho, E.P.E.</t>
  </si>
  <si>
    <t>Unidade Local de Saúde do Baixo Alentejo, E.P.E.</t>
  </si>
  <si>
    <t>Unidade Local de Saúde do Litoral Alentejano, E.P.E.</t>
  </si>
  <si>
    <t>Unidade Local de Saúde do Nordeste, E.P.E.</t>
  </si>
  <si>
    <t>TREM — Aluguer de Material Circulante, A.C.E.</t>
  </si>
  <si>
    <t>TREM II — Aluguer de Material Circulante, A.C.E.</t>
  </si>
  <si>
    <t>Agência para a Integração, Migrações e Asilo, I.P.</t>
  </si>
  <si>
    <t>Construção Pública, E.P.E.</t>
  </si>
  <si>
    <t>Fundo Nacional de Reabilitação do Edificado</t>
  </si>
  <si>
    <t>IHRU — Instituto da Habitação e da Reabilitação Urbana, I.P.</t>
  </si>
  <si>
    <t>Conselho Superior dos Tribunais Administrativos e Fiscais</t>
  </si>
  <si>
    <t>Administração do Património do Estado</t>
  </si>
  <si>
    <t>Direção Geral das Artes</t>
  </si>
  <si>
    <t>Museus e Monumentos de Portugal, E.P.E.</t>
  </si>
  <si>
    <t>Património Cultural, I.P.</t>
  </si>
  <si>
    <t>INEB – Instituto Nacional de Engenharia Biomédica</t>
  </si>
  <si>
    <t>Unidade Local de Saúde da Arrábida, E.P.E.</t>
  </si>
  <si>
    <t>Unidade Local de Saúde da Cova da Beira E.P.E.</t>
  </si>
  <si>
    <t>Unidade Local de Saúde da Lezíria E.P.E.</t>
  </si>
  <si>
    <t>Unidade Local de Saúde da Póvoa do Varzim/Vila do Conde, E.P.E.</t>
  </si>
  <si>
    <t>Unidade Local de Saúde de Aveiro, E.P.E.</t>
  </si>
  <si>
    <t>Unidade Local de Saúde de Leiria, E.P.E.</t>
  </si>
  <si>
    <t>Unidade Local de Saúde de Almada/Seixal, E.P.E.</t>
  </si>
  <si>
    <t>Unidade Local de Saúde de Amadora/Sintra, E.P.E.</t>
  </si>
  <si>
    <t>Unidade Local de Saúde de Barcelos/Esposende, E.P.E.</t>
  </si>
  <si>
    <t>Unidade Local de Saúde de Braga, E.P.E.</t>
  </si>
  <si>
    <t>Unidade Local de Saúde de Coimbra, E.P.E.</t>
  </si>
  <si>
    <t>Unidade Local de Saúde de Entre o Douro e Vouga, E.P.E.</t>
  </si>
  <si>
    <t>Unidade Local de Saúde de Lisboa Ocidental, E.P.E.</t>
  </si>
  <si>
    <t>Unidade Local de Saúde de Loures/Odivelas, E.P.E.</t>
  </si>
  <si>
    <t>Unidade Local de Saúde de Santa Maria, E.P.E.</t>
  </si>
  <si>
    <t>Unidade Local de Saúde de Santo António, E.P.E.</t>
  </si>
  <si>
    <t>Unidade Local de Saúde São João, E.P.E.</t>
  </si>
  <si>
    <t>Unidade Local de Saúde São José, E.P.E.</t>
  </si>
  <si>
    <t>Unidade Local de Saúde de Trás-os-Montes e Alto Douro, E.P.E.</t>
  </si>
  <si>
    <t>Unidade Local de Saúde de Vila Nova de Gaia/Espinho, E.P.E.</t>
  </si>
  <si>
    <t>Unidade Local de Saúde de Viseu Dão/ Lafões, E.P.E.</t>
  </si>
  <si>
    <t>Unidade Local de Saúde do Alentejo Central, E.P.E.</t>
  </si>
  <si>
    <t>Unidade Local de Saúde do Algarve, E.P.E.</t>
  </si>
  <si>
    <t>Unidade Local de Saúde da Alto Alentejo, E.P.E.</t>
  </si>
  <si>
    <t>Unidade Local de Saúde do Alto Ave, E.P.E.</t>
  </si>
  <si>
    <t>Unidade Local de Saúde do Arco Ribeirinho, E.P.E.</t>
  </si>
  <si>
    <t>Unidade Local de Saúde do Baixo Mondego, E.P.E.</t>
  </si>
  <si>
    <t>Unidade Local de Saúde do Estuário do Tejo, E.P.E.</t>
  </si>
  <si>
    <t>Unidade Local de Saúde do Médio Ave, E.P.E.</t>
  </si>
  <si>
    <t>Unidade Local de Saúde do Médio Tejo, E.P.E.</t>
  </si>
  <si>
    <t>Unidade Local de Saúde do Oeste, E.P.E.</t>
  </si>
  <si>
    <t>Associação Metropolitana de Operadores de Transporte de Lisboa</t>
  </si>
  <si>
    <t xml:space="preserve">Instituto dos Mercados Públicos, do Imobiliário e da Construção, I.P.  </t>
  </si>
  <si>
    <t>Autoridade de Gestão do MAR 2030</t>
  </si>
  <si>
    <t>Conselho para a Ação Climática</t>
  </si>
  <si>
    <t>INSTITUTO NACIONAL DE ENGENHARIA BIOMÉDICA</t>
  </si>
  <si>
    <t>Com a entrada em vigor, em 2024, do novo modelo organizativo do Serviço Nacional de Saúde (Decreto-Lei n.º 102/2023, de 7 de novembro), a designação apresentada no quadro foi adaptada de Hospitais EPE para Unidades de Saúde EPE e passa a incluir igualmente os Hospitais do Sector Público Administrativo, os Agrupamentos de Centros de Saúde e os Centros de Saúde, entidades anteriormente integradas no subsetor da saúde.</t>
  </si>
  <si>
    <t>With the entry into force, in 2024, of the new organizational model of the National Health Service (Decree-Law no. 102/2023, of 7 November), the designation presented in the table was adapted from EPE Hospitals to EPE Health Units, which now also includes Public Administrative Sector Hospitals, Groups of Health Centers and Health Centers, entities previously integrated into the health subsector.</t>
  </si>
  <si>
    <t>Transferências correntes – excedente para compensar as freguesias dos montantes mínimos das transferências financeiras realizadas ao abrigo da Lei de Finanças Locais - artigo 38.º da Lei n.º 73/2013, de 3 de setembro, na redação atual</t>
  </si>
  <si>
    <t>Current transfers – surplus to compensate parishes for the minimum amounts of financial transfers carried out under the Local Finance Law - article 38 of Law no. 73/2013, of September 3, in the current wording</t>
  </si>
  <si>
    <t>Atualização do valor de referência anual da prestação social de inclusão pela Portaria n.º 5/2021, de 6 de janeiro, com efeitos retroativos a partir de 1 de outubro de 2020. Esta operação contabilística gerou um movimento em sentido contrário na receita de Reposições não abatidas nos pagamentos</t>
  </si>
  <si>
    <t>Update of the annual reference value of the social inclusion benefit by Portaria No. 5/2021, of January 6, with retroactive effect from October 1, 2020. This accounting operation was compensated by an opposite efect on the revenue side</t>
  </si>
  <si>
    <t>Alteração da contabilização da despesa suportada pelos Estabelecimentos de Educação e Ensinos Básico e Secundário no âmbito dos encargos de funcionamento de "Outras despesas correntes" para "Aquisição de bens e serviços"</t>
  </si>
  <si>
    <t>Reclassification, in 2023, of the operating costs, by the Basic and Secondary Education and Education establishments, from ‘other current expenditure’ to ‘Purchase of goods and services’</t>
  </si>
  <si>
    <t>Pagamentos realizados pelo Fundo de Resolução ao Novo Banco, ao abrigo do Acordo de Capitalização Contingente, celebrado entre as duas entidades em outubro de 2017</t>
  </si>
  <si>
    <t>Payments made by the Resolution Fund to Novo Banco under the contingent capitalization agreement signed in october 2017 by the two parties</t>
  </si>
  <si>
    <t>Transferências de capital - excedente para compensar os municípios dos montantes mínimos das transferências financeiras realizadas ao abrigo da Lei de Finanças Locais - artigo 35.º da Lei n.º 73/2013, de 3 de setembro, na redação atual</t>
  </si>
  <si>
    <t>Capital transfers - surplus to compensate municipalities for the minimum amounts of financial transfers carried out under the Local Finance Law - article 35 of Law No. 73/2013, of September 3, in the current wording</t>
  </si>
  <si>
    <t>Receita fiscal</t>
  </si>
  <si>
    <t xml:space="preserve">Impostos diretos </t>
  </si>
  <si>
    <t>Impostos indiretos</t>
  </si>
  <si>
    <t>Contribuições para Segurança Social, CGA e ADSE</t>
  </si>
  <si>
    <t>Administrações Públicas</t>
  </si>
  <si>
    <t>Venda de bens de investimento</t>
  </si>
  <si>
    <t>Outras receitas de capital</t>
  </si>
  <si>
    <t>Outras despesas de capital</t>
  </si>
  <si>
    <t>PO01 — Órgãos de Soberania</t>
  </si>
  <si>
    <t>Procuradoria-Geral da República</t>
  </si>
  <si>
    <t>PO02 — Governação</t>
  </si>
  <si>
    <t>PO03 — Representação Externa</t>
  </si>
  <si>
    <t>Direção-Geral de Política de Defesa Nacional</t>
  </si>
  <si>
    <t>Tribunal Central Administrativo - Centro</t>
  </si>
  <si>
    <t>Tribunal Central Administrativo - Norte</t>
  </si>
  <si>
    <t>Tribunal Central Administrativo - Sul</t>
  </si>
  <si>
    <t>Universidade de Lisboa — Reitoria</t>
  </si>
  <si>
    <t>Unidade Local de Saúde do Tâmega e Sousa, E.P.E.</t>
  </si>
  <si>
    <t>PO15 — Ambiente e Energia</t>
  </si>
  <si>
    <t>Agência para a Gestão Integrada de Fogos Rurais, I.P.</t>
  </si>
  <si>
    <t xml:space="preserve">Estrutura de Missão para a Gestão do Plano Estratégico da Política Agrícola Comum de Portugal no Continente  </t>
  </si>
  <si>
    <t>Estrutura de Missão Recuperar Portugal</t>
  </si>
  <si>
    <t>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t>
  </si>
  <si>
    <t>LG (*) Data revised for Local Administration since 2020 based on information from SISAL, influenced by the transition process of municipalities to the new accounting reference - SNC-AP. Liabilities and arrears cover the effective expenditure of Local Government entities. For municipalities that did not report, the last report submitted is considered. Due to the incorporation of reports from defaulting entities, the data published monthly may be subject to revision.</t>
  </si>
  <si>
    <t>Número</t>
  </si>
  <si>
    <t>Subvenção no âmbito do PRR nos termos da Portaria n.º 193/2021, de 15 de setembro, classificada em rubrica de subsídios para entidades privadas, quando deveria ser enquadrada em despesa de transferências para entidade da administração central, objeto de eliminação no processo de consolidação</t>
  </si>
  <si>
    <t>Pagamento relativo ao princípio da onerosidade realizado pela Direção-Geral de Recursos da Defesa Nacional em dezembro de 2024, mas que diz respeito ao ano de 2023 (o montante em causa foi expurgado da despesa de 2024 e considerado em 2023, por forma a não afetar a comparabilidade homóloga).</t>
  </si>
  <si>
    <t>Directorate General for National Defence Resources - Payment made in December 2024, as a financial compensation for the use of public buildings, but which refers to the year 2023.</t>
  </si>
  <si>
    <t>For the entities above identified it is being used an estimate for the months without report, which corresponds to one twelfth of the approved budget excluding frozen allocations stated in the State Buget Law for 2025 (Law nr. 45-A/2024 of December 31th).</t>
  </si>
  <si>
    <t>Instituto da Habitação e da Reabilitação Urbana, I.P.</t>
  </si>
  <si>
    <t>Para as entidades identificadas considera-se na execução orçamental uma estimativa de execução para os meses em falta, a qual corresponde a um duodécimo do orçamento aprovado abatido dos cativos previstos na lei do OE2025 (Lei n.º 45-A/2024​, de 31 de dezembro).</t>
  </si>
  <si>
    <t>2025</t>
  </si>
  <si>
    <t>Total</t>
  </si>
  <si>
    <t>C21. REPOWEREU</t>
  </si>
  <si>
    <t>[1]</t>
  </si>
  <si>
    <t>[2]</t>
  </si>
  <si>
    <t>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t>
  </si>
  <si>
    <t>Comissão para a Igualdade e Contra a Discriminação Racial</t>
  </si>
  <si>
    <t>Estrutura de Missão Jornadas Mundiais Juventude</t>
  </si>
  <si>
    <t>PO04 — Finanças</t>
  </si>
  <si>
    <t>Direção Geral da Administração e do Emprego Público</t>
  </si>
  <si>
    <t>PO05 — Gestão da Dívida Pública</t>
  </si>
  <si>
    <t>PO06 — Defesa</t>
  </si>
  <si>
    <t>Secretaria-Geral do Ministério da Defesa Nacional</t>
  </si>
  <si>
    <t>PO07 — Justiça</t>
  </si>
  <si>
    <t>PO08 — Segurança Interna</t>
  </si>
  <si>
    <t>SIRESP — Gestão de Redes Digitais de Segurança e Emergência, S.A.</t>
  </si>
  <si>
    <t>PO09 — Educação</t>
  </si>
  <si>
    <t>PO10 — Ciência e Inovação</t>
  </si>
  <si>
    <t>Ação Governativa — Ministério da Educação, Ciência e Inovação (MECI)</t>
  </si>
  <si>
    <t>PO11 — Saúde</t>
  </si>
  <si>
    <t>Instituto para os Comportamentos Aditivos e as Dependências, I.P.</t>
  </si>
  <si>
    <t>PO12 — Infraestruturas e Habitação</t>
  </si>
  <si>
    <t>Gabinetes dos Membros do Governo do Ministério das Infraestruturas e Habitação</t>
  </si>
  <si>
    <t>PO13 — Economia</t>
  </si>
  <si>
    <t>Ação Governativa — Ministério da Economia</t>
  </si>
  <si>
    <t>Autoridade da Concorrência, I.P.</t>
  </si>
  <si>
    <t>Gabinete de Investigação de Acidentes Marítimos</t>
  </si>
  <si>
    <t>Gestão Administrativa e Financeira do Ministério da Economia</t>
  </si>
  <si>
    <t>Turismo do Porto e Norte de Portugal, E.R.T.</t>
  </si>
  <si>
    <t>PO14 — Trabalho, Solidariedade e Segurança Social</t>
  </si>
  <si>
    <t>Ação Governativa — Ministério do Ambiente e Energia</t>
  </si>
  <si>
    <t>Estrutura de Missão para o Licenciamento de Projetos de Energia Renováveis 2030</t>
  </si>
  <si>
    <t>PO16 — Juventude e Modernização</t>
  </si>
  <si>
    <t>Comissão para a Cidadania e a Igualdade de Género</t>
  </si>
  <si>
    <t>Gabinetes dos Membros do Governo do Ministério da Juventude e Modernização</t>
  </si>
  <si>
    <t>PO17 — Agricultura e Pescas</t>
  </si>
  <si>
    <t>Ação Governativa — Ministério da Agricultura e Pescas</t>
  </si>
  <si>
    <t>Gabinete de Planeamento Políticas e Administração Geral</t>
  </si>
  <si>
    <t>PO18 — Cultura</t>
  </si>
  <si>
    <t>Fundo para a Aquisição de Bens Culturais</t>
  </si>
  <si>
    <t>FUNDAÇÃO PARA O DESENVOLVIMENTO CIÊNCIAS ECONÓMICAS FINANCEIRAS E EMPRESARIAIS</t>
  </si>
  <si>
    <t>The Budget Execution Summary provides information on public accounting, which follows a cash-basis approach. This means that expenditures and revenues are linked to actual payments and receipts. In contrast, national accounts record expenditures and revenues on an accrual-basis, indicating that accounting occurs regardless of when payments are made.</t>
  </si>
  <si>
    <t>Fundo de Dívidas e Garantias</t>
  </si>
  <si>
    <t>082 - Segurança e Ação Social - Violência doméstica - Prevenção e proteção à vítima</t>
  </si>
  <si>
    <t>084 - Simplex +</t>
  </si>
  <si>
    <t>Contributo VHA (pp)</t>
  </si>
  <si>
    <t>Absoluta</t>
  </si>
  <si>
    <t>[3]</t>
  </si>
  <si>
    <r>
      <t xml:space="preserve">Administração Regional de Saúde do Alentejo, I.P. </t>
    </r>
    <r>
      <rPr>
        <b/>
        <sz val="8"/>
        <color theme="1"/>
        <rFont val="Calibri"/>
        <family val="2"/>
        <scheme val="minor"/>
      </rPr>
      <t>a)</t>
    </r>
  </si>
  <si>
    <r>
      <t xml:space="preserve">Administração Regional de Saúde do Algarve, I.P. </t>
    </r>
    <r>
      <rPr>
        <b/>
        <sz val="8"/>
        <color theme="1"/>
        <rFont val="Calibri"/>
        <family val="2"/>
        <scheme val="minor"/>
      </rPr>
      <t>a)</t>
    </r>
  </si>
  <si>
    <r>
      <t>Administração Regional de Saúde do Centro, I.P.</t>
    </r>
    <r>
      <rPr>
        <b/>
        <sz val="8"/>
        <color theme="1"/>
        <rFont val="Calibri"/>
        <family val="2"/>
        <scheme val="minor"/>
      </rPr>
      <t xml:space="preserve"> a)</t>
    </r>
  </si>
  <si>
    <r>
      <t xml:space="preserve">Administração Regional de Saúde de Lisboa e Vale do Tejo, I.P. </t>
    </r>
    <r>
      <rPr>
        <b/>
        <sz val="8"/>
        <color theme="1"/>
        <rFont val="Calibri"/>
        <family val="2"/>
        <scheme val="minor"/>
      </rPr>
      <t>a)</t>
    </r>
  </si>
  <si>
    <r>
      <t xml:space="preserve">Administração Regional de Saúde do Norte, I.P. </t>
    </r>
    <r>
      <rPr>
        <b/>
        <sz val="8"/>
        <color theme="1"/>
        <rFont val="Calibri"/>
        <family val="2"/>
        <scheme val="minor"/>
      </rPr>
      <t>a)</t>
    </r>
  </si>
  <si>
    <r>
      <t xml:space="preserve">Centro de Competências para a Economia Social (CCES) </t>
    </r>
    <r>
      <rPr>
        <b/>
        <sz val="8"/>
        <color rgb="FF000000"/>
        <rFont val="Calibri"/>
        <family val="2"/>
        <scheme val="minor"/>
      </rPr>
      <t>b)</t>
    </r>
  </si>
  <si>
    <t>Autoridade Nacional de Comunicações</t>
  </si>
  <si>
    <t>[4]</t>
  </si>
  <si>
    <t>[5]</t>
  </si>
  <si>
    <t>[6]</t>
  </si>
  <si>
    <t>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t>
  </si>
  <si>
    <t>001 - Órgãos de Soberania</t>
  </si>
  <si>
    <t>002 - Governação</t>
  </si>
  <si>
    <t>003 - Representação Externa</t>
  </si>
  <si>
    <t>004 - Finanças</t>
  </si>
  <si>
    <t>006 - Defesa</t>
  </si>
  <si>
    <t>007 - Justiça</t>
  </si>
  <si>
    <t>008 - Segurança Interna</t>
  </si>
  <si>
    <t>009 - Educação</t>
  </si>
  <si>
    <t>010 - Ciência e Inovação</t>
  </si>
  <si>
    <t>011 - Saúde</t>
  </si>
  <si>
    <t>012 - Infraestruturas e Habitação</t>
  </si>
  <si>
    <t>013 - Economia</t>
  </si>
  <si>
    <t>014 - Trabalho, Solidariedade e Segurança Social</t>
  </si>
  <si>
    <t>015 - Ambiente e Energia</t>
  </si>
  <si>
    <t>016 - Juventude e Modernização</t>
  </si>
  <si>
    <t>017 - Agricultura e Pescas</t>
  </si>
  <si>
    <t>018 - Cultura</t>
  </si>
  <si>
    <t>Source: Compiled by EO on data collected by BE, ACSS, DGAL, DGTF,  Azores Autonomous Region Budget and Treasury Regional Directorate and Madeira Autonomous Region Budget and Treasury Regional Directorate.</t>
  </si>
  <si>
    <r>
      <t xml:space="preserve">Agência para o Clima, I.P. </t>
    </r>
    <r>
      <rPr>
        <b/>
        <sz val="8"/>
        <color rgb="FF000000"/>
        <rFont val="Calibri"/>
        <family val="2"/>
        <scheme val="minor"/>
      </rPr>
      <t>c)</t>
    </r>
  </si>
  <si>
    <t>Côa Parque — Fundação para a Salvaguarda e Valorização do Vale do Côa</t>
  </si>
  <si>
    <t>IAPMEI - Agência para a Competitividade e Inovação, I.P.</t>
  </si>
  <si>
    <r>
      <t xml:space="preserve">Unidade Técnica de Acompanhamento e Monitorização do Setor Público Empresarial </t>
    </r>
    <r>
      <rPr>
        <b/>
        <sz val="8"/>
        <color rgb="FF000000"/>
        <rFont val="Calibri"/>
        <family val="2"/>
        <scheme val="minor"/>
      </rPr>
      <t>d)</t>
    </r>
  </si>
  <si>
    <r>
      <t>Centro de Competências de Envelhecimento Ativo</t>
    </r>
    <r>
      <rPr>
        <b/>
        <sz val="8"/>
        <color rgb="FF000000"/>
        <rFont val="Calibri"/>
        <family val="2"/>
        <scheme val="minor"/>
      </rPr>
      <t xml:space="preserve"> b)</t>
    </r>
  </si>
  <si>
    <r>
      <t>Centro para a Economia e Inovação Social</t>
    </r>
    <r>
      <rPr>
        <b/>
        <sz val="8"/>
        <color rgb="FF000000"/>
        <rFont val="Calibri"/>
        <family val="2"/>
        <scheme val="minor"/>
      </rPr>
      <t xml:space="preserve"> b)</t>
    </r>
  </si>
  <si>
    <t>Agência Espacial Portuguesa — Portugal SPACE</t>
  </si>
  <si>
    <r>
      <t xml:space="preserve">Unidade Técnica de Acompanhamento de Projetos </t>
    </r>
    <r>
      <rPr>
        <b/>
        <sz val="8"/>
        <color rgb="FF000000"/>
        <rFont val="Calibri"/>
        <family val="2"/>
        <scheme val="minor"/>
      </rPr>
      <t>d)</t>
    </r>
  </si>
  <si>
    <r>
      <t>Entidade do Tesouro e Finanças</t>
    </r>
    <r>
      <rPr>
        <b/>
        <sz val="8"/>
        <color rgb="FF000000"/>
        <rFont val="Calibri"/>
        <family val="2"/>
        <scheme val="minor"/>
      </rPr>
      <t xml:space="preserve"> f)</t>
    </r>
  </si>
  <si>
    <r>
      <t xml:space="preserve">Entidade Orçamental </t>
    </r>
    <r>
      <rPr>
        <b/>
        <sz val="8"/>
        <color rgb="FF000000"/>
        <rFont val="Calibri"/>
        <family val="2"/>
        <scheme val="minor"/>
      </rPr>
      <t>e)</t>
    </r>
  </si>
  <si>
    <r>
      <t>d)</t>
    </r>
    <r>
      <rPr>
        <sz val="7"/>
        <color theme="1"/>
        <rFont val="Times New Roman"/>
        <family val="1"/>
      </rPr>
      <t xml:space="preserve"> </t>
    </r>
    <r>
      <rPr>
        <sz val="8"/>
        <color theme="1"/>
        <rFont val="Calibri"/>
        <family val="2"/>
        <scheme val="minor"/>
      </rPr>
      <t>Unidade Técnica de Acompanhamento de Projetos e Unidade Técnica de Acompanhamento e Monitorização do Setor Público Empresarial –  Fusão na Entidade do Tesouro e Finanças, nos termos do artigo 1.º do Decreto-Lei n.º  56/2025, de 31 de março.</t>
    </r>
  </si>
  <si>
    <t>f) Alteração da designação da Direção Geral do Tesouro e Finanças para Entidade do Tesouro e Finanças, nos termos do Decreto-Lei n.º 56/2025, de 31 de março.</t>
  </si>
  <si>
    <t>e) Alteração da designação da Direção Geral do Orçamento para Entidade Orçamental, nos temos do Decreto-Lei n.º 53/2025, de 28 de março.</t>
  </si>
  <si>
    <t>ENTIDADE REGIONAL DE TURISMO DA REGIÃO DE LISBOA</t>
  </si>
  <si>
    <t>junho</t>
  </si>
  <si>
    <t>(3)</t>
  </si>
  <si>
    <t>Associação Metropolitana de Operadores de Transporte de Lisboa; Banif, S.A.;  Costa Polis - Sociedade para o Desenvolvimento do Programa Polis na Costa da Caparica, S.A.; Fundação para o Desenvolvimento das Ciências Económicas, Financeiras e Empresariais; Instituto Nacional de Engenharia Biomédica.</t>
  </si>
  <si>
    <t>Instituições do Ensino Superior</t>
  </si>
  <si>
    <t>Serviço Nacional de Saúde</t>
  </si>
  <si>
    <t>julho</t>
  </si>
  <si>
    <t>COSTA POLIS SOC PARA O DESENVOLVIMENTO DO PROG POLIS NA COSTA DA CAPARICA, S.A.</t>
  </si>
  <si>
    <t>ASSOCIAÇÃO METROPOLITANA DE OPERADORES DE TRANSPORTE DE LISBOA</t>
  </si>
  <si>
    <t>---</t>
  </si>
  <si>
    <t>[7]</t>
  </si>
  <si>
    <t>[8]</t>
  </si>
  <si>
    <t>Associação Metropolitana de Operadores de Transporte de Lisboa; Banif, S.A.; Costa Polis - Sociedade para o Desenvolvimento do Programa Polis na Costa da Caparica, S.A.; Entidade Regional de Turismo da Região de Lisboa; Escola Portuguesa de Luanda-Centro de Ensino e Língua Portuguesa; Fundação para o Desenvolvimento das Ciências Económicas, Financeiras e Empresariais; Instituto Nacional de Engenharia Biomédica.</t>
  </si>
  <si>
    <t>agosto</t>
  </si>
  <si>
    <t>ESCOLA PORTUGUESA DE LUANDA-CENTRO DE ENSINO E LÍNGUA PORTUGUESA</t>
  </si>
  <si>
    <t>janeiro; fevereiro; março; abril; maio; junho; julho; agosto</t>
  </si>
  <si>
    <t>julho; agosto</t>
  </si>
  <si>
    <t>junho; julho: agosto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</si>
</sst>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71">
    <numFmt numFmtId="44" formatCode="_-* #,##0.00\ &quot;€&quot;_-;\-* #,##0.00\ &quot;€&quot;_-;_-* &quot;-&quot;??\ &quot;€&quot;_-;_-@_-"/>
    <numFmt numFmtId="43" formatCode="_-* #,##0.00_-;\-* #,##0.00_-;_-* &quot;-&quot;??_-;_-@_-"/>
    <numFmt numFmtId="164" formatCode="_-* #,##0.00\ _€_-;\-* #,##0.00\ _€_-;_-* &quot;-&quot;??\ _€_-;_-@_-"/>
    <numFmt numFmtId="165" formatCode="#,##0.0"/>
    <numFmt numFmtId="166" formatCode="0.0"/>
    <numFmt numFmtId="167" formatCode="#,##0.000"/>
    <numFmt numFmtId="168" formatCode="#,##0.0000"/>
    <numFmt numFmtId="169" formatCode="#,##0.000000"/>
    <numFmt numFmtId="170" formatCode="#,##0.00000000"/>
    <numFmt numFmtId="171" formatCode="#,##0.000000000"/>
    <numFmt numFmtId="172" formatCode="#,##0.0000000"/>
    <numFmt numFmtId="173" formatCode="_-* #,##0.0000000\ _€_-;\-* #,##0.0000000\ _€_-;_-* &quot;-&quot;??\ _€_-;_-@_-"/>
    <numFmt numFmtId="174" formatCode="_-* #,##0\ _€_-;\-* #,##0\ _€_-;_-* &quot;-&quot;??\ _€_-;_-@_-"/>
    <numFmt numFmtId="175" formatCode="_-* #,##0.0\ _€_-;\-* #,##0.0\ _€_-;_-* &quot;-&quot;??\ _€_-;_-@_-"/>
    <numFmt numFmtId="176" formatCode="[$-816]dd/mmm/yy;@"/>
    <numFmt numFmtId="177" formatCode="0.0%"/>
    <numFmt numFmtId="178" formatCode="#,##0.00000"/>
    <numFmt numFmtId="179" formatCode="#,##0.0_ ;\-#,##0.0\ "/>
    <numFmt numFmtId="180" formatCode="_-* #,##0\ [$€-1]_-;\-* #,##0\ [$€-1]_-;_-* &quot;-&quot;??\ [$€-1]_-"/>
    <numFmt numFmtId="181" formatCode="[$-409]mmm\-yy;@"/>
    <numFmt numFmtId="182" formatCode="#,##0;\(#,##0\)"/>
    <numFmt numFmtId="183" formatCode="#,##0;\-#,##0;\-"/>
    <numFmt numFmtId="184" formatCode="&quot;$&quot;#,##0.00_);[Red]\(&quot;$&quot;#,##0.00\)"/>
    <numFmt numFmtId="185" formatCode="0.000"/>
    <numFmt numFmtId="186" formatCode="&quot;Perpetuidade (g= &quot;0.0%&quot;)&quot;"/>
    <numFmt numFmtId="187" formatCode="[$-409]mmm/yy;@"/>
    <numFmt numFmtId="188" formatCode="_-* #,##0.0\ &quot;€&quot;_-;\-* #,##0.0\ &quot;€&quot;_-;_-* &quot;-&quot;??\ &quot;€&quot;_-;_-@_-"/>
    <numFmt numFmtId="189" formatCode="_-* #,##0\ &quot;€&quot;_-;\-* #,##0\ &quot;€&quot;_-;_-* &quot;-&quot;??\ &quot;€&quot;_-;_-@_-"/>
    <numFmt numFmtId="190" formatCode="&quot;$&quot;#,##0.00_);\(&quot;$&quot;#,##0.00\)"/>
    <numFmt numFmtId="191" formatCode="_(&quot;$&quot;* #,##0.00_);_(&quot;$&quot;* \(#,##0.00\);_(&quot;$&quot;* &quot;-&quot;??_);_(@_)"/>
    <numFmt numFmtId="192" formatCode="&quot;$&quot;#,##0_);\(&quot;$&quot;#,##0\)"/>
    <numFmt numFmtId="193" formatCode="mmmm\ d\,\ yyyy"/>
    <numFmt numFmtId="194" formatCode="_-* #,##0.00\ [$€]_-;\-* #,##0.00\ [$€]_-;_-* &quot;-&quot;??\ [$€]_-;_-@_-"/>
    <numFmt numFmtId="195" formatCode="_-* #,##0.00\ [$€-1]_-;\-* #,##0.00\ [$€-1]_-;_-* &quot;-&quot;??\ [$€-1]_-"/>
    <numFmt numFmtId="196" formatCode="mmm\-d\-yyyy"/>
    <numFmt numFmtId="197" formatCode="#,##0.0_);[Red]\(#,##0.0\)"/>
    <numFmt numFmtId="198" formatCode="0.0%;[Red]\(0.0%\)"/>
    <numFmt numFmtId="199" formatCode="_-* #,##0.00\ _P_t_s_-;\-* #,##0.00\ _P_t_s_-;_-* &quot;-&quot;??\ _P_t_s_-;_-@_-"/>
    <numFmt numFmtId="200" formatCode="_-* #,##0.00\ &quot;Esc.&quot;_-;\-* #,##0.00\ &quot;Esc.&quot;_-;_-* &quot;-&quot;??\ &quot;Esc.&quot;_-;_-@_-"/>
    <numFmt numFmtId="201" formatCode="_-* #,##0.00\ &quot;Pts&quot;_-;\-* #,##0.00\ &quot;Pts&quot;_-;_-* &quot;-&quot;??\ &quot;Pts&quot;_-;_-@_-"/>
    <numFmt numFmtId="202" formatCode="#,##0\ "/>
    <numFmt numFmtId="203" formatCode="0.00_)"/>
    <numFmt numFmtId="204" formatCode="#,##0.000_);[Red]\(#,##0.000\)"/>
    <numFmt numFmtId="205" formatCode="0_)"/>
    <numFmt numFmtId="206" formatCode="0.00%;[Red]\(0.00%\)"/>
    <numFmt numFmtId="207" formatCode="0.0%&quot;Sales&quot;"/>
    <numFmt numFmtId="208" formatCode="_-* #,##0.00\ _E_s_c_._-;\-* #,##0.00\ _E_s_c_._-;_-* &quot;-&quot;??\ _E_s_c_._-;_-@_-"/>
    <numFmt numFmtId="209" formatCode="dd\-mmm\-yy_);;\-\ \ ;@"/>
    <numFmt numFmtId="210" formatCode="_-* #.##0.00\ [$€]_-;\-* #.##0.00\ [$€]_-;_-* &quot;-&quot;??\ [$€]_-;_-@_-"/>
    <numFmt numFmtId="211" formatCode="#,##0.0000_);\(#,##0.0000\);\-\ \ ;@"/>
    <numFmt numFmtId="212" formatCode="&quot; &quot;#,##0.00&quot;    &quot;;&quot;-&quot;#,##0.00&quot;    &quot;;&quot; -&quot;#&quot;    &quot;;&quot; &quot;@&quot; &quot;"/>
    <numFmt numFmtId="213" formatCode="[$-816]mmm/yy;@"/>
    <numFmt numFmtId="214" formatCode="[$-816]d/mmm;@"/>
    <numFmt numFmtId="215" formatCode="_-* #,##0.00\ [$€-1]_-;\-* #,##0.00\ [$€-1]_-;_-* &quot;-&quot;??\ [$€-1]_-;_-@_-"/>
    <numFmt numFmtId="216" formatCode="_([$€]* #,##0.00_);_([$€]* \(#,##0.00\);_([$€]* &quot;-&quot;??_);_(@_)"/>
    <numFmt numFmtId="217" formatCode="_-* #,##0\ [$€-1]_-;\-* #,##0\ [$€-1]_-;_-* &quot;-&quot;??\ [$€-1]_-;_-@_-"/>
    <numFmt numFmtId="218" formatCode="#.##000"/>
    <numFmt numFmtId="219" formatCode="#.##0,"/>
    <numFmt numFmtId="220" formatCode="\$#,#00"/>
    <numFmt numFmtId="221" formatCode="\$#,"/>
    <numFmt numFmtId="222" formatCode="_ * #,##0.00_)&quot;€&quot;;_ * \(#,##0.00\)&quot;€&quot;;\-;_ @_ "/>
    <numFmt numFmtId="223" formatCode="#,#00"/>
    <numFmt numFmtId="224" formatCode="%#,#00"/>
    <numFmt numFmtId="225" formatCode="#,##0.00\ [$€];[Red]\-#,##0.00\ [$€]"/>
    <numFmt numFmtId="226" formatCode="_-* #,##0\ _F_-;\-* #,##0\ _F_-;_-* &quot;-&quot;\ _F_-;_-@_-"/>
    <numFmt numFmtId="227" formatCode="_-* #,##0.00\ _F_-;\-* #,##0.00\ _F_-;_-* &quot;-&quot;??\ _F_-;_-@_-"/>
    <numFmt numFmtId="228" formatCode="_-* #,##0\ &quot;F&quot;_-;\-* #,##0\ &quot;F&quot;_-;_-* &quot;-&quot;\ &quot;F&quot;_-;_-@_-"/>
    <numFmt numFmtId="229" formatCode="_-* #,##0.00\ &quot;F&quot;_-;\-* #,##0.00\ &quot;F&quot;_-;_-* &quot;-&quot;??\ &quot;F&quot;_-;_-@_-"/>
    <numFmt numFmtId="230" formatCode="[$-816]General"/>
    <numFmt numFmtId="231" formatCode="#,##0.00&quot; &quot;[$€-816];[Red]&quot;-&quot;#,##0.00&quot; &quot;[$€-816]"/>
    <numFmt numFmtId="232" formatCode="[$-816]#,##0.00"/>
  </numFmts>
  <fonts count="212">
    <font>
      <sz val="11"/>
      <color theme="1"/>
      <name val="Calibri"/>
      <family val="2"/>
      <scheme val="minor"/>
    </font>
    <font>
      <sz val="10"/>
      <name val="Arial"/>
      <family val="2"/>
    </font>
    <font>
      <sz val="8"/>
      <name val="Arial"/>
      <family val="2"/>
    </font>
    <font>
      <sz val="12"/>
      <name val="Times New Roman"/>
      <family val="1"/>
    </font>
    <font>
      <sz val="8"/>
      <name val="Calibri"/>
      <family val="2"/>
    </font>
    <font>
      <sz val="9"/>
      <name val="Calibri"/>
      <family val="2"/>
    </font>
    <font>
      <sz val="8"/>
      <color indexed="8"/>
      <name val="Calibri"/>
      <family val="2"/>
    </font>
    <font>
      <sz val="10"/>
      <name val="Times New Roman"/>
      <family val="1"/>
    </font>
    <font>
      <b/>
      <sz val="8"/>
      <name val="Calibri"/>
      <family val="2"/>
    </font>
    <font>
      <b/>
      <sz val="8"/>
      <color indexed="8"/>
      <name val="Calibri"/>
      <family val="2"/>
    </font>
    <font>
      <sz val="9"/>
      <name val="Arial"/>
      <family val="2"/>
    </font>
    <font>
      <b/>
      <sz val="8"/>
      <color indexed="10"/>
      <name val="Calibri"/>
      <family val="2"/>
    </font>
    <font>
      <sz val="11"/>
      <name val="Calibri"/>
      <family val="2"/>
    </font>
    <font>
      <sz val="8"/>
      <name val="Garamond"/>
      <family val="1"/>
    </font>
    <font>
      <sz val="7"/>
      <color indexed="18"/>
      <name val="Arial"/>
      <family val="2"/>
    </font>
    <font>
      <sz val="11"/>
      <color indexed="8"/>
      <name val="Calibri"/>
      <family val="2"/>
    </font>
    <font>
      <sz val="10"/>
      <color indexed="8"/>
      <name val="Arial"/>
      <family val="2"/>
    </font>
    <font>
      <sz val="11"/>
      <color indexed="9"/>
      <name val="Calibri"/>
      <family val="2"/>
    </font>
    <font>
      <sz val="10"/>
      <color indexed="9"/>
      <name val="Arial"/>
      <family val="2"/>
    </font>
    <font>
      <b/>
      <sz val="9"/>
      <name val="Helv"/>
    </font>
    <font>
      <sz val="10"/>
      <color indexed="16"/>
      <name val="Arial"/>
      <family val="2"/>
    </font>
    <font>
      <b/>
      <sz val="18"/>
      <name val="Arial"/>
      <family val="2"/>
    </font>
    <font>
      <b/>
      <sz val="15"/>
      <color indexed="56"/>
      <name val="Calibri"/>
      <family val="2"/>
    </font>
    <font>
      <b/>
      <sz val="15"/>
      <color indexed="62"/>
      <name val="Calibri"/>
      <family val="2"/>
    </font>
    <font>
      <b/>
      <sz val="15"/>
      <color indexed="56"/>
      <name val="Arial"/>
      <family val="2"/>
    </font>
    <font>
      <b/>
      <sz val="13"/>
      <color indexed="56"/>
      <name val="Calibri"/>
      <family val="2"/>
    </font>
    <font>
      <b/>
      <sz val="13"/>
      <color indexed="62"/>
      <name val="Calibri"/>
      <family val="2"/>
    </font>
    <font>
      <b/>
      <sz val="13"/>
      <color indexed="56"/>
      <name val="Arial"/>
      <family val="2"/>
    </font>
    <font>
      <b/>
      <sz val="11"/>
      <color indexed="56"/>
      <name val="Calibri"/>
      <family val="2"/>
    </font>
    <font>
      <b/>
      <sz val="11"/>
      <color indexed="62"/>
      <name val="Calibri"/>
      <family val="2"/>
    </font>
    <font>
      <b/>
      <sz val="11"/>
      <color indexed="56"/>
      <name val="Arial"/>
      <family val="2"/>
    </font>
    <font>
      <b/>
      <sz val="10"/>
      <color indexed="53"/>
      <name val="Arial"/>
      <family val="2"/>
    </font>
    <font>
      <b/>
      <sz val="10"/>
      <color indexed="52"/>
      <name val="Arial"/>
      <family val="2"/>
    </font>
    <font>
      <sz val="11"/>
      <color indexed="52"/>
      <name val="Calibri"/>
      <family val="2"/>
    </font>
    <font>
      <sz val="10"/>
      <color indexed="52"/>
      <name val="Arial"/>
      <family val="2"/>
    </font>
    <font>
      <b/>
      <sz val="10"/>
      <color indexed="9"/>
      <name val="Arial"/>
      <family val="2"/>
    </font>
    <font>
      <sz val="12"/>
      <name val="Arial"/>
      <family val="2"/>
    </font>
    <font>
      <sz val="11"/>
      <color indexed="17"/>
      <name val="Calibri"/>
      <family val="2"/>
    </font>
    <font>
      <sz val="10"/>
      <color indexed="17"/>
      <name val="Arial"/>
      <family val="2"/>
    </font>
    <font>
      <b/>
      <sz val="8"/>
      <name val="Arial"/>
      <family val="2"/>
    </font>
    <font>
      <sz val="8"/>
      <name val="Tahoma"/>
      <family val="2"/>
    </font>
    <font>
      <b/>
      <sz val="10"/>
      <color indexed="8"/>
      <name val="Arial"/>
      <family val="2"/>
    </font>
    <font>
      <sz val="11"/>
      <color indexed="62"/>
      <name val="Calibri"/>
      <family val="2"/>
    </font>
    <font>
      <sz val="10"/>
      <color indexed="62"/>
      <name val="Arial"/>
      <family val="2"/>
    </font>
    <font>
      <sz val="11"/>
      <name val="Times New Roman"/>
      <family val="1"/>
    </font>
    <font>
      <i/>
      <sz val="11"/>
      <color indexed="23"/>
      <name val="Calibri"/>
      <family val="2"/>
    </font>
    <font>
      <sz val="10"/>
      <color indexed="23"/>
      <name val="Arial"/>
      <family val="2"/>
    </font>
    <font>
      <b/>
      <sz val="12"/>
      <name val="Arial"/>
      <family val="2"/>
    </font>
    <font>
      <u/>
      <sz val="11"/>
      <color indexed="12"/>
      <name val="Calibri"/>
      <family val="2"/>
    </font>
    <font>
      <sz val="11"/>
      <color indexed="20"/>
      <name val="Calibri"/>
      <family val="2"/>
    </font>
    <font>
      <sz val="10"/>
      <color indexed="20"/>
      <name val="Arial"/>
      <family val="2"/>
    </font>
    <font>
      <sz val="10"/>
      <color indexed="24"/>
      <name val="Arial"/>
      <family val="2"/>
    </font>
    <font>
      <sz val="8"/>
      <color indexed="10"/>
      <name val="Arial"/>
      <family val="2"/>
    </font>
    <font>
      <sz val="10"/>
      <color indexed="60"/>
      <name val="Arial"/>
      <family val="2"/>
    </font>
    <font>
      <b/>
      <i/>
      <sz val="16"/>
      <name val="Helv"/>
    </font>
    <font>
      <sz val="10"/>
      <name val="Courier"/>
      <family val="3"/>
    </font>
    <font>
      <sz val="12"/>
      <name val="Courier"/>
      <family val="3"/>
    </font>
    <font>
      <sz val="10"/>
      <name val="MS Sans Serif"/>
      <family val="2"/>
    </font>
    <font>
      <sz val="10"/>
      <name val="Arial CE"/>
      <charset val="238"/>
    </font>
    <font>
      <sz val="10"/>
      <name val="Times New Roman CE"/>
      <family val="1"/>
      <charset val="238"/>
    </font>
    <font>
      <b/>
      <sz val="10"/>
      <color indexed="63"/>
      <name val="Arial"/>
      <family val="2"/>
    </font>
    <font>
      <sz val="10"/>
      <name val="Helv"/>
    </font>
    <font>
      <b/>
      <sz val="11"/>
      <color indexed="63"/>
      <name val="Calibri"/>
      <family val="2"/>
    </font>
    <font>
      <b/>
      <sz val="18"/>
      <color indexed="62"/>
      <name val="Cambria"/>
      <family val="2"/>
    </font>
    <font>
      <sz val="11"/>
      <color indexed="10"/>
      <name val="Calibri"/>
      <family val="2"/>
    </font>
    <font>
      <sz val="10"/>
      <color indexed="10"/>
      <name val="Arial"/>
      <family val="2"/>
    </font>
    <font>
      <i/>
      <sz val="10"/>
      <color indexed="23"/>
      <name val="Arial"/>
      <family val="2"/>
    </font>
    <font>
      <b/>
      <sz val="18"/>
      <color indexed="56"/>
      <name val="Cambria"/>
      <family val="2"/>
    </font>
    <font>
      <b/>
      <sz val="16"/>
      <color indexed="9"/>
      <name val="Arial"/>
      <family val="2"/>
    </font>
    <font>
      <b/>
      <sz val="14"/>
      <name val="Arial"/>
      <family val="2"/>
    </font>
    <font>
      <b/>
      <sz val="11"/>
      <name val="Arial"/>
      <family val="2"/>
    </font>
    <font>
      <b/>
      <sz val="10"/>
      <name val="Helv"/>
    </font>
    <font>
      <b/>
      <sz val="11"/>
      <color indexed="8"/>
      <name val="Calibri"/>
      <family val="2"/>
    </font>
    <font>
      <b/>
      <sz val="11"/>
      <color indexed="9"/>
      <name val="Calibri"/>
      <family val="2"/>
    </font>
    <font>
      <sz val="10"/>
      <name val="Tahoma"/>
      <family val="2"/>
    </font>
    <font>
      <sz val="11"/>
      <color theme="1"/>
      <name val="Calibri"/>
      <family val="2"/>
      <scheme val="minor"/>
    </font>
    <font>
      <sz val="11"/>
      <color theme="1"/>
      <name val="Calibri"/>
      <family val="2"/>
    </font>
    <font>
      <b/>
      <sz val="15"/>
      <color theme="3"/>
      <name val="Calibri"/>
      <family val="2"/>
      <scheme val="minor"/>
    </font>
    <font>
      <b/>
      <sz val="13"/>
      <color theme="3"/>
      <name val="Calibri"/>
      <family val="2"/>
      <scheme val="minor"/>
    </font>
    <font>
      <b/>
      <sz val="11"/>
      <color theme="3"/>
      <name val="Calibri"/>
      <family val="2"/>
      <scheme val="minor"/>
    </font>
    <font>
      <sz val="9"/>
      <name val="Calibri"/>
      <family val="2"/>
      <scheme val="minor"/>
    </font>
    <font>
      <b/>
      <sz val="11"/>
      <color rgb="FFFA7D00"/>
      <name val="Calibri"/>
      <family val="2"/>
    </font>
    <font>
      <sz val="11"/>
      <color rgb="FFFA7D00"/>
      <name val="Calibri"/>
      <family val="2"/>
      <scheme val="minor"/>
    </font>
    <font>
      <sz val="11"/>
      <color rgb="FF006100"/>
      <name val="Calibri"/>
      <family val="2"/>
      <scheme val="minor"/>
    </font>
    <font>
      <sz val="11"/>
      <color rgb="FF006100"/>
      <name val="Calibri"/>
      <family val="2"/>
    </font>
    <font>
      <sz val="11"/>
      <color rgb="FF3F3F76"/>
      <name val="Calibri"/>
      <family val="2"/>
      <scheme val="minor"/>
    </font>
    <font>
      <sz val="11"/>
      <color rgb="FF3F3F76"/>
      <name val="Calibri"/>
      <family val="2"/>
    </font>
    <font>
      <u/>
      <sz val="11"/>
      <color theme="10"/>
      <name val="Calibri"/>
      <family val="2"/>
      <scheme val="minor"/>
    </font>
    <font>
      <u/>
      <sz val="11"/>
      <color theme="10"/>
      <name val="Calibri"/>
      <family val="2"/>
    </font>
    <font>
      <u/>
      <sz val="8"/>
      <color rgb="FF0000FF"/>
      <name val="Calibri"/>
      <family val="2"/>
      <scheme val="minor"/>
    </font>
    <font>
      <sz val="11"/>
      <color rgb="FF9C6500"/>
      <name val="Calibri"/>
      <family val="2"/>
    </font>
    <font>
      <sz val="9"/>
      <color theme="1"/>
      <name val="Arial"/>
      <family val="2"/>
    </font>
    <font>
      <sz val="10"/>
      <color theme="1"/>
      <name val="Calibri Light"/>
      <family val="2"/>
    </font>
    <font>
      <sz val="11"/>
      <color theme="1"/>
      <name val="Arial Narrow"/>
      <family val="2"/>
    </font>
    <font>
      <sz val="10"/>
      <color theme="1"/>
      <name val="Calibri"/>
      <family val="2"/>
      <scheme val="minor"/>
    </font>
    <font>
      <b/>
      <sz val="9"/>
      <color rgb="FFFFFFFF"/>
      <name val="Calibri"/>
      <family val="2"/>
    </font>
    <font>
      <b/>
      <sz val="9"/>
      <color rgb="FF000000"/>
      <name val="Calibri"/>
      <family val="2"/>
    </font>
    <font>
      <b/>
      <sz val="9"/>
      <name val="Calibri"/>
      <family val="2"/>
      <scheme val="minor"/>
    </font>
    <font>
      <sz val="9"/>
      <color theme="1"/>
      <name val="Calibri"/>
      <family val="2"/>
      <scheme val="minor"/>
    </font>
    <font>
      <sz val="8"/>
      <color theme="1"/>
      <name val="Calibri"/>
      <family val="2"/>
      <scheme val="minor"/>
    </font>
    <font>
      <b/>
      <sz val="12"/>
      <color rgb="FF0035BA"/>
      <name val="Calibri"/>
      <family val="2"/>
      <scheme val="minor"/>
    </font>
    <font>
      <b/>
      <sz val="14"/>
      <color rgb="FF0019D5"/>
      <name val="Calibri"/>
      <family val="2"/>
    </font>
    <font>
      <sz val="11"/>
      <color rgb="FFFF0000"/>
      <name val="Calibri"/>
      <family val="2"/>
      <scheme val="minor"/>
    </font>
    <font>
      <b/>
      <sz val="12"/>
      <color rgb="FF00527E"/>
      <name val="Calibri"/>
      <family val="2"/>
      <scheme val="minor"/>
    </font>
    <font>
      <b/>
      <sz val="9"/>
      <color rgb="FF00527E"/>
      <name val="Calibri"/>
      <family val="2"/>
    </font>
    <font>
      <b/>
      <sz val="8"/>
      <color rgb="FF000000"/>
      <name val="Calibri"/>
      <family val="2"/>
    </font>
    <font>
      <b/>
      <sz val="8"/>
      <name val="Calibri"/>
      <family val="2"/>
      <scheme val="minor"/>
    </font>
    <font>
      <sz val="8"/>
      <color rgb="FF0000FF"/>
      <name val="Calibri"/>
      <family val="2"/>
      <scheme val="minor"/>
    </font>
    <font>
      <sz val="8"/>
      <name val="Calibri"/>
      <family val="2"/>
      <scheme val="minor"/>
    </font>
    <font>
      <b/>
      <sz val="8"/>
      <color rgb="FF000000"/>
      <name val="Calibri"/>
      <family val="2"/>
      <scheme val="minor"/>
    </font>
    <font>
      <b/>
      <sz val="8"/>
      <color rgb="FF3015D5"/>
      <name val="Calibri"/>
      <family val="2"/>
    </font>
    <font>
      <sz val="8"/>
      <color theme="1"/>
      <name val="Calibri"/>
      <family val="2"/>
    </font>
    <font>
      <sz val="8"/>
      <color rgb="FF0000FF"/>
      <name val="Calibri"/>
      <family val="2"/>
    </font>
    <font>
      <sz val="11"/>
      <color rgb="FF005BBF"/>
      <name val="Calibri"/>
      <family val="2"/>
      <scheme val="minor"/>
    </font>
    <font>
      <b/>
      <sz val="11"/>
      <color rgb="FF005BBF"/>
      <name val="Calibri"/>
      <family val="2"/>
      <scheme val="minor"/>
    </font>
    <font>
      <b/>
      <sz val="14"/>
      <color rgb="FF002060"/>
      <name val="Calibri"/>
      <family val="2"/>
      <scheme val="minor"/>
    </font>
    <font>
      <b/>
      <sz val="14"/>
      <color rgb="FF001854"/>
      <name val="Rob"/>
    </font>
    <font>
      <sz val="12"/>
      <name val="Calibri"/>
      <family val="2"/>
      <scheme val="minor"/>
    </font>
    <font>
      <sz val="8"/>
      <color rgb="FFFF0000"/>
      <name val="Calibri"/>
      <family val="2"/>
    </font>
    <font>
      <sz val="8"/>
      <color rgb="FFFF0000"/>
      <name val="Calibri"/>
      <family val="2"/>
      <scheme val="minor"/>
    </font>
    <font>
      <sz val="8"/>
      <color theme="0"/>
      <name val="Calibri"/>
      <family val="2"/>
    </font>
    <font>
      <sz val="8"/>
      <color theme="1" tint="0.499984740745262"/>
      <name val="Calibri"/>
      <family val="2"/>
    </font>
    <font>
      <sz val="8"/>
      <color rgb="FF222222"/>
      <name val="Arial Unicode MS"/>
      <family val="2"/>
    </font>
    <font>
      <sz val="8"/>
      <color rgb="FF3015D5"/>
      <name val="Calibri"/>
      <family val="2"/>
      <scheme val="minor"/>
    </font>
    <font>
      <b/>
      <sz val="8"/>
      <color rgb="FF0000FF"/>
      <name val="Calibri"/>
      <family val="2"/>
    </font>
    <font>
      <sz val="10"/>
      <color rgb="FF0000FF"/>
      <name val="Arial"/>
      <family val="2"/>
    </font>
    <font>
      <sz val="8"/>
      <color rgb="FF0000FF"/>
      <name val="Arial"/>
      <family val="2"/>
    </font>
    <font>
      <sz val="8"/>
      <color theme="0"/>
      <name val="Calibri"/>
      <family val="2"/>
      <scheme val="minor"/>
    </font>
    <font>
      <b/>
      <sz val="8"/>
      <color rgb="FF0035BA"/>
      <name val="Calibri"/>
      <family val="2"/>
      <scheme val="minor"/>
    </font>
    <font>
      <sz val="8"/>
      <color theme="0" tint="-0.499984740745262"/>
      <name val="Calibri"/>
      <family val="2"/>
    </font>
    <font>
      <sz val="11"/>
      <color rgb="FF000000"/>
      <name val="Calibri"/>
      <family val="2"/>
    </font>
    <font>
      <b/>
      <sz val="8"/>
      <color theme="0"/>
      <name val="Calibri"/>
      <family val="2"/>
    </font>
    <font>
      <sz val="8"/>
      <color rgb="FF000000"/>
      <name val="Calibri"/>
      <family val="2"/>
    </font>
    <font>
      <b/>
      <sz val="9"/>
      <color rgb="FF00527E"/>
      <name val="Calibri"/>
      <family val="2"/>
      <scheme val="minor"/>
    </font>
    <font>
      <b/>
      <sz val="8"/>
      <color theme="1"/>
      <name val="Calibri"/>
      <family val="2"/>
      <scheme val="minor"/>
    </font>
    <font>
      <b/>
      <sz val="10"/>
      <color rgb="FF002060"/>
      <name val="Calibri"/>
      <family val="2"/>
      <scheme val="minor"/>
    </font>
    <font>
      <sz val="10"/>
      <color rgb="FF3015D5"/>
      <name val="Arial"/>
      <family val="2"/>
    </font>
    <font>
      <i/>
      <sz val="8"/>
      <color theme="1"/>
      <name val="Calibri"/>
      <family val="2"/>
      <scheme val="minor"/>
    </font>
    <font>
      <b/>
      <sz val="9"/>
      <color rgb="FF002060"/>
      <name val="Calibri"/>
      <family val="2"/>
    </font>
    <font>
      <b/>
      <i/>
      <sz val="9"/>
      <color rgb="FF00527E"/>
      <name val="Calibri"/>
      <family val="2"/>
      <scheme val="minor"/>
    </font>
    <font>
      <i/>
      <sz val="8"/>
      <color rgb="FF1F497D"/>
      <name val="Calibri"/>
      <family val="2"/>
    </font>
    <font>
      <b/>
      <sz val="15"/>
      <color rgb="FF01245E"/>
      <name val="Dubai"/>
      <family val="2"/>
    </font>
    <font>
      <b/>
      <sz val="13"/>
      <color rgb="FF2E74B5"/>
      <name val="Dubai"/>
      <family val="2"/>
    </font>
    <font>
      <sz val="11"/>
      <color theme="0"/>
      <name val="Calibri"/>
      <family val="2"/>
      <scheme val="minor"/>
    </font>
    <font>
      <sz val="11"/>
      <color rgb="FF9C0006"/>
      <name val="Calibri"/>
      <family val="2"/>
      <scheme val="minor"/>
    </font>
    <font>
      <b/>
      <sz val="11"/>
      <color rgb="FF3F3F3F"/>
      <name val="Calibri"/>
      <family val="2"/>
      <scheme val="minor"/>
    </font>
    <font>
      <b/>
      <sz val="11"/>
      <color rgb="FFFA7D00"/>
      <name val="Calibri"/>
      <family val="2"/>
      <scheme val="minor"/>
    </font>
    <font>
      <b/>
      <sz val="11"/>
      <color theme="0"/>
      <name val="Calibri"/>
      <family val="2"/>
      <scheme val="minor"/>
    </font>
    <font>
      <i/>
      <sz val="11"/>
      <color rgb="FF7F7F7F"/>
      <name val="Calibri"/>
      <family val="2"/>
      <scheme val="minor"/>
    </font>
    <font>
      <b/>
      <sz val="11"/>
      <color theme="1"/>
      <name val="Calibri"/>
      <family val="2"/>
      <scheme val="minor"/>
    </font>
    <font>
      <b/>
      <sz val="8"/>
      <color indexed="18"/>
      <name val="Arial"/>
      <family val="2"/>
    </font>
    <font>
      <sz val="7"/>
      <color indexed="39"/>
      <name val="Arial"/>
      <family val="2"/>
    </font>
    <font>
      <sz val="11"/>
      <color indexed="60"/>
      <name val="Calibri"/>
      <family val="2"/>
    </font>
    <font>
      <sz val="10"/>
      <color rgb="FFFF3333"/>
      <name val="Arial1"/>
      <charset val="1"/>
    </font>
    <font>
      <b/>
      <sz val="18"/>
      <color theme="3"/>
      <name val="Calibri Light"/>
      <family val="2"/>
      <scheme val="major"/>
    </font>
    <font>
      <sz val="11"/>
      <color rgb="FF9C6500"/>
      <name val="Calibri"/>
      <family val="2"/>
      <scheme val="minor"/>
    </font>
    <font>
      <sz val="10"/>
      <name val="Verdana"/>
      <family val="2"/>
    </font>
    <font>
      <sz val="11"/>
      <color rgb="FF000000"/>
      <name val="Calibri"/>
      <family val="2"/>
      <charset val="1"/>
    </font>
    <font>
      <sz val="10"/>
      <name val="Calibri"/>
      <family val="2"/>
      <charset val="1"/>
    </font>
    <font>
      <sz val="10"/>
      <name val="AvantGarde Bk BT"/>
      <family val="2"/>
    </font>
    <font>
      <sz val="10"/>
      <name val="Century Gothic"/>
      <family val="2"/>
    </font>
    <font>
      <sz val="10"/>
      <color theme="1"/>
      <name val="Arial"/>
      <family val="2"/>
    </font>
    <font>
      <b/>
      <sz val="15"/>
      <color rgb="FF1F497D"/>
      <name val="Calibri"/>
      <family val="2"/>
    </font>
    <font>
      <b/>
      <i/>
      <sz val="16"/>
      <color rgb="FF000000"/>
      <name val="Calibri"/>
      <family val="2"/>
    </font>
    <font>
      <b/>
      <i/>
      <u/>
      <sz val="11"/>
      <color rgb="FF000000"/>
      <name val="Calibri"/>
      <family val="2"/>
    </font>
    <font>
      <b/>
      <sz val="11"/>
      <color indexed="52"/>
      <name val="Calibri"/>
      <family val="2"/>
    </font>
    <font>
      <sz val="12"/>
      <color theme="1"/>
      <name val="Calibri"/>
      <family val="2"/>
      <scheme val="minor"/>
    </font>
    <font>
      <sz val="9"/>
      <color indexed="10"/>
      <name val="Geneva"/>
    </font>
    <font>
      <u/>
      <sz val="8"/>
      <color indexed="12"/>
      <name val="Times New Roman"/>
      <family val="1"/>
    </font>
    <font>
      <b/>
      <sz val="8"/>
      <name val="Times New Roman"/>
      <family val="1"/>
    </font>
    <font>
      <sz val="1"/>
      <color indexed="8"/>
      <name val="Courier"/>
      <family val="3"/>
    </font>
    <font>
      <b/>
      <sz val="11"/>
      <color indexed="62"/>
      <name val="Arial"/>
      <family val="2"/>
    </font>
    <font>
      <sz val="10"/>
      <color indexed="53"/>
      <name val="Arial"/>
      <family val="2"/>
    </font>
    <font>
      <sz val="10"/>
      <name val="Trebuchet MS"/>
      <family val="2"/>
    </font>
    <font>
      <b/>
      <sz val="9"/>
      <color indexed="18"/>
      <name val="Arial"/>
      <family val="2"/>
    </font>
    <font>
      <b/>
      <sz val="12"/>
      <color indexed="8"/>
      <name val="Arial"/>
      <family val="2"/>
    </font>
    <font>
      <sz val="8"/>
      <color indexed="31"/>
      <name val="Arial"/>
      <family val="2"/>
    </font>
    <font>
      <sz val="8"/>
      <color indexed="18"/>
      <name val="Arial"/>
      <family val="2"/>
    </font>
    <font>
      <sz val="9"/>
      <color indexed="18"/>
      <name val="Arial"/>
      <family val="2"/>
    </font>
    <font>
      <sz val="10"/>
      <color indexed="39"/>
      <name val="Arial"/>
      <family val="2"/>
    </font>
    <font>
      <b/>
      <sz val="16"/>
      <color indexed="18"/>
      <name val="Arial"/>
      <family val="2"/>
    </font>
    <font>
      <sz val="7"/>
      <color rgb="FF000080"/>
      <name val="Arial1"/>
    </font>
    <font>
      <sz val="7"/>
      <color rgb="FF0000FF"/>
      <name val="Arial1"/>
    </font>
    <font>
      <sz val="10"/>
      <color rgb="FF000000"/>
      <name val="Arial1"/>
    </font>
    <font>
      <b/>
      <sz val="8"/>
      <color rgb="FF000080"/>
      <name val="Arial1"/>
    </font>
    <font>
      <b/>
      <sz val="9"/>
      <color rgb="FF000080"/>
      <name val="Arial1"/>
    </font>
    <font>
      <b/>
      <sz val="10"/>
      <color rgb="FF000000"/>
      <name val="Arial1"/>
    </font>
    <font>
      <b/>
      <sz val="12"/>
      <color rgb="FF000000"/>
      <name val="Arial1"/>
    </font>
    <font>
      <sz val="8"/>
      <color rgb="FFE0E5E8"/>
      <name val="Arial1"/>
    </font>
    <font>
      <sz val="8"/>
      <color rgb="FF000080"/>
      <name val="Arial1"/>
    </font>
    <font>
      <sz val="9"/>
      <color rgb="FF000080"/>
      <name val="Arial1"/>
    </font>
    <font>
      <sz val="10"/>
      <color theme="1"/>
      <name val="Arial1"/>
    </font>
    <font>
      <sz val="8"/>
      <color theme="1"/>
      <name val="Arial1"/>
    </font>
    <font>
      <sz val="10"/>
      <color rgb="FF0000FF"/>
      <name val="Arial1"/>
    </font>
    <font>
      <b/>
      <sz val="16"/>
      <color rgb="FF000080"/>
      <name val="Arial1"/>
    </font>
    <font>
      <sz val="10"/>
      <color rgb="FFFF3333"/>
      <name val="Arial1"/>
    </font>
    <font>
      <b/>
      <i/>
      <sz val="16"/>
      <color theme="1"/>
      <name val="Arial1"/>
    </font>
    <font>
      <b/>
      <i/>
      <u/>
      <sz val="10"/>
      <color theme="1"/>
      <name val="Arial1"/>
    </font>
    <font>
      <sz val="10"/>
      <name val="Arial"/>
      <family val="2"/>
    </font>
    <font>
      <sz val="8"/>
      <color rgb="FF000000"/>
      <name val="Calibri"/>
      <family val="2"/>
      <scheme val="minor"/>
    </font>
    <font>
      <sz val="11"/>
      <color rgb="FF717171"/>
      <name val="Calibri"/>
      <family val="2"/>
      <scheme val="minor"/>
    </font>
    <font>
      <b/>
      <sz val="8"/>
      <color theme="1"/>
      <name val="Calibri"/>
      <family val="2"/>
    </font>
    <font>
      <sz val="10"/>
      <color rgb="FFFF0000"/>
      <name val="Calibri"/>
      <family val="2"/>
    </font>
    <font>
      <sz val="8"/>
      <color rgb="FFFFFFFF"/>
      <name val="Calibri"/>
      <family val="2"/>
    </font>
    <font>
      <sz val="10"/>
      <color rgb="FFFFFFFF"/>
      <name val="Calibri"/>
      <family val="2"/>
    </font>
    <font>
      <sz val="11"/>
      <color rgb="FFFFFFFF"/>
      <name val="Calibri"/>
      <family val="2"/>
      <scheme val="minor"/>
    </font>
    <font>
      <sz val="10"/>
      <color theme="0"/>
      <name val="Arial"/>
      <family val="2"/>
    </font>
    <font>
      <b/>
      <sz val="11"/>
      <color rgb="FF01245E"/>
      <name val="Dubai"/>
      <family val="2"/>
    </font>
    <font>
      <b/>
      <sz val="9"/>
      <color rgb="FF005BBF"/>
      <name val="Dubai"/>
      <family val="2"/>
    </font>
    <font>
      <b/>
      <sz val="16"/>
      <color rgb="FF01245E"/>
      <name val="Dubai"/>
      <family val="2"/>
    </font>
    <font>
      <b/>
      <sz val="14"/>
      <color rgb="FF005BBF"/>
      <name val="Dubai"/>
      <family val="2"/>
    </font>
    <font>
      <sz val="7"/>
      <color theme="1"/>
      <name val="Times New Roman"/>
      <family val="1"/>
    </font>
  </fonts>
  <fills count="1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7"/>
      </patternFill>
    </fill>
    <fill>
      <patternFill patternType="solid">
        <fgColor indexed="54"/>
        <bgColor indexed="54"/>
      </patternFill>
    </fill>
    <fill>
      <patternFill patternType="solid">
        <fgColor indexed="31"/>
        <bgColor indexed="31"/>
      </patternFill>
    </fill>
    <fill>
      <patternFill patternType="solid">
        <fgColor indexed="44"/>
        <bgColor indexed="44"/>
      </patternFill>
    </fill>
    <fill>
      <patternFill patternType="solid">
        <fgColor indexed="25"/>
        <bgColor indexed="25"/>
      </patternFill>
    </fill>
    <fill>
      <patternFill patternType="solid">
        <fgColor indexed="26"/>
        <bgColor indexed="26"/>
      </patternFill>
    </fill>
    <fill>
      <patternFill patternType="solid">
        <fgColor indexed="22"/>
        <bgColor indexed="22"/>
      </patternFill>
    </fill>
    <fill>
      <patternFill patternType="solid">
        <fgColor indexed="55"/>
        <bgColor indexed="55"/>
      </patternFill>
    </fill>
    <fill>
      <patternFill patternType="solid">
        <fgColor indexed="10"/>
      </patternFill>
    </fill>
    <fill>
      <patternFill patternType="solid">
        <fgColor indexed="42"/>
        <bgColor indexed="42"/>
      </patternFill>
    </fill>
    <fill>
      <patternFill patternType="solid">
        <fgColor indexed="14"/>
      </patternFill>
    </fill>
    <fill>
      <patternFill patternType="solid">
        <fgColor indexed="54"/>
      </patternFill>
    </fill>
    <fill>
      <patternFill patternType="solid">
        <fgColor indexed="49"/>
        <bgColor indexed="49"/>
      </patternFill>
    </fill>
    <fill>
      <patternFill patternType="solid">
        <fgColor indexed="27"/>
        <bgColor indexed="27"/>
      </patternFill>
    </fill>
    <fill>
      <patternFill patternType="solid">
        <fgColor indexed="52"/>
        <bgColor indexed="52"/>
      </patternFill>
    </fill>
    <fill>
      <patternFill patternType="solid">
        <fgColor indexed="47"/>
        <bgColor indexed="47"/>
      </patternFill>
    </fill>
    <fill>
      <patternFill patternType="solid">
        <fgColor indexed="53"/>
      </patternFill>
    </fill>
    <fill>
      <patternFill patternType="solid">
        <fgColor indexed="45"/>
        <bgColor indexed="45"/>
      </patternFill>
    </fill>
    <fill>
      <patternFill patternType="solid">
        <fgColor indexed="27"/>
        <bgColor indexed="64"/>
      </patternFill>
    </fill>
    <fill>
      <patternFill patternType="solid">
        <fgColor indexed="26"/>
        <bgColor indexed="64"/>
      </patternFill>
    </fill>
    <fill>
      <patternFill patternType="solid">
        <fgColor indexed="28"/>
        <bgColor indexed="64"/>
      </patternFill>
    </fill>
    <fill>
      <patternFill patternType="solid">
        <fgColor indexed="22"/>
        <bgColor indexed="64"/>
      </patternFill>
    </fill>
    <fill>
      <patternFill patternType="solid">
        <fgColor indexed="9"/>
        <bgColor indexed="9"/>
      </patternFill>
    </fill>
    <fill>
      <patternFill patternType="solid">
        <fgColor indexed="62"/>
      </patternFill>
    </fill>
    <fill>
      <patternFill patternType="solid">
        <fgColor indexed="55"/>
      </patternFill>
    </fill>
    <fill>
      <patternFill patternType="lightUp">
        <fgColor indexed="9"/>
        <bgColor indexed="55"/>
      </patternFill>
    </fill>
    <fill>
      <patternFill patternType="lightUp">
        <fgColor indexed="9"/>
        <bgColor indexed="29"/>
      </patternFill>
    </fill>
    <fill>
      <patternFill patternType="lightUp">
        <fgColor indexed="9"/>
        <bgColor indexed="22"/>
      </patternFill>
    </fill>
    <fill>
      <patternFill patternType="solid">
        <fgColor indexed="51"/>
        <bgColor indexed="64"/>
      </patternFill>
    </fill>
    <fill>
      <patternFill patternType="solid">
        <fgColor indexed="43"/>
        <bgColor indexed="64"/>
      </patternFill>
    </fill>
    <fill>
      <patternFill patternType="solid">
        <fgColor indexed="43"/>
        <bgColor indexed="43"/>
      </patternFill>
    </fill>
    <fill>
      <patternFill patternType="solid">
        <fgColor indexed="9"/>
        <bgColor indexed="64"/>
      </patternFill>
    </fill>
    <fill>
      <patternFill patternType="solid">
        <fgColor indexed="42"/>
        <bgColor indexed="64"/>
      </patternFill>
    </fill>
    <fill>
      <patternFill patternType="solid">
        <fgColor indexed="35"/>
        <bgColor indexed="64"/>
      </patternFill>
    </fill>
    <fill>
      <patternFill patternType="solid">
        <fgColor indexed="24"/>
        <bgColor indexed="64"/>
      </patternFill>
    </fill>
    <fill>
      <patternFill patternType="solid">
        <fgColor theme="6" tint="0.79998168889431442"/>
        <bgColor indexed="65"/>
      </patternFill>
    </fill>
    <fill>
      <patternFill patternType="solid">
        <fgColor rgb="FFF2F2F2"/>
      </patternFill>
    </fill>
    <fill>
      <patternFill patternType="solid">
        <fgColor rgb="FFC6EFCE"/>
      </patternFill>
    </fill>
    <fill>
      <patternFill patternType="solid">
        <fgColor rgb="FFFFCC99"/>
      </patternFill>
    </fill>
    <fill>
      <patternFill patternType="solid">
        <fgColor rgb="FFFFEB9C"/>
      </patternFill>
    </fill>
    <fill>
      <patternFill patternType="solid">
        <fgColor rgb="FFFFFFCC"/>
      </patternFill>
    </fill>
    <fill>
      <patternFill patternType="solid">
        <fgColor rgb="FF009DEB"/>
        <bgColor rgb="FF019EEB"/>
      </patternFill>
    </fill>
    <fill>
      <patternFill patternType="solid">
        <fgColor rgb="FFCCCCCC"/>
        <bgColor rgb="FFE7E6E6"/>
      </patternFill>
    </fill>
    <fill>
      <patternFill patternType="solid">
        <fgColor theme="0"/>
        <bgColor indexed="64"/>
      </patternFill>
    </fill>
    <fill>
      <patternFill patternType="solid">
        <fgColor rgb="FFDEEAF6"/>
        <bgColor rgb="FF019EEB"/>
      </patternFill>
    </fill>
    <fill>
      <patternFill patternType="solid">
        <fgColor indexed="55"/>
        <bgColor indexed="64"/>
      </patternFill>
    </fill>
    <fill>
      <patternFill patternType="solid">
        <fgColor rgb="FFFFC7CE"/>
      </patternFill>
    </fill>
    <fill>
      <patternFill patternType="solid">
        <fgColor rgb="FFA5A5A5"/>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23"/>
        <bgColor indexed="64"/>
      </patternFill>
    </fill>
    <fill>
      <patternFill patternType="solid">
        <fgColor rgb="FFF2F2F2"/>
        <bgColor rgb="FFEAEAEB"/>
      </patternFill>
    </fill>
    <fill>
      <patternFill patternType="solid">
        <fgColor rgb="FFDCE6F2"/>
        <bgColor rgb="FFDCE6F2"/>
      </patternFill>
    </fill>
    <fill>
      <patternFill patternType="solid">
        <fgColor indexed="31"/>
        <bgColor indexed="64"/>
      </patternFill>
    </fill>
    <fill>
      <patternFill patternType="solid">
        <fgColor indexed="45"/>
        <bgColor indexed="64"/>
      </patternFill>
    </fill>
    <fill>
      <patternFill patternType="solid">
        <fgColor indexed="29"/>
        <bgColor indexed="64"/>
      </patternFill>
    </fill>
    <fill>
      <patternFill patternType="solid">
        <fgColor indexed="10"/>
        <bgColor indexed="64"/>
      </patternFill>
    </fill>
    <fill>
      <patternFill patternType="solid">
        <fgColor indexed="52"/>
        <bgColor indexed="64"/>
      </patternFill>
    </fill>
    <fill>
      <patternFill patternType="solid">
        <fgColor indexed="53"/>
        <bgColor indexed="64"/>
      </patternFill>
    </fill>
    <fill>
      <patternFill patternType="solid">
        <fgColor indexed="57"/>
        <bgColor indexed="64"/>
      </patternFill>
    </fill>
    <fill>
      <patternFill patternType="solid">
        <fgColor indexed="50"/>
        <bgColor indexed="64"/>
      </patternFill>
    </fill>
    <fill>
      <patternFill patternType="solid">
        <fgColor indexed="11"/>
        <bgColor indexed="64"/>
      </patternFill>
    </fill>
    <fill>
      <patternFill patternType="lightUp">
        <fgColor indexed="22"/>
        <bgColor indexed="35"/>
      </patternFill>
    </fill>
    <fill>
      <patternFill patternType="solid">
        <fgColor indexed="54"/>
        <bgColor indexed="64"/>
      </patternFill>
    </fill>
    <fill>
      <patternFill patternType="gray0625">
        <bgColor indexed="26"/>
      </patternFill>
    </fill>
    <fill>
      <patternFill patternType="solid">
        <fgColor rgb="FFE0E5E8"/>
        <bgColor rgb="FFE0E5E8"/>
      </patternFill>
    </fill>
    <fill>
      <patternFill patternType="solid">
        <fgColor rgb="FFD4D4D4"/>
        <bgColor rgb="FFD4D4D4"/>
      </patternFill>
    </fill>
    <fill>
      <patternFill patternType="solid">
        <fgColor rgb="FFFFFF99"/>
        <bgColor rgb="FFFFFF99"/>
      </patternFill>
    </fill>
    <fill>
      <patternFill patternType="solid">
        <fgColor rgb="FFFFBBBB"/>
        <bgColor rgb="FFFFBBBB"/>
      </patternFill>
    </fill>
    <fill>
      <patternFill patternType="solid">
        <fgColor rgb="FFF87C7C"/>
        <bgColor rgb="FFF87C7C"/>
      </patternFill>
    </fill>
    <fill>
      <patternFill patternType="solid">
        <fgColor rgb="FFFF3333"/>
        <bgColor rgb="FFFF3333"/>
      </patternFill>
    </fill>
    <fill>
      <patternFill patternType="solid">
        <fgColor rgb="FFFFCC33"/>
        <bgColor rgb="FFFFCC33"/>
      </patternFill>
    </fill>
    <fill>
      <patternFill patternType="solid">
        <fgColor rgb="FFFFAB1D"/>
        <bgColor rgb="FFFFAB1D"/>
      </patternFill>
    </fill>
    <fill>
      <patternFill patternType="solid">
        <fgColor rgb="FFFF8800"/>
        <bgColor rgb="FFFF8800"/>
      </patternFill>
    </fill>
    <fill>
      <patternFill patternType="solid">
        <fgColor rgb="FF5BCB77"/>
        <bgColor rgb="FF5BCB77"/>
      </patternFill>
    </fill>
    <fill>
      <patternFill patternType="solid">
        <fgColor rgb="FF60ED84"/>
        <bgColor rgb="FF60ED84"/>
      </patternFill>
    </fill>
    <fill>
      <patternFill patternType="solid">
        <fgColor rgb="FF99FF99"/>
        <bgColor rgb="FF99FF99"/>
      </patternFill>
    </fill>
    <fill>
      <patternFill patternType="solid">
        <fgColor rgb="FFEAEAEB"/>
        <bgColor rgb="FFEAEAEB"/>
      </patternFill>
    </fill>
    <fill>
      <patternFill patternType="solid">
        <fgColor rgb="FFF2F2F2"/>
        <bgColor rgb="FFF2F2F2"/>
      </patternFill>
    </fill>
    <fill>
      <patternFill patternType="solid">
        <fgColor rgb="FF666699"/>
        <bgColor rgb="FF666699"/>
      </patternFill>
    </fill>
    <fill>
      <patternFill patternType="solid">
        <fgColor rgb="FFC0C4C7"/>
        <bgColor rgb="FFC0C4C7"/>
      </patternFill>
    </fill>
    <fill>
      <patternFill patternType="solid">
        <fgColor rgb="FFC0CACF"/>
        <bgColor rgb="FFC0CACF"/>
      </patternFill>
    </fill>
    <fill>
      <patternFill patternType="solid">
        <fgColor rgb="FFFFFFCC"/>
        <bgColor rgb="FFFFFFCC"/>
      </patternFill>
    </fill>
    <fill>
      <patternFill patternType="solid">
        <fgColor rgb="FFFFFF00"/>
        <bgColor indexed="64"/>
      </patternFill>
    </fill>
    <fill>
      <patternFill patternType="solid">
        <fgColor rgb="FFFFFFFF"/>
        <bgColor indexed="64"/>
      </patternFill>
    </fill>
  </fills>
  <borders count="116">
    <border>
      <left/>
      <right/>
      <top/>
      <bottom/>
      <diagonal/>
    </border>
    <border>
      <left style="hair">
        <color indexed="64"/>
      </left>
      <right style="hair">
        <color indexed="64"/>
      </right>
      <top style="hair">
        <color indexed="64"/>
      </top>
      <bottom style="hair">
        <color indexed="64"/>
      </bottom>
      <diagonal/>
    </border>
    <border>
      <left/>
      <right/>
      <top/>
      <bottom style="thick">
        <color indexed="62"/>
      </bottom>
      <diagonal/>
    </border>
    <border>
      <left/>
      <right/>
      <top/>
      <bottom style="thick">
        <color indexed="49"/>
      </bottom>
      <diagonal/>
    </border>
    <border>
      <left/>
      <right/>
      <top/>
      <bottom style="thick">
        <color indexed="22"/>
      </bottom>
      <diagonal/>
    </border>
    <border>
      <left/>
      <right/>
      <top/>
      <bottom style="thick">
        <color indexed="47"/>
      </bottom>
      <diagonal/>
    </border>
    <border>
      <left/>
      <right/>
      <top/>
      <bottom style="medium">
        <color indexed="30"/>
      </bottom>
      <diagonal/>
    </border>
    <border>
      <left/>
      <right/>
      <top/>
      <bottom style="medium">
        <color indexed="47"/>
      </bottom>
      <diagonal/>
    </border>
    <border>
      <left style="dashed">
        <color indexed="63"/>
      </left>
      <right style="dashed">
        <color indexed="63"/>
      </right>
      <top style="dashed">
        <color indexed="63"/>
      </top>
      <bottom style="dashed">
        <color indexed="63"/>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diagonal/>
    </border>
    <border>
      <left style="dotted">
        <color indexed="28"/>
      </left>
      <right style="dotted">
        <color indexed="28"/>
      </right>
      <top style="dotted">
        <color indexed="28"/>
      </top>
      <bottom style="dotted">
        <color indexed="28"/>
      </bottom>
      <diagonal/>
    </border>
    <border>
      <left style="thin">
        <color indexed="63"/>
      </left>
      <right style="thin">
        <color indexed="63"/>
      </right>
      <top style="thin">
        <color indexed="63"/>
      </top>
      <bottom style="thin">
        <color indexed="63"/>
      </bottom>
      <diagonal/>
    </border>
    <border>
      <left style="dashed">
        <color indexed="55"/>
      </left>
      <right style="dashed">
        <color indexed="55"/>
      </right>
      <top style="dashed">
        <color indexed="55"/>
      </top>
      <bottom style="dashed">
        <color indexed="55"/>
      </bottom>
      <diagonal/>
    </border>
    <border>
      <left style="dashed">
        <color indexed="28"/>
      </left>
      <right style="dashed">
        <color indexed="28"/>
      </right>
      <top style="dashed">
        <color indexed="28"/>
      </top>
      <bottom style="dashed">
        <color indexed="28"/>
      </bottom>
      <diagonal/>
    </border>
    <border>
      <left style="dotted">
        <color indexed="10"/>
      </left>
      <right style="dotted">
        <color indexed="10"/>
      </right>
      <top style="dotted">
        <color indexed="10"/>
      </top>
      <bottom style="dotted">
        <color indexed="10"/>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dashed">
        <color indexed="64"/>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2"/>
      </top>
      <bottom style="double">
        <color indexed="62"/>
      </bottom>
      <diagonal/>
    </border>
    <border>
      <left/>
      <right/>
      <top style="thin">
        <color indexed="49"/>
      </top>
      <bottom style="double">
        <color indexed="49"/>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medium">
        <color indexed="64"/>
      </left>
      <right style="medium">
        <color indexed="64"/>
      </right>
      <top/>
      <bottom style="hair">
        <color theme="3" tint="0.3999450666829432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FFFFFF"/>
      </left>
      <right style="thin">
        <color rgb="FFFFFFFF"/>
      </right>
      <top style="thin">
        <color rgb="FFFFFFFF"/>
      </top>
      <bottom style="thin">
        <color rgb="FFFFFFFF"/>
      </bottom>
      <diagonal/>
    </border>
    <border>
      <left style="thin">
        <color rgb="FFFFFFFF"/>
      </left>
      <right style="thin">
        <color theme="0"/>
      </right>
      <top style="thin">
        <color rgb="FFFFFFFF"/>
      </top>
      <bottom style="thin">
        <color rgb="FFFFFFFF"/>
      </bottom>
      <diagonal/>
    </border>
    <border>
      <left style="thin">
        <color theme="0"/>
      </left>
      <right style="thin">
        <color theme="0"/>
      </right>
      <top style="thin">
        <color theme="0"/>
      </top>
      <bottom style="thin">
        <color theme="0"/>
      </bottom>
      <diagonal/>
    </border>
    <border>
      <left/>
      <right style="thin">
        <color rgb="FFCCCCCC"/>
      </right>
      <top/>
      <bottom/>
      <diagonal/>
    </border>
    <border>
      <left style="thin">
        <color rgb="FFCCCCCC"/>
      </left>
      <right/>
      <top/>
      <bottom/>
      <diagonal/>
    </border>
    <border>
      <left/>
      <right/>
      <top style="thin">
        <color rgb="FF019EEB"/>
      </top>
      <bottom/>
      <diagonal/>
    </border>
    <border>
      <left style="thin">
        <color rgb="FFFFFFFF"/>
      </left>
      <right style="thin">
        <color theme="0"/>
      </right>
      <top style="thin">
        <color rgb="FFFFFFFF"/>
      </top>
      <bottom style="thin">
        <color rgb="FF003556"/>
      </bottom>
      <diagonal/>
    </border>
    <border>
      <left style="thin">
        <color theme="0"/>
      </left>
      <right style="thin">
        <color theme="0"/>
      </right>
      <top style="thin">
        <color theme="0"/>
      </top>
      <bottom style="thin">
        <color rgb="FF003556"/>
      </bottom>
      <diagonal/>
    </border>
    <border>
      <left style="thin">
        <color rgb="FFCCCCCC"/>
      </left>
      <right/>
      <top/>
      <bottom style="thin">
        <color rgb="FF00527E"/>
      </bottom>
      <diagonal/>
    </border>
    <border>
      <left style="thin">
        <color rgb="FFFFFFFF"/>
      </left>
      <right style="thin">
        <color rgb="FFFFFFFF"/>
      </right>
      <top style="thin">
        <color rgb="FFFFFFFF"/>
      </top>
      <bottom/>
      <diagonal/>
    </border>
    <border>
      <left style="thin">
        <color rgb="FFFFFFFF"/>
      </left>
      <right style="thin">
        <color rgb="FFFFFFFF"/>
      </right>
      <top style="thin">
        <color theme="0"/>
      </top>
      <bottom style="thin">
        <color theme="0"/>
      </bottom>
      <diagonal/>
    </border>
    <border>
      <left style="thin">
        <color rgb="FFFFFFFF"/>
      </left>
      <right style="thin">
        <color theme="0"/>
      </right>
      <top style="thin">
        <color theme="0"/>
      </top>
      <bottom style="thin">
        <color theme="0"/>
      </bottom>
      <diagonal/>
    </border>
    <border>
      <left style="thin">
        <color rgb="FFFFFFFF"/>
      </left>
      <right style="thin">
        <color theme="0"/>
      </right>
      <top style="thin">
        <color rgb="FFFFFFFF"/>
      </top>
      <bottom style="thin">
        <color rgb="FF00527E"/>
      </bottom>
      <diagonal/>
    </border>
    <border>
      <left style="thin">
        <color theme="0"/>
      </left>
      <right style="thin">
        <color theme="0"/>
      </right>
      <top style="thin">
        <color theme="0"/>
      </top>
      <bottom style="thin">
        <color rgb="FF00527E"/>
      </bottom>
      <diagonal/>
    </border>
    <border>
      <left/>
      <right/>
      <top style="thin">
        <color rgb="FFFFFFFF"/>
      </top>
      <bottom style="thin">
        <color rgb="FFFFFFFF"/>
      </bottom>
      <diagonal/>
    </border>
    <border>
      <left/>
      <right style="thin">
        <color rgb="FFFFFFFF"/>
      </right>
      <top style="thin">
        <color rgb="FFFFFFFF"/>
      </top>
      <bottom style="thin">
        <color rgb="FFFFFFFF"/>
      </bottom>
      <diagonal/>
    </border>
    <border>
      <left/>
      <right/>
      <top/>
      <bottom style="thin">
        <color rgb="FF00527E"/>
      </bottom>
      <diagonal/>
    </border>
    <border>
      <left/>
      <right/>
      <top/>
      <bottom style="thin">
        <color rgb="FF00567E"/>
      </bottom>
      <diagonal/>
    </border>
    <border>
      <left style="thin">
        <color rgb="FFCCCCCC"/>
      </left>
      <right/>
      <top/>
      <bottom style="thin">
        <color rgb="FF00567E"/>
      </bottom>
      <diagonal/>
    </border>
    <border>
      <left style="thin">
        <color rgb="FFCCCCCC"/>
      </left>
      <right style="thin">
        <color rgb="FFCCCCCC"/>
      </right>
      <top/>
      <bottom/>
      <diagonal/>
    </border>
    <border>
      <left style="thin">
        <color rgb="FFFFFFFF"/>
      </left>
      <right style="thin">
        <color rgb="FFFFFFFF"/>
      </right>
      <top/>
      <bottom/>
      <diagonal/>
    </border>
    <border>
      <left style="thin">
        <color theme="0"/>
      </left>
      <right style="thin">
        <color rgb="FFFFFFFF"/>
      </right>
      <top style="thin">
        <color rgb="FFFFFFFF"/>
      </top>
      <bottom/>
      <diagonal/>
    </border>
    <border>
      <left style="thin">
        <color theme="0"/>
      </left>
      <right style="thin">
        <color rgb="FFFFFFFF"/>
      </right>
      <top/>
      <bottom/>
      <diagonal/>
    </border>
    <border>
      <left style="thin">
        <color rgb="FFFFFFFF"/>
      </left>
      <right/>
      <top/>
      <bottom/>
      <diagonal/>
    </border>
    <border>
      <left style="thin">
        <color rgb="FFFFFFFF"/>
      </left>
      <right/>
      <top/>
      <bottom style="thin">
        <color rgb="FFFFFFFF"/>
      </bottom>
      <diagonal/>
    </border>
    <border>
      <left style="thin">
        <color rgb="FFFFFFFF"/>
      </left>
      <right/>
      <top style="thin">
        <color rgb="FFFFFFFF"/>
      </top>
      <bottom/>
      <diagonal/>
    </border>
    <border>
      <left/>
      <right style="thin">
        <color rgb="FFCCCCCC"/>
      </right>
      <top/>
      <bottom style="thin">
        <color rgb="FF00527E"/>
      </bottom>
      <diagonal/>
    </border>
    <border>
      <left style="thin">
        <color rgb="FFCCCCCC"/>
      </left>
      <right style="thin">
        <color rgb="FFCCCCCC"/>
      </right>
      <top/>
      <bottom style="thin">
        <color rgb="FF00527E"/>
      </bottom>
      <diagonal/>
    </border>
    <border>
      <left style="thin">
        <color rgb="FFFFFFFF"/>
      </left>
      <right/>
      <top style="thin">
        <color rgb="FFFFFFFF"/>
      </top>
      <bottom style="thin">
        <color rgb="FFFFFFFF"/>
      </bottom>
      <diagonal/>
    </border>
    <border>
      <left/>
      <right style="thin">
        <color rgb="FFFFFFFF"/>
      </right>
      <top style="thin">
        <color rgb="FFFFFFFF"/>
      </top>
      <bottom/>
      <diagonal/>
    </border>
    <border>
      <left style="thin">
        <color rgb="FFCCCCCC"/>
      </left>
      <right style="thin">
        <color rgb="FFCCCCCC"/>
      </right>
      <top style="thin">
        <color theme="0"/>
      </top>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indexed="64"/>
      </bottom>
      <diagonal/>
    </border>
    <border>
      <left style="thin">
        <color theme="0"/>
      </left>
      <right/>
      <top/>
      <bottom style="thin">
        <color rgb="FF00527E"/>
      </bottom>
      <diagonal/>
    </border>
    <border>
      <left style="thin">
        <color rgb="FFCCCCCC"/>
      </left>
      <right/>
      <top style="thin">
        <color theme="0"/>
      </top>
      <bottom/>
      <diagonal/>
    </border>
    <border>
      <left/>
      <right style="thin">
        <color rgb="FFFFFFFF"/>
      </right>
      <top style="thin">
        <color theme="0"/>
      </top>
      <bottom style="thin">
        <color theme="0"/>
      </bottom>
      <diagonal/>
    </border>
    <border>
      <left/>
      <right/>
      <top/>
      <bottom style="thin">
        <color theme="0"/>
      </bottom>
      <diagonal/>
    </border>
    <border>
      <left/>
      <right style="thin">
        <color rgb="FFCCCCCC"/>
      </right>
      <top/>
      <bottom style="thin">
        <color theme="0"/>
      </bottom>
      <diagonal/>
    </border>
    <border>
      <left/>
      <right/>
      <top/>
      <bottom style="thin">
        <color rgb="FFFFFFFF"/>
      </bottom>
      <diagonal/>
    </border>
    <border>
      <left/>
      <right style="thin">
        <color rgb="FFFFFFFF"/>
      </right>
      <top/>
      <bottom style="thin">
        <color rgb="FFFFFFFF"/>
      </bottom>
      <diagonal/>
    </border>
    <border>
      <left style="thin">
        <color rgb="FFFFFFFF"/>
      </left>
      <right style="thin">
        <color rgb="FFFFFFFF"/>
      </right>
      <top/>
      <bottom style="thin">
        <color rgb="FFFFFFFF"/>
      </bottom>
      <diagonal/>
    </border>
    <border>
      <left style="thin">
        <color rgb="FFFFFFFF"/>
      </left>
      <right style="thin">
        <color theme="0"/>
      </right>
      <top/>
      <bottom/>
      <diagonal/>
    </border>
    <border>
      <left style="thin">
        <color theme="0"/>
      </left>
      <right/>
      <top/>
      <bottom/>
      <diagonal/>
    </border>
    <border>
      <left/>
      <right style="thin">
        <color theme="0"/>
      </right>
      <top/>
      <bottom/>
      <diagonal/>
    </border>
    <border>
      <left style="thin">
        <color theme="0"/>
      </left>
      <right/>
      <top style="thin">
        <color theme="0"/>
      </top>
      <bottom style="thin">
        <color theme="0"/>
      </bottom>
      <diagonal/>
    </border>
    <border>
      <left/>
      <right/>
      <top style="thin">
        <color theme="0"/>
      </top>
      <bottom style="thin">
        <color theme="0"/>
      </bottom>
      <diagonal/>
    </border>
    <border>
      <left style="thin">
        <color theme="0"/>
      </left>
      <right/>
      <top style="thin">
        <color theme="0"/>
      </top>
      <bottom style="thin">
        <color rgb="FFFFFFFF"/>
      </bottom>
      <diagonal/>
    </border>
    <border>
      <left/>
      <right/>
      <top style="thin">
        <color theme="0"/>
      </top>
      <bottom style="thin">
        <color rgb="FFFFFFFF"/>
      </bottom>
      <diagonal/>
    </border>
    <border>
      <left/>
      <right style="thin">
        <color theme="0"/>
      </right>
      <top style="thin">
        <color theme="0"/>
      </top>
      <bottom style="thin">
        <color rgb="FFFFFFFF"/>
      </bottom>
      <diagonal/>
    </border>
    <border>
      <left style="thin">
        <color theme="0"/>
      </left>
      <right/>
      <top style="thin">
        <color theme="0"/>
      </top>
      <bottom style="thin">
        <color indexed="64"/>
      </bottom>
      <diagonal/>
    </border>
    <border>
      <left/>
      <right style="thin">
        <color theme="0"/>
      </right>
      <top style="thin">
        <color theme="0"/>
      </top>
      <bottom style="thin">
        <color indexed="64"/>
      </bottom>
      <diagonal/>
    </border>
    <border>
      <left/>
      <right style="thin">
        <color rgb="FFFFFFFF"/>
      </right>
      <top/>
      <bottom/>
      <diagonal/>
    </border>
    <border>
      <left style="thin">
        <color theme="0"/>
      </left>
      <right/>
      <top/>
      <bottom style="thin">
        <color theme="0"/>
      </bottom>
      <diagonal/>
    </border>
    <border>
      <left/>
      <right style="thin">
        <color theme="0"/>
      </right>
      <top/>
      <bottom style="thin">
        <color theme="0"/>
      </bottom>
      <diagonal/>
    </border>
    <border>
      <left style="thin">
        <color rgb="FFFFFFFF"/>
      </left>
      <right/>
      <top/>
      <bottom style="thin">
        <color theme="0"/>
      </bottom>
      <diagonal/>
    </border>
    <border>
      <left style="thin">
        <color rgb="FFFFFFFF"/>
      </left>
      <right/>
      <top style="thin">
        <color theme="0"/>
      </top>
      <bottom style="thin">
        <color theme="0"/>
      </bottom>
      <diagonal/>
    </border>
    <border>
      <left style="thin">
        <color rgb="FFFFFFFF"/>
      </left>
      <right/>
      <top style="thin">
        <color rgb="FFFFFFFF"/>
      </top>
      <bottom style="thin">
        <color rgb="FF00527E"/>
      </bottom>
      <diagonal/>
    </border>
    <border>
      <left/>
      <right/>
      <top style="thin">
        <color rgb="FFFFFFFF"/>
      </top>
      <bottom style="thin">
        <color rgb="FF00527E"/>
      </bottom>
      <diagonal/>
    </border>
    <border>
      <left/>
      <right style="thin">
        <color theme="0"/>
      </right>
      <top style="thin">
        <color rgb="FFFFFFFF"/>
      </top>
      <bottom style="thin">
        <color rgb="FF00527E"/>
      </bottom>
      <diagonal/>
    </border>
    <border>
      <left style="thin">
        <color rgb="FFCCCCCC"/>
      </left>
      <right style="dashed">
        <color rgb="FFCCCCCC"/>
      </right>
      <top/>
      <bottom style="thin">
        <color theme="0"/>
      </bottom>
      <diagonal/>
    </border>
    <border>
      <left style="thin">
        <color rgb="FFCCCCCC"/>
      </left>
      <right style="dashed">
        <color rgb="FFCCCCCC"/>
      </right>
      <top/>
      <bottom/>
      <diagonal/>
    </border>
    <border>
      <left/>
      <right style="dashed">
        <color rgb="FFCCCCCC"/>
      </right>
      <top style="thin">
        <color theme="0"/>
      </top>
      <bottom/>
      <diagonal/>
    </border>
    <border>
      <left/>
      <right style="dashed">
        <color rgb="FFCCCCCC"/>
      </right>
      <top/>
      <bottom/>
      <diagonal/>
    </border>
    <border>
      <left/>
      <right style="dashed">
        <color rgb="FFCCCCCC"/>
      </right>
      <top/>
      <bottom style="thin">
        <color theme="0"/>
      </bottom>
      <diagonal/>
    </border>
    <border>
      <left style="thin">
        <color rgb="FFCCCCCC"/>
      </left>
      <right style="dashed">
        <color rgb="FFCCCCCC"/>
      </right>
      <top style="thin">
        <color theme="0"/>
      </top>
      <bottom/>
      <diagonal/>
    </border>
    <border>
      <left style="thin">
        <color rgb="FFCCCCCC"/>
      </left>
      <right style="thin">
        <color rgb="FFCCCCCC"/>
      </right>
      <top/>
      <bottom style="thin">
        <color theme="0"/>
      </bottom>
      <diagonal/>
    </border>
    <border>
      <left/>
      <right style="thin">
        <color rgb="FFCCCCCC"/>
      </right>
      <top/>
      <bottom style="thin">
        <color rgb="FF00567E"/>
      </bottom>
      <diagonal/>
    </border>
    <border>
      <left/>
      <right style="thin">
        <color rgb="FFCCCCCC"/>
      </right>
      <top style="thin">
        <color theme="0"/>
      </top>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style="thick">
        <color rgb="FF333333"/>
      </left>
      <right style="thick">
        <color rgb="FF333333"/>
      </right>
      <top style="thick">
        <color rgb="FF333333"/>
      </top>
      <bottom style="thick">
        <color rgb="FF333333"/>
      </bottom>
      <diagonal/>
    </border>
    <border>
      <left/>
      <right/>
      <top/>
      <bottom style="thick">
        <color rgb="FF4F81BD"/>
      </bottom>
      <diagonal/>
    </border>
    <border>
      <left/>
      <right/>
      <top/>
      <bottom style="medium">
        <color indexed="44"/>
      </bottom>
      <diagonal/>
    </border>
    <border>
      <left/>
      <right/>
      <top style="double">
        <color indexed="64"/>
      </top>
      <bottom/>
      <diagonal/>
    </border>
    <border>
      <left style="thin">
        <color indexed="63"/>
      </left>
      <right style="thin">
        <color indexed="63"/>
      </right>
      <top style="thin">
        <color indexed="64"/>
      </top>
      <bottom style="thin">
        <color indexed="63"/>
      </bottom>
      <diagonal/>
    </border>
    <border>
      <left style="thin">
        <color rgb="FF333333"/>
      </left>
      <right style="thin">
        <color rgb="FF333333"/>
      </right>
      <top style="thin">
        <color rgb="FF333333"/>
      </top>
      <bottom style="thin">
        <color rgb="FF333333"/>
      </bottom>
      <diagonal/>
    </border>
    <border>
      <left style="thin">
        <color rgb="FF333333"/>
      </left>
      <right style="thin">
        <color rgb="FF333333"/>
      </right>
      <top style="thin">
        <color rgb="FF000000"/>
      </top>
      <bottom style="thin">
        <color rgb="FF333333"/>
      </bottom>
      <diagonal/>
    </border>
    <border>
      <left/>
      <right/>
      <top style="thin">
        <color rgb="FFFFFFFF"/>
      </top>
      <bottom/>
      <diagonal/>
    </border>
    <border>
      <left style="thin">
        <color theme="0"/>
      </left>
      <right/>
      <top style="thin">
        <color rgb="FFFFFFFF"/>
      </top>
      <bottom style="thin">
        <color rgb="FFFFFFFF"/>
      </bottom>
      <diagonal/>
    </border>
    <border>
      <left/>
      <right style="thin">
        <color theme="0"/>
      </right>
      <top style="thin">
        <color rgb="FFFFFFFF"/>
      </top>
      <bottom style="thin">
        <color rgb="FFFFFFFF"/>
      </bottom>
      <diagonal/>
    </border>
    <border>
      <left style="thin">
        <color rgb="FFFFFFFF"/>
      </left>
      <right style="thin">
        <color theme="0"/>
      </right>
      <top style="thin">
        <color rgb="FFFFFFFF"/>
      </top>
      <bottom style="thin">
        <color theme="0"/>
      </bottom>
      <diagonal/>
    </border>
    <border>
      <left style="thin">
        <color rgb="FFFFFFFF"/>
      </left>
      <right style="thin">
        <color theme="0"/>
      </right>
      <top/>
      <bottom style="thin">
        <color rgb="FFFFFFFF"/>
      </bottom>
      <diagonal/>
    </border>
    <border>
      <left style="thin">
        <color theme="0"/>
      </left>
      <right style="thin">
        <color theme="0"/>
      </right>
      <top/>
      <bottom style="thin">
        <color theme="0"/>
      </bottom>
      <diagonal/>
    </border>
    <border>
      <left style="thin">
        <color rgb="FFFFFFFF"/>
      </left>
      <right style="thin">
        <color rgb="FFFFFFFF"/>
      </right>
      <top/>
      <bottom style="thin">
        <color theme="0"/>
      </bottom>
      <diagonal/>
    </border>
  </borders>
  <cellStyleXfs count="9847">
    <xf numFmtId="0" fontId="0" fillId="0" borderId="0"/>
    <xf numFmtId="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15" fillId="2"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2" borderId="0" applyNumberFormat="0" applyBorder="0" applyAlignment="0" applyProtection="0"/>
    <xf numFmtId="0" fontId="16" fillId="2" borderId="0" applyNumberFormat="0" applyBorder="0" applyAlignment="0" applyProtection="0"/>
    <xf numFmtId="0" fontId="16" fillId="2" borderId="0" applyNumberFormat="0" applyBorder="0" applyAlignment="0" applyProtection="0"/>
    <xf numFmtId="0" fontId="15" fillId="3" borderId="0" applyNumberFormat="0" applyBorder="0" applyAlignment="0" applyProtection="0"/>
    <xf numFmtId="0" fontId="16" fillId="3" borderId="0" applyNumberFormat="0" applyBorder="0" applyAlignment="0" applyProtection="0"/>
    <xf numFmtId="0" fontId="16" fillId="3" borderId="0" applyNumberFormat="0" applyBorder="0" applyAlignment="0" applyProtection="0"/>
    <xf numFmtId="0" fontId="76" fillId="54" borderId="0" applyNumberFormat="0" applyBorder="0" applyAlignment="0" applyProtection="0"/>
    <xf numFmtId="0" fontId="16" fillId="4" borderId="0" applyNumberFormat="0" applyBorder="0" applyAlignment="0" applyProtection="0"/>
    <xf numFmtId="0" fontId="16" fillId="4"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6" borderId="0" applyNumberFormat="0" applyBorder="0" applyAlignment="0" applyProtection="0"/>
    <xf numFmtId="0" fontId="16" fillId="6" borderId="0" applyNumberFormat="0" applyBorder="0" applyAlignment="0" applyProtection="0"/>
    <xf numFmtId="0" fontId="16" fillId="6" borderId="0" applyNumberFormat="0" applyBorder="0" applyAlignment="0" applyProtection="0"/>
    <xf numFmtId="0" fontId="15" fillId="7" borderId="0" applyNumberFormat="0" applyBorder="0" applyAlignment="0" applyProtection="0"/>
    <xf numFmtId="0" fontId="16" fillId="7" borderId="0" applyNumberFormat="0" applyBorder="0" applyAlignment="0" applyProtection="0"/>
    <xf numFmtId="0" fontId="16" fillId="7"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0" borderId="0" applyNumberFormat="0" applyBorder="0" applyAlignment="0" applyProtection="0"/>
    <xf numFmtId="0" fontId="16" fillId="10" borderId="0" applyNumberFormat="0" applyBorder="0" applyAlignment="0" applyProtection="0"/>
    <xf numFmtId="0" fontId="16" fillId="10" borderId="0" applyNumberFormat="0" applyBorder="0" applyAlignment="0" applyProtection="0"/>
    <xf numFmtId="0" fontId="15" fillId="11" borderId="0" applyNumberFormat="0" applyBorder="0" applyAlignment="0" applyProtection="0"/>
    <xf numFmtId="0" fontId="16" fillId="11" borderId="0" applyNumberFormat="0" applyBorder="0" applyAlignment="0" applyProtection="0"/>
    <xf numFmtId="0" fontId="16" fillId="11" borderId="0" applyNumberFormat="0" applyBorder="0" applyAlignment="0" applyProtection="0"/>
    <xf numFmtId="0" fontId="15" fillId="5" borderId="0" applyNumberFormat="0" applyBorder="0" applyAlignment="0" applyProtection="0"/>
    <xf numFmtId="0" fontId="16" fillId="5" borderId="0" applyNumberFormat="0" applyBorder="0" applyAlignment="0" applyProtection="0"/>
    <xf numFmtId="0" fontId="16" fillId="5" borderId="0" applyNumberFormat="0" applyBorder="0" applyAlignment="0" applyProtection="0"/>
    <xf numFmtId="0" fontId="15" fillId="9" borderId="0" applyNumberFormat="0" applyBorder="0" applyAlignment="0" applyProtection="0"/>
    <xf numFmtId="0" fontId="16" fillId="9" borderId="0" applyNumberFormat="0" applyBorder="0" applyAlignment="0" applyProtection="0"/>
    <xf numFmtId="0" fontId="16" fillId="9" borderId="0" applyNumberFormat="0" applyBorder="0" applyAlignment="0" applyProtection="0"/>
    <xf numFmtId="0" fontId="15" fillId="12" borderId="0" applyNumberFormat="0" applyBorder="0" applyAlignment="0" applyProtection="0"/>
    <xf numFmtId="0" fontId="16" fillId="12" borderId="0" applyNumberFormat="0" applyBorder="0" applyAlignment="0" applyProtection="0"/>
    <xf numFmtId="0" fontId="16" fillId="12"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5" borderId="0" applyNumberFormat="0" applyBorder="0" applyAlignment="0" applyProtection="0"/>
    <xf numFmtId="0" fontId="18" fillId="15" borderId="0" applyNumberFormat="0" applyBorder="0" applyAlignment="0" applyProtection="0"/>
    <xf numFmtId="0" fontId="18" fillId="15" borderId="0" applyNumberFormat="0" applyBorder="0" applyAlignment="0" applyProtection="0"/>
    <xf numFmtId="0" fontId="17" fillId="10" borderId="0" applyNumberFormat="0" applyBorder="0" applyAlignment="0" applyProtection="0"/>
    <xf numFmtId="0" fontId="18" fillId="10" borderId="0" applyNumberFormat="0" applyBorder="0" applyAlignment="0" applyProtection="0"/>
    <xf numFmtId="0" fontId="18" fillId="10" borderId="0" applyNumberFormat="0" applyBorder="0" applyAlignment="0" applyProtection="0"/>
    <xf numFmtId="0" fontId="17" fillId="11" borderId="0" applyNumberFormat="0" applyBorder="0" applyAlignment="0" applyProtection="0"/>
    <xf numFmtId="0" fontId="18" fillId="11" borderId="0" applyNumberFormat="0" applyBorder="0" applyAlignment="0" applyProtection="0"/>
    <xf numFmtId="0" fontId="18" fillId="11"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18" borderId="0" applyNumberFormat="0" applyBorder="0" applyAlignment="0" applyProtection="0"/>
    <xf numFmtId="0" fontId="18" fillId="18" borderId="0" applyNumberFormat="0" applyBorder="0" applyAlignment="0" applyProtection="0"/>
    <xf numFmtId="0" fontId="18"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2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30"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181" fontId="19" fillId="0" borderId="1">
      <alignment horizontal="center" vertical="center"/>
    </xf>
    <xf numFmtId="0" fontId="20" fillId="36" borderId="0" applyNumberFormat="0" applyBorder="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0" fontId="21" fillId="0" borderId="0" applyNumberFormat="0" applyFill="0" applyBorder="0" applyAlignment="0" applyProtection="0"/>
    <xf numFmtId="0" fontId="22" fillId="0" borderId="2" applyNumberFormat="0" applyFill="0" applyAlignment="0" applyProtection="0"/>
    <xf numFmtId="0" fontId="22" fillId="0" borderId="2"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180" fontId="23" fillId="0" borderId="3" applyNumberFormat="0" applyFill="0" applyAlignment="0" applyProtection="0"/>
    <xf numFmtId="0" fontId="24" fillId="0" borderId="2" applyNumberFormat="0" applyFill="0" applyAlignment="0" applyProtection="0"/>
    <xf numFmtId="0" fontId="24" fillId="0" borderId="2" applyNumberFormat="0" applyFill="0" applyAlignment="0" applyProtection="0"/>
    <xf numFmtId="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7" fillId="0" borderId="2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0" fontId="25" fillId="0" borderId="4"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180" fontId="26" fillId="0" borderId="5" applyNumberFormat="0" applyFill="0" applyAlignment="0" applyProtection="0"/>
    <xf numFmtId="0" fontId="27" fillId="0" borderId="4" applyNumberFormat="0" applyFill="0" applyAlignment="0" applyProtection="0"/>
    <xf numFmtId="0" fontId="27" fillId="0" borderId="4"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8" fillId="0" borderId="25"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0" fontId="28" fillId="0" borderId="6"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180" fontId="29" fillId="0" borderId="7" applyNumberFormat="0" applyFill="0" applyAlignment="0" applyProtection="0"/>
    <xf numFmtId="0" fontId="30" fillId="0" borderId="6" applyNumberFormat="0" applyFill="0" applyAlignment="0" applyProtection="0"/>
    <xf numFmtId="0" fontId="30" fillId="0" borderId="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26" applyNumberFormat="0" applyFill="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0" fontId="28"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180" fontId="29" fillId="0" borderId="0" applyNumberFormat="0" applyFill="0" applyBorder="0" applyAlignment="0" applyProtection="0"/>
    <xf numFmtId="0" fontId="30" fillId="0" borderId="0" applyNumberFormat="0" applyFill="0" applyBorder="0" applyAlignment="0" applyProtection="0"/>
    <xf numFmtId="0" fontId="30"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80" fontId="79" fillId="0" borderId="0" applyNumberFormat="0" applyFill="0" applyBorder="0" applyAlignment="0" applyProtection="0"/>
    <xf numFmtId="165" fontId="80" fillId="0" borderId="27"/>
    <xf numFmtId="182" fontId="1" fillId="37" borderId="8" applyNumberFormat="0">
      <alignment vertical="center"/>
    </xf>
    <xf numFmtId="183" fontId="1" fillId="38" borderId="8" applyNumberFormat="0">
      <alignment vertical="center"/>
    </xf>
    <xf numFmtId="182" fontId="1" fillId="39" borderId="8" applyNumberFormat="0">
      <alignment vertical="center"/>
    </xf>
    <xf numFmtId="182" fontId="1" fillId="40" borderId="8" applyNumberFormat="0">
      <alignment vertical="center"/>
    </xf>
    <xf numFmtId="3" fontId="1" fillId="0" borderId="8" applyNumberFormat="0">
      <alignment vertical="center"/>
    </xf>
    <xf numFmtId="0" fontId="31" fillId="41" borderId="9" applyNumberFormat="0" applyAlignment="0" applyProtection="0"/>
    <xf numFmtId="0" fontId="31" fillId="41" borderId="9" applyNumberFormat="0" applyAlignment="0" applyProtection="0"/>
    <xf numFmtId="0" fontId="81" fillId="55" borderId="28" applyNumberFormat="0" applyAlignment="0" applyProtection="0"/>
    <xf numFmtId="0" fontId="32" fillId="13" borderId="9" applyNumberFormat="0" applyAlignment="0" applyProtection="0"/>
    <xf numFmtId="0" fontId="32" fillId="13" borderId="9" applyNumberFormat="0" applyAlignment="0" applyProtection="0"/>
    <xf numFmtId="180" fontId="82" fillId="0" borderId="29" applyNumberFormat="0" applyFill="0" applyAlignment="0" applyProtection="0"/>
    <xf numFmtId="180" fontId="82" fillId="0" borderId="29" applyNumberFormat="0" applyFill="0" applyAlignment="0" applyProtection="0"/>
    <xf numFmtId="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180" fontId="33" fillId="0" borderId="10" applyNumberFormat="0" applyFill="0" applyAlignment="0" applyProtection="0"/>
    <xf numFmtId="0" fontId="34" fillId="0" borderId="10" applyNumberFormat="0" applyFill="0" applyAlignment="0" applyProtection="0"/>
    <xf numFmtId="0" fontId="34" fillId="0" borderId="10"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180" fontId="82" fillId="0" borderId="29" applyNumberFormat="0" applyFill="0" applyAlignment="0" applyProtection="0"/>
    <xf numFmtId="0" fontId="35" fillId="26" borderId="11" applyNumberFormat="0" applyAlignment="0" applyProtection="0"/>
    <xf numFmtId="165" fontId="36" fillId="0" borderId="0" applyFill="0" applyBorder="0" applyAlignment="0" applyProtection="0"/>
    <xf numFmtId="184" fontId="1" fillId="0" borderId="0" applyFont="0" applyFill="0" applyBorder="0" applyAlignment="0" applyProtection="0"/>
    <xf numFmtId="185"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86"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8" fontId="1" fillId="0" borderId="0" applyFont="0" applyFill="0" applyBorder="0" applyAlignment="0" applyProtection="0"/>
    <xf numFmtId="181" fontId="1" fillId="0" borderId="0" applyFont="0" applyFill="0" applyBorder="0" applyAlignment="0" applyProtection="0"/>
    <xf numFmtId="181" fontId="1" fillId="0" borderId="0" applyFont="0" applyFill="0" applyBorder="0" applyAlignment="0" applyProtection="0"/>
    <xf numFmtId="187"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83" fontId="1"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 fillId="0" borderId="0" applyFont="0" applyFill="0" applyBorder="0" applyAlignment="0" applyProtection="0"/>
    <xf numFmtId="189" fontId="1" fillId="0" borderId="0" applyFont="0" applyFill="0" applyBorder="0" applyAlignment="0" applyProtection="0"/>
    <xf numFmtId="164" fontId="1"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3" fontId="1" fillId="0" borderId="0" applyFill="0" applyBorder="0" applyAlignment="0" applyProtection="0"/>
    <xf numFmtId="0" fontId="17" fillId="42" borderId="0" applyNumberFormat="0" applyBorder="0" applyAlignment="0" applyProtection="0"/>
    <xf numFmtId="0" fontId="18" fillId="42" borderId="0" applyNumberFormat="0" applyBorder="0" applyAlignment="0" applyProtection="0"/>
    <xf numFmtId="0" fontId="18" fillId="42" borderId="0" applyNumberFormat="0" applyBorder="0" applyAlignment="0" applyProtection="0"/>
    <xf numFmtId="0" fontId="17" fillId="27" borderId="0" applyNumberFormat="0" applyBorder="0" applyAlignment="0" applyProtection="0"/>
    <xf numFmtId="0" fontId="18" fillId="27" borderId="0" applyNumberFormat="0" applyBorder="0" applyAlignment="0" applyProtection="0"/>
    <xf numFmtId="0" fontId="18" fillId="27" borderId="0" applyNumberFormat="0" applyBorder="0" applyAlignment="0" applyProtection="0"/>
    <xf numFmtId="0" fontId="17" fillId="19" borderId="0" applyNumberFormat="0" applyBorder="0" applyAlignment="0" applyProtection="0"/>
    <xf numFmtId="0" fontId="18" fillId="19" borderId="0" applyNumberFormat="0" applyBorder="0" applyAlignment="0" applyProtection="0"/>
    <xf numFmtId="0" fontId="18" fillId="19" borderId="0" applyNumberFormat="0" applyBorder="0" applyAlignment="0" applyProtection="0"/>
    <xf numFmtId="0" fontId="17" fillId="16" borderId="0" applyNumberFormat="0" applyBorder="0" applyAlignment="0" applyProtection="0"/>
    <xf numFmtId="0" fontId="18" fillId="16" borderId="0" applyNumberFormat="0" applyBorder="0" applyAlignment="0" applyProtection="0"/>
    <xf numFmtId="0" fontId="18" fillId="16" borderId="0" applyNumberFormat="0" applyBorder="0" applyAlignment="0" applyProtection="0"/>
    <xf numFmtId="0" fontId="17" fillId="17" borderId="0" applyNumberFormat="0" applyBorder="0" applyAlignment="0" applyProtection="0"/>
    <xf numFmtId="0" fontId="18" fillId="17" borderId="0" applyNumberFormat="0" applyBorder="0" applyAlignment="0" applyProtection="0"/>
    <xf numFmtId="0" fontId="18" fillId="17" borderId="0" applyNumberFormat="0" applyBorder="0" applyAlignment="0" applyProtection="0"/>
    <xf numFmtId="0" fontId="17" fillId="35" borderId="0" applyNumberFormat="0" applyBorder="0" applyAlignment="0" applyProtection="0"/>
    <xf numFmtId="0" fontId="18" fillId="35" borderId="0" applyNumberFormat="0" applyBorder="0" applyAlignment="0" applyProtection="0"/>
    <xf numFmtId="0" fontId="18" fillId="35"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4" fillId="56"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180" fontId="37" fillId="4" borderId="0" applyNumberFormat="0" applyBorder="0" applyAlignment="0" applyProtection="0"/>
    <xf numFmtId="0" fontId="38" fillId="4" borderId="0" applyNumberFormat="0" applyBorder="0" applyAlignment="0" applyProtection="0"/>
    <xf numFmtId="0" fontId="38" fillId="4"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180" fontId="83" fillId="56" borderId="0" applyNumberFormat="0" applyBorder="0" applyAlignment="0" applyProtection="0"/>
    <xf numFmtId="0" fontId="83" fillId="56" borderId="0" applyNumberFormat="0" applyBorder="0" applyAlignment="0" applyProtection="0"/>
    <xf numFmtId="190" fontId="36" fillId="0" borderId="0" applyFill="0" applyBorder="0" applyAlignment="0" applyProtection="0"/>
    <xf numFmtId="184" fontId="1" fillId="0" borderId="0" applyFont="0" applyFill="0" applyBorder="0" applyAlignment="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1" fontId="75" fillId="0" borderId="0" applyFont="0" applyFill="0" applyBorder="0" applyAlignment="0" applyProtection="0"/>
    <xf numFmtId="192" fontId="1" fillId="0" borderId="0" applyFill="0" applyBorder="0" applyAlignment="0" applyProtection="0"/>
    <xf numFmtId="193" fontId="36" fillId="0" borderId="0" applyFill="0" applyBorder="0" applyAlignment="0" applyProtection="0"/>
    <xf numFmtId="17" fontId="39" fillId="0" borderId="0" applyFill="0" applyBorder="0">
      <alignment horizontal="right"/>
    </xf>
    <xf numFmtId="181" fontId="40" fillId="0" borderId="12" applyBorder="0">
      <alignment vertical="center"/>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180" fontId="85" fillId="57" borderId="28" applyNumberFormat="0" applyAlignment="0" applyProtection="0"/>
    <xf numFmtId="180" fontId="85" fillId="57" borderId="28" applyNumberFormat="0" applyAlignment="0" applyProtection="0"/>
    <xf numFmtId="0" fontId="86" fillId="57" borderId="28"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180" fontId="42" fillId="14" borderId="9" applyNumberFormat="0" applyAlignment="0" applyProtection="0"/>
    <xf numFmtId="0" fontId="43" fillId="7" borderId="9" applyNumberFormat="0" applyAlignment="0" applyProtection="0"/>
    <xf numFmtId="0" fontId="43" fillId="7" borderId="9"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180" fontId="85" fillId="57" borderId="28" applyNumberFormat="0" applyAlignment="0" applyProtection="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94" fontId="1"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195" fontId="1" fillId="0" borderId="0" applyFont="0" applyFill="0" applyBorder="0" applyAlignment="0" applyProtection="0"/>
    <xf numFmtId="44" fontId="3" fillId="0" borderId="0" applyFont="0" applyFill="0" applyBorder="0" applyAlignment="0" applyProtection="0"/>
    <xf numFmtId="195" fontId="1" fillId="0" borderId="0" applyFont="0" applyFill="0" applyBorder="0" applyAlignment="0" applyProtection="0"/>
    <xf numFmtId="0" fontId="1" fillId="0" borderId="0" applyFont="0" applyFill="0" applyBorder="0" applyAlignment="0" applyProtection="0"/>
    <xf numFmtId="0" fontId="1" fillId="0" borderId="0" applyFont="0" applyFill="0" applyBorder="0" applyAlignment="0" applyProtection="0"/>
    <xf numFmtId="167" fontId="1" fillId="0" borderId="0" applyFont="0" applyFill="0" applyBorder="0" applyAlignment="0" applyProtection="0"/>
    <xf numFmtId="44" fontId="1" fillId="0" borderId="0" applyFont="0" applyFill="0" applyBorder="0" applyAlignment="0" applyProtection="0"/>
    <xf numFmtId="181" fontId="44" fillId="47" borderId="13" applyNumberFormat="0"/>
    <xf numFmtId="0" fontId="45" fillId="0" borderId="0" applyNumberFormat="0" applyFill="0" applyBorder="0" applyAlignment="0" applyProtection="0"/>
    <xf numFmtId="181" fontId="7" fillId="40" borderId="14" applyNumberFormat="0">
      <alignment vertical="center"/>
    </xf>
    <xf numFmtId="2" fontId="36" fillId="0" borderId="0" applyFill="0" applyBorder="0" applyAlignment="0" applyProtection="0"/>
    <xf numFmtId="0" fontId="37" fillId="4" borderId="0" applyNumberFormat="0" applyBorder="0" applyAlignment="0" applyProtection="0"/>
    <xf numFmtId="38" fontId="2" fillId="40" borderId="0" applyNumberFormat="0" applyFont="0" applyBorder="0" applyAlignment="0">
      <protection hidden="1"/>
    </xf>
    <xf numFmtId="181" fontId="46" fillId="40" borderId="15" applyNumberFormat="0">
      <alignment vertical="center"/>
    </xf>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21" fillId="0" borderId="0" applyNumberFormat="0" applyFill="0" applyBorder="0" applyAlignment="0" applyProtection="0"/>
    <xf numFmtId="0" fontId="47" fillId="0" borderId="0" applyNumberFormat="0" applyFill="0" applyBorder="0" applyAlignment="0" applyProtection="0"/>
    <xf numFmtId="0" fontId="87" fillId="0" borderId="0" applyNumberFormat="0" applyFill="0" applyBorder="0" applyAlignment="0" applyProtection="0"/>
    <xf numFmtId="0" fontId="88" fillId="0" borderId="0" applyNumberFormat="0" applyFill="0" applyBorder="0" applyAlignment="0" applyProtection="0">
      <alignment vertical="top"/>
      <protection locked="0"/>
    </xf>
    <xf numFmtId="0" fontId="48" fillId="0" borderId="0" applyNumberFormat="0" applyFill="0" applyBorder="0" applyAlignment="0" applyProtection="0">
      <alignment vertical="top"/>
      <protection locked="0"/>
    </xf>
    <xf numFmtId="0" fontId="88" fillId="0" borderId="0" applyNumberFormat="0" applyFill="0" applyBorder="0" applyAlignment="0" applyProtection="0">
      <alignment vertical="top"/>
      <protection locked="0"/>
    </xf>
    <xf numFmtId="0" fontId="87" fillId="0" borderId="0" applyNumberFormat="0" applyFill="0" applyBorder="0" applyAlignment="0" applyProtection="0"/>
    <xf numFmtId="0" fontId="89" fillId="0" borderId="0" applyNumberFormat="0" applyFill="0" applyBorder="0" applyAlignment="0" applyProtection="0"/>
    <xf numFmtId="0" fontId="49" fillId="3" borderId="0" applyNumberFormat="0" applyBorder="0" applyAlignment="0" applyProtection="0"/>
    <xf numFmtId="0" fontId="50" fillId="3" borderId="0" applyNumberFormat="0" applyBorder="0" applyAlignment="0" applyProtection="0"/>
    <xf numFmtId="0" fontId="50" fillId="3" borderId="0" applyNumberFormat="0" applyBorder="0" applyAlignment="0" applyProtection="0"/>
    <xf numFmtId="0" fontId="42" fillId="7" borderId="9" applyNumberFormat="0" applyAlignment="0" applyProtection="0"/>
    <xf numFmtId="182" fontId="51" fillId="48" borderId="16" applyNumberFormat="0">
      <alignment vertical="center"/>
    </xf>
    <xf numFmtId="0" fontId="42" fillId="7" borderId="9" applyNumberFormat="0" applyAlignment="0" applyProtection="0"/>
    <xf numFmtId="196" fontId="2" fillId="38" borderId="0" applyFont="0" applyBorder="0" applyAlignment="0" applyProtection="0">
      <protection locked="0"/>
    </xf>
    <xf numFmtId="197" fontId="2" fillId="38" borderId="0">
      <protection locked="0"/>
    </xf>
    <xf numFmtId="198" fontId="2" fillId="38" borderId="0" applyFont="0" applyBorder="0" applyAlignment="0">
      <protection locked="0"/>
    </xf>
    <xf numFmtId="10" fontId="2" fillId="38" borderId="0">
      <protection locked="0"/>
    </xf>
    <xf numFmtId="0" fontId="33" fillId="0" borderId="10" applyNumberFormat="0" applyFill="0" applyAlignment="0" applyProtection="0"/>
    <xf numFmtId="199" fontId="1"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1" fontId="1" fillId="0" borderId="0" applyFont="0" applyFill="0" applyBorder="0" applyAlignment="0" applyProtection="0"/>
    <xf numFmtId="202" fontId="1" fillId="0" borderId="0"/>
    <xf numFmtId="181" fontId="51" fillId="37" borderId="17" applyNumberFormat="0">
      <alignment vertical="center"/>
      <protection locked="0"/>
    </xf>
    <xf numFmtId="181" fontId="52" fillId="0" borderId="0" applyNumberFormat="0" applyBorder="0">
      <alignment horizontal="left" vertical="top"/>
    </xf>
    <xf numFmtId="0" fontId="53" fillId="49" borderId="0" applyNumberFormat="0" applyBorder="0" applyAlignment="0" applyProtection="0"/>
    <xf numFmtId="0" fontId="90" fillId="58" borderId="0" applyNumberFormat="0" applyBorder="0" applyAlignment="0" applyProtection="0"/>
    <xf numFmtId="0" fontId="53" fillId="14" borderId="0" applyNumberFormat="0" applyBorder="0" applyAlignment="0" applyProtection="0"/>
    <xf numFmtId="0" fontId="53" fillId="14" borderId="0" applyNumberFormat="0" applyBorder="0" applyAlignment="0" applyProtection="0"/>
    <xf numFmtId="203" fontId="54" fillId="0" borderId="0"/>
    <xf numFmtId="197" fontId="1" fillId="0" borderId="0" applyFont="0" applyFill="0" applyBorder="0" applyAlignment="0"/>
    <xf numFmtId="40" fontId="2" fillId="0" borderId="0" applyFont="0" applyFill="0" applyBorder="0" applyAlignment="0"/>
    <xf numFmtId="204" fontId="2" fillId="0" borderId="0" applyFont="0" applyFill="0" applyBorder="0" applyAlignment="0"/>
    <xf numFmtId="0" fontId="75" fillId="0" borderId="0"/>
    <xf numFmtId="174" fontId="1" fillId="0" borderId="0"/>
    <xf numFmtId="180" fontId="1" fillId="0" borderId="0"/>
    <xf numFmtId="0" fontId="75" fillId="0" borderId="0"/>
    <xf numFmtId="0" fontId="75" fillId="0" borderId="0"/>
    <xf numFmtId="0" fontId="1" fillId="0" borderId="0"/>
    <xf numFmtId="0" fontId="75" fillId="0" borderId="0"/>
    <xf numFmtId="0" fontId="1" fillId="0" borderId="0"/>
    <xf numFmtId="180" fontId="1" fillId="0" borderId="0"/>
    <xf numFmtId="180" fontId="1" fillId="0" borderId="0"/>
    <xf numFmtId="180" fontId="1" fillId="0" borderId="0"/>
    <xf numFmtId="180" fontId="1" fillId="0" borderId="0"/>
    <xf numFmtId="180" fontId="1" fillId="0" borderId="0"/>
    <xf numFmtId="0" fontId="76" fillId="0" borderId="0"/>
    <xf numFmtId="0" fontId="1" fillId="0" borderId="0"/>
    <xf numFmtId="1" fontId="55"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1"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3" fillId="0" borderId="0"/>
    <xf numFmtId="0" fontId="3" fillId="0" borderId="0"/>
    <xf numFmtId="0" fontId="3" fillId="0" borderId="0"/>
    <xf numFmtId="0" fontId="1" fillId="0" borderId="0"/>
    <xf numFmtId="0" fontId="1" fillId="0" borderId="0"/>
    <xf numFmtId="0" fontId="75" fillId="0" borderId="0"/>
    <xf numFmtId="203" fontId="56" fillId="0" borderId="0"/>
    <xf numFmtId="203" fontId="56" fillId="0" borderId="0"/>
    <xf numFmtId="203" fontId="56" fillId="0" borderId="0"/>
    <xf numFmtId="0" fontId="75" fillId="0" borderId="0"/>
    <xf numFmtId="0" fontId="75" fillId="0" borderId="0"/>
    <xf numFmtId="0" fontId="3" fillId="0" borderId="0"/>
    <xf numFmtId="0" fontId="1"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91" fillId="0" borderId="0"/>
    <xf numFmtId="0" fontId="7" fillId="0" borderId="0"/>
    <xf numFmtId="0" fontId="1" fillId="0" borderId="0"/>
    <xf numFmtId="0" fontId="1" fillId="0" borderId="0"/>
    <xf numFmtId="0" fontId="1" fillId="0" borderId="0"/>
    <xf numFmtId="0" fontId="1" fillId="0" borderId="0"/>
    <xf numFmtId="0" fontId="3" fillId="0" borderId="0"/>
    <xf numFmtId="0" fontId="75" fillId="0" borderId="0"/>
    <xf numFmtId="0" fontId="15" fillId="0" borderId="0"/>
    <xf numFmtId="0" fontId="57" fillId="0" borderId="0"/>
    <xf numFmtId="0" fontId="15" fillId="0" borderId="0"/>
    <xf numFmtId="0" fontId="1" fillId="0" borderId="0"/>
    <xf numFmtId="0" fontId="15" fillId="0" borderId="0"/>
    <xf numFmtId="0" fontId="1" fillId="0" borderId="0"/>
    <xf numFmtId="0" fontId="15" fillId="0" borderId="0"/>
    <xf numFmtId="0" fontId="1" fillId="0" borderId="0"/>
    <xf numFmtId="0" fontId="15" fillId="0" borderId="0"/>
    <xf numFmtId="0" fontId="75" fillId="0" borderId="0"/>
    <xf numFmtId="0" fontId="75" fillId="0" borderId="0"/>
    <xf numFmtId="0" fontId="75" fillId="0" borderId="0"/>
    <xf numFmtId="0" fontId="1" fillId="0" borderId="0"/>
    <xf numFmtId="182"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177" fontId="56" fillId="0" borderId="0"/>
    <xf numFmtId="177" fontId="56" fillId="0" borderId="0"/>
    <xf numFmtId="177" fontId="56" fillId="0" borderId="0"/>
    <xf numFmtId="177" fontId="56" fillId="0" borderId="0"/>
    <xf numFmtId="177" fontId="56" fillId="0" borderId="0"/>
    <xf numFmtId="0" fontId="75" fillId="0" borderId="0"/>
    <xf numFmtId="0" fontId="92"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 fillId="0" borderId="0"/>
    <xf numFmtId="0" fontId="3" fillId="0" borderId="0"/>
    <xf numFmtId="0" fontId="3" fillId="0" borderId="0"/>
    <xf numFmtId="0" fontId="1" fillId="0" borderId="0"/>
    <xf numFmtId="177" fontId="56" fillId="0" borderId="0"/>
    <xf numFmtId="177" fontId="56" fillId="0" borderId="0"/>
    <xf numFmtId="177" fontId="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3"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1" fillId="0" borderId="0"/>
    <xf numFmtId="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180" fontId="1" fillId="0" borderId="0"/>
    <xf numFmtId="0" fontId="3" fillId="0" borderId="0"/>
    <xf numFmtId="0" fontId="3" fillId="0" borderId="0"/>
    <xf numFmtId="0" fontId="3" fillId="0" borderId="0"/>
    <xf numFmtId="0" fontId="75"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1" fillId="0" borderId="0"/>
    <xf numFmtId="0" fontId="57" fillId="0" borderId="0"/>
    <xf numFmtId="0" fontId="75" fillId="0" borderId="0"/>
    <xf numFmtId="0" fontId="93" fillId="0" borderId="0"/>
    <xf numFmtId="0" fontId="94" fillId="0" borderId="0"/>
    <xf numFmtId="0" fontId="75" fillId="0" borderId="0"/>
    <xf numFmtId="0" fontId="1" fillId="0" borderId="0"/>
    <xf numFmtId="180" fontId="1" fillId="0" borderId="0"/>
    <xf numFmtId="180" fontId="1" fillId="0" borderId="0"/>
    <xf numFmtId="0" fontId="75" fillId="0" borderId="0"/>
    <xf numFmtId="0" fontId="75" fillId="0" borderId="0"/>
    <xf numFmtId="0" fontId="75" fillId="0" borderId="0"/>
    <xf numFmtId="0" fontId="15" fillId="0" borderId="0"/>
    <xf numFmtId="0" fontId="75" fillId="0" borderId="0"/>
    <xf numFmtId="0" fontId="75" fillId="0" borderId="0"/>
    <xf numFmtId="0" fontId="15" fillId="0" borderId="0"/>
    <xf numFmtId="0" fontId="75" fillId="0" borderId="0"/>
    <xf numFmtId="0" fontId="1" fillId="0" borderId="0"/>
    <xf numFmtId="0" fontId="15" fillId="0" borderId="0"/>
    <xf numFmtId="0" fontId="75" fillId="0" borderId="0"/>
    <xf numFmtId="0" fontId="75"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3" fillId="0" borderId="0"/>
    <xf numFmtId="0" fontId="3" fillId="0" borderId="0"/>
    <xf numFmtId="0" fontId="75" fillId="0" borderId="0"/>
    <xf numFmtId="0" fontId="75" fillId="0" borderId="0"/>
    <xf numFmtId="0" fontId="75" fillId="0" borderId="0"/>
    <xf numFmtId="0" fontId="75" fillId="0" borderId="0"/>
    <xf numFmtId="0" fontId="3" fillId="0" borderId="0"/>
    <xf numFmtId="0" fontId="76"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 fillId="0" borderId="0"/>
    <xf numFmtId="0" fontId="3" fillId="0" borderId="0"/>
    <xf numFmtId="0" fontId="57" fillId="0" borderId="0"/>
    <xf numFmtId="0" fontId="1" fillId="0" borderId="0"/>
    <xf numFmtId="197" fontId="39" fillId="0" borderId="0" applyNumberFormat="0" applyFill="0" applyBorder="0" applyAlignment="0" applyProtection="0"/>
    <xf numFmtId="165" fontId="58" fillId="0" borderId="0"/>
    <xf numFmtId="180" fontId="75" fillId="59" borderId="30" applyNumberFormat="0" applyFont="0" applyAlignment="0" applyProtection="0"/>
    <xf numFmtId="180" fontId="75" fillId="59" borderId="30" applyNumberFormat="0" applyFont="0" applyAlignment="0" applyProtection="0"/>
    <xf numFmtId="180" fontId="1" fillId="8" borderId="18" applyNumberFormat="0" applyFont="0" applyAlignment="0" applyProtection="0"/>
    <xf numFmtId="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180" fontId="1" fillId="8" borderId="18" applyNumberFormat="0" applyFont="0" applyAlignment="0" applyProtection="0"/>
    <xf numFmtId="0" fontId="16" fillId="8" borderId="18" applyNumberFormat="0" applyFont="0" applyAlignment="0" applyProtection="0"/>
    <xf numFmtId="0" fontId="16" fillId="8" borderId="18"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180" fontId="75" fillId="59" borderId="30"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3" fontId="1" fillId="0" borderId="0" applyFont="0" applyFill="0" applyBorder="0" applyAlignment="0" applyProtection="0">
      <alignment horizontal="right"/>
    </xf>
    <xf numFmtId="0" fontId="95" fillId="60" borderId="31">
      <alignment horizontal="center" vertical="center" wrapText="1" readingOrder="1"/>
    </xf>
    <xf numFmtId="0" fontId="96" fillId="61" borderId="32">
      <alignment horizontal="left" vertical="center" wrapText="1" indent="1" readingOrder="1"/>
    </xf>
    <xf numFmtId="3" fontId="97" fillId="61" borderId="33">
      <alignment horizontal="right" vertical="center" indent="1"/>
    </xf>
    <xf numFmtId="165" fontId="97" fillId="61" borderId="33">
      <alignment horizontal="right" vertical="center" indent="1"/>
    </xf>
    <xf numFmtId="0" fontId="98" fillId="0" borderId="34">
      <alignment horizontal="left" vertical="center" indent="1"/>
    </xf>
    <xf numFmtId="3" fontId="98" fillId="0" borderId="35">
      <alignment horizontal="right" vertical="center" indent="1"/>
    </xf>
    <xf numFmtId="0" fontId="99" fillId="0" borderId="36"/>
    <xf numFmtId="0" fontId="100" fillId="62" borderId="0">
      <alignment vertical="center"/>
    </xf>
    <xf numFmtId="0" fontId="101" fillId="0" borderId="0">
      <alignment horizontal="center" vertical="top" wrapText="1"/>
    </xf>
    <xf numFmtId="0" fontId="99" fillId="62" borderId="0"/>
    <xf numFmtId="0" fontId="59" fillId="0" borderId="19" applyNumberFormat="0" applyFill="0" applyBorder="0" applyProtection="0">
      <alignment vertical="top" wrapText="1"/>
    </xf>
    <xf numFmtId="0" fontId="60" fillId="41" borderId="14" applyNumberFormat="0" applyAlignment="0" applyProtection="0"/>
    <xf numFmtId="0" fontId="60" fillId="41" borderId="14" applyNumberFormat="0" applyAlignment="0" applyProtection="0"/>
    <xf numFmtId="205" fontId="2" fillId="0" borderId="20" applyNumberFormat="0" applyFill="0" applyBorder="0" applyAlignment="0" applyProtection="0"/>
    <xf numFmtId="9" fontId="1" fillId="0" borderId="0" applyFont="0" applyFill="0" applyBorder="0" applyAlignment="0" applyProtection="0"/>
    <xf numFmtId="206" fontId="1" fillId="0" borderId="0" applyFont="0" applyFill="0" applyBorder="0" applyAlignment="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61" fillId="0" borderId="0" applyFont="0" applyFill="0" applyBorder="0" applyAlignment="0" applyProtection="0"/>
    <xf numFmtId="9" fontId="44"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75"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07" fontId="2" fillId="0" borderId="0" applyFont="0" applyFill="0" applyBorder="0" applyAlignment="0" applyProtection="0"/>
    <xf numFmtId="181" fontId="36" fillId="0" borderId="0" applyFont="0" applyFill="0" applyBorder="0" applyAlignment="0" applyProtection="0">
      <alignment horizontal="right"/>
    </xf>
    <xf numFmtId="197" fontId="52" fillId="0" borderId="0" applyNumberFormat="0" applyFill="0" applyBorder="0" applyAlignment="0" applyProtection="0">
      <alignment horizontal="left"/>
    </xf>
    <xf numFmtId="0" fontId="39" fillId="51" borderId="21" applyNumberFormat="0" applyFont="0" applyBorder="0" applyAlignment="0">
      <alignment vertical="top" wrapText="1"/>
    </xf>
    <xf numFmtId="0" fontId="62" fillId="13" borderId="14" applyNumberFormat="0" applyAlignment="0" applyProtection="0"/>
    <xf numFmtId="0" fontId="60" fillId="13" borderId="14" applyNumberFormat="0" applyAlignment="0" applyProtection="0"/>
    <xf numFmtId="0" fontId="60" fillId="13" borderId="14" applyNumberFormat="0" applyAlignment="0" applyProtection="0"/>
    <xf numFmtId="4" fontId="14" fillId="52" borderId="14" applyProtection="0">
      <alignment horizontal="right" vertical="center"/>
    </xf>
    <xf numFmtId="0" fontId="63" fillId="0" borderId="0" applyNumberFormat="0" applyFill="0" applyBorder="0" applyAlignment="0" applyProtection="0"/>
    <xf numFmtId="181" fontId="1" fillId="40" borderId="0">
      <alignment horizontal="center" vertical="center"/>
    </xf>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180" fontId="102" fillId="0" borderId="0" applyNumberFormat="0" applyFill="0" applyBorder="0" applyAlignment="0" applyProtection="0"/>
    <xf numFmtId="180" fontId="102" fillId="0" borderId="0" applyNumberFormat="0" applyFill="0" applyBorder="0" applyAlignment="0" applyProtection="0"/>
    <xf numFmtId="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180" fontId="64" fillId="0" borderId="0" applyNumberFormat="0" applyFill="0" applyBorder="0" applyAlignment="0" applyProtection="0"/>
    <xf numFmtId="0" fontId="65" fillId="0" borderId="0" applyNumberFormat="0" applyFill="0" applyBorder="0" applyAlignment="0" applyProtection="0"/>
    <xf numFmtId="0" fontId="65"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180" fontId="102" fillId="0" borderId="0" applyNumberFormat="0" applyFill="0" applyBorder="0" applyAlignment="0" applyProtection="0"/>
    <xf numFmtId="0" fontId="45" fillId="0" borderId="0" applyNumberFormat="0" applyFill="0" applyBorder="0" applyAlignment="0" applyProtection="0"/>
    <xf numFmtId="0" fontId="66" fillId="0" borderId="0" applyNumberFormat="0" applyFill="0" applyBorder="0" applyAlignment="0" applyProtection="0"/>
    <xf numFmtId="0" fontId="66" fillId="0" borderId="0" applyNumberFormat="0" applyFill="0" applyBorder="0" applyAlignment="0" applyProtection="0"/>
    <xf numFmtId="0" fontId="67" fillId="0" borderId="0" applyNumberFormat="0" applyFill="0" applyBorder="0" applyAlignment="0" applyProtection="0"/>
    <xf numFmtId="182" fontId="68" fillId="53" borderId="0" applyNumberFormat="0">
      <alignment vertical="center"/>
    </xf>
    <xf numFmtId="182" fontId="69" fillId="0" borderId="0" applyNumberFormat="0">
      <alignment vertical="center"/>
    </xf>
    <xf numFmtId="182" fontId="70" fillId="0" borderId="0" applyNumberFormat="0">
      <alignment vertical="center"/>
    </xf>
    <xf numFmtId="181" fontId="71" fillId="0" borderId="0">
      <alignment vertical="center"/>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2" fillId="0" borderId="22"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62" fillId="0" borderId="23" applyNumberFormat="0" applyFill="0" applyAlignment="0" applyProtection="0"/>
    <xf numFmtId="0" fontId="72" fillId="0" borderId="23" applyNumberFormat="0" applyFill="0" applyAlignment="0" applyProtection="0"/>
    <xf numFmtId="0" fontId="72" fillId="0" borderId="23" applyNumberFormat="0" applyFill="0" applyAlignment="0" applyProtection="0"/>
    <xf numFmtId="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180" fontId="62" fillId="0" borderId="23" applyNumberFormat="0" applyFill="0" applyAlignment="0" applyProtection="0"/>
    <xf numFmtId="0" fontId="41" fillId="0" borderId="22" applyNumberFormat="0" applyFill="0" applyAlignment="0" applyProtection="0"/>
    <xf numFmtId="0" fontId="41" fillId="0" borderId="22"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62" fillId="0" borderId="23" applyNumberFormat="0" applyFill="0" applyAlignment="0" applyProtection="0"/>
    <xf numFmtId="0" fontId="73" fillId="43" borderId="11" applyNumberFormat="0" applyAlignment="0" applyProtection="0"/>
    <xf numFmtId="0" fontId="35" fillId="43" borderId="11" applyNumberFormat="0" applyAlignment="0" applyProtection="0"/>
    <xf numFmtId="0" fontId="35" fillId="43" borderId="11" applyNumberFormat="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4" fontId="74" fillId="0" borderId="0" applyFont="0" applyFill="0" applyBorder="0" applyAlignment="0" applyProtection="0"/>
    <xf numFmtId="208" fontId="3"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169" fontId="1" fillId="0" borderId="0" applyFont="0" applyFill="0" applyBorder="0" applyAlignment="0" applyProtection="0"/>
    <xf numFmtId="43" fontId="75"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1" fillId="0" borderId="0" applyFont="0" applyFill="0" applyBorder="0" applyAlignment="0" applyProtection="0"/>
    <xf numFmtId="164" fontId="57" fillId="0" borderId="0" applyFont="0" applyFill="0" applyBorder="0" applyAlignment="0" applyProtection="0"/>
    <xf numFmtId="164" fontId="57" fillId="0" borderId="0" applyFont="0" applyFill="0" applyBorder="0" applyAlignment="0" applyProtection="0"/>
    <xf numFmtId="164" fontId="1"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75" fillId="0" borderId="0" applyFont="0" applyFill="0" applyBorder="0" applyAlignment="0" applyProtection="0"/>
    <xf numFmtId="164" fontId="7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64" fontId="15" fillId="0" borderId="0" applyFont="0" applyFill="0" applyBorder="0" applyAlignment="0" applyProtection="0"/>
    <xf numFmtId="177" fontId="1" fillId="0" borderId="0" applyFont="0" applyFill="0" applyBorder="0" applyAlignment="0" applyProtection="0"/>
    <xf numFmtId="177" fontId="1" fillId="0" borderId="0" applyFont="0" applyFill="0" applyBorder="0" applyAlignment="0" applyProtection="0"/>
    <xf numFmtId="0" fontId="64" fillId="0" borderId="0" applyNumberFormat="0" applyFill="0" applyBorder="0" applyAlignment="0" applyProtection="0"/>
    <xf numFmtId="0" fontId="1" fillId="0" borderId="0"/>
    <xf numFmtId="0" fontId="1" fillId="0" borderId="0"/>
    <xf numFmtId="0" fontId="2" fillId="64" borderId="14" applyNumberFormat="0" applyProtection="0">
      <alignment horizontal="left" vertical="center" indent="1"/>
    </xf>
    <xf numFmtId="0" fontId="1" fillId="0" borderId="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50" fillId="90" borderId="14" applyNumberFormat="0" applyProtection="0">
      <alignment horizontal="left" vertical="center" indent="1"/>
    </xf>
    <xf numFmtId="4" fontId="151" fillId="40" borderId="14" applyNumberFormat="0" applyProtection="0">
      <alignment horizontal="right" vertical="center"/>
    </xf>
    <xf numFmtId="0" fontId="153" fillId="91" borderId="102">
      <alignment horizontal="right" vertic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158"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100" applyNumberFormat="0" applyAlignment="0" applyProtection="0"/>
    <xf numFmtId="217" fontId="159" fillId="0" borderId="0" applyFont="0" applyFill="0" applyBorder="0" applyAlignment="0" applyProtection="0"/>
    <xf numFmtId="44" fontId="160"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177" fontId="159" fillId="0" borderId="0" applyFont="0" applyFill="0" applyBorder="0" applyAlignment="0" applyProtection="0"/>
    <xf numFmtId="165" fontId="159" fillId="0" borderId="0" applyFont="0" applyFill="0" applyBorder="0" applyAlignment="0" applyProtection="0"/>
    <xf numFmtId="165" fontId="159" fillId="0" borderId="0" applyFont="0" applyFill="0" applyBorder="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9" applyNumberFormat="0" applyAlignment="0" applyProtection="0"/>
    <xf numFmtId="9" fontId="1"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1" fillId="0" borderId="0" applyFont="0" applyFill="0" applyBorder="0" applyAlignment="0" applyProtection="0"/>
    <xf numFmtId="9" fontId="159" fillId="0" borderId="0" applyFont="0" applyFill="0" applyBorder="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44" fontId="1" fillId="0" borderId="0" applyFon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217" fontId="161" fillId="0" borderId="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164" fontId="1" fillId="0" borderId="0" applyFont="0" applyFill="0" applyBorder="0" applyAlignment="0" applyProtection="0"/>
    <xf numFmtId="217" fontId="36" fillId="0" borderId="0"/>
    <xf numFmtId="217" fontId="36" fillId="0" borderId="0"/>
    <xf numFmtId="217" fontId="149" fillId="0" borderId="101"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164" fontId="1" fillId="0" borderId="0" applyFont="0" applyFill="0" applyBorder="0" applyAlignment="0" applyProtection="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9" fontId="1" fillId="0" borderId="0" applyFont="0" applyFill="0" applyBorder="0" applyAlignment="0" applyProtection="0"/>
    <xf numFmtId="217" fontId="75" fillId="69" borderId="0" applyNumberFormat="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9" fontId="1" fillId="0" borderId="0" applyFont="0" applyFill="0" applyBorder="0" applyAlignment="0" applyProtection="0"/>
    <xf numFmtId="164"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217" fontId="64" fillId="0" borderId="0" applyNumberFormat="0" applyFill="0" applyBorder="0" applyAlignment="0" applyProtection="0"/>
    <xf numFmtId="164" fontId="75" fillId="0" borderId="0" applyFont="0" applyFill="0" applyBorder="0" applyAlignment="0" applyProtection="0"/>
    <xf numFmtId="217" fontId="75" fillId="0" borderId="0"/>
    <xf numFmtId="217" fontId="42" fillId="7" borderId="9" applyNumberFormat="0" applyAlignment="0" applyProtection="0"/>
    <xf numFmtId="217" fontId="152" fillId="14" borderId="0" applyNumberFormat="0" applyBorder="0" applyAlignment="0" applyProtection="0"/>
    <xf numFmtId="9" fontId="1" fillId="0" borderId="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156" fillId="0" borderId="0" applyNumberFormat="0" applyFill="0" applyBorder="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209" fontId="1" fillId="0" borderId="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1"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33" fillId="0" borderId="10" applyNumberFormat="0" applyFill="0" applyAlignment="0" applyProtection="0"/>
    <xf numFmtId="217" fontId="1" fillId="0" borderId="0"/>
    <xf numFmtId="217" fontId="164"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1" fillId="0" borderId="0" applyFont="0" applyFill="0" applyBorder="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28" fillId="0" borderId="0" applyNumberFormat="0" applyFill="0" applyBorder="0" applyAlignment="0" applyProtection="0"/>
    <xf numFmtId="217" fontId="28" fillId="0" borderId="6" applyNumberFormat="0" applyFill="0" applyAlignment="0" applyProtection="0"/>
    <xf numFmtId="217" fontId="25" fillId="0" borderId="4" applyNumberFormat="0" applyFill="0" applyAlignment="0" applyProtection="0"/>
    <xf numFmtId="217" fontId="22" fillId="0" borderId="2" applyNumberFormat="0" applyFill="0" applyAlignment="0" applyProtection="0"/>
    <xf numFmtId="217" fontId="37" fillId="4" borderId="0" applyNumberFormat="0" applyBorder="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5" fillId="0" borderId="0" applyNumberFormat="0" applyFill="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08" fontId="1" fillId="0" borderId="0" applyFont="0" applyFill="0" applyBorder="0" applyAlignment="0" applyProtection="0"/>
    <xf numFmtId="217" fontId="167" fillId="0" borderId="0"/>
    <xf numFmtId="217" fontId="1" fillId="0" borderId="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44" fontId="1" fillId="0" borderId="0" applyFont="0" applyFill="0" applyBorder="0" applyAlignment="0" applyProtection="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00"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57" fillId="0" borderId="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2" fontId="130" fillId="0" borderId="0"/>
    <xf numFmtId="217" fontId="130" fillId="92" borderId="0"/>
    <xf numFmtId="217" fontId="164" fillId="0" borderId="0"/>
    <xf numFmtId="217" fontId="130" fillId="0" borderId="0"/>
    <xf numFmtId="217" fontId="130" fillId="0" borderId="0"/>
    <xf numFmtId="217" fontId="163" fillId="0" borderId="0">
      <alignment horizontal="center" textRotation="90"/>
    </xf>
    <xf numFmtId="217" fontId="163" fillId="0" borderId="0">
      <alignment horizontal="center"/>
    </xf>
    <xf numFmtId="217" fontId="162" fillId="0" borderId="103"/>
    <xf numFmtId="212" fontId="130" fillId="0" borderId="0"/>
    <xf numFmtId="217" fontId="130" fillId="92" borderId="0"/>
    <xf numFmtId="217" fontId="130" fillId="92" borderId="0"/>
    <xf numFmtId="217" fontId="130" fillId="0" borderId="0"/>
    <xf numFmtId="217" fontId="1" fillId="0" borderId="0">
      <alignment wrapText="1"/>
    </xf>
    <xf numFmtId="217" fontId="156" fillId="0" borderId="0"/>
    <xf numFmtId="217" fontId="156" fillId="0" borderId="0" applyNumberFormat="0" applyFill="0" applyBorder="0" applyAlignment="0" applyProtection="0"/>
    <xf numFmtId="217" fontId="75" fillId="0" borderId="0"/>
    <xf numFmtId="217" fontId="75" fillId="0" borderId="0"/>
    <xf numFmtId="217" fontId="1" fillId="0" borderId="0"/>
    <xf numFmtId="217" fontId="159"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xf numFmtId="217" fontId="1" fillId="0" borderId="0">
      <alignment wrapText="1"/>
    </xf>
    <xf numFmtId="217" fontId="75" fillId="0" borderId="0"/>
    <xf numFmtId="217" fontId="75" fillId="0" borderId="0"/>
    <xf numFmtId="217" fontId="1" fillId="0" borderId="0"/>
    <xf numFmtId="217" fontId="157" fillId="0" borderId="0"/>
    <xf numFmtId="217" fontId="1" fillId="0" borderId="0"/>
    <xf numFmtId="217" fontId="156" fillId="0" borderId="0"/>
    <xf numFmtId="217" fontId="75" fillId="0" borderId="0"/>
    <xf numFmtId="217" fontId="75" fillId="0" borderId="0"/>
    <xf numFmtId="217" fontId="1" fillId="0" borderId="0"/>
    <xf numFmtId="217" fontId="157"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159" fillId="0" borderId="0" applyFont="0" applyFill="0" applyBorder="0" applyAlignment="0" applyProtection="0"/>
    <xf numFmtId="9" fontId="159" fillId="0" borderId="0" applyFont="0" applyFill="0" applyBorder="0" applyAlignment="0" applyProtection="0"/>
    <xf numFmtId="9" fontId="159" fillId="0" borderId="0" applyFont="0" applyFill="0" applyBorder="0" applyAlignment="0" applyProtection="0"/>
    <xf numFmtId="9" fontId="75" fillId="0" borderId="0" applyFont="0" applyFill="0" applyBorder="0" applyAlignment="0" applyProtection="0"/>
    <xf numFmtId="9" fontId="57"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1" fillId="0" borderId="0"/>
    <xf numFmtId="164" fontId="75" fillId="0" borderId="0" applyFont="0" applyFill="0" applyBorder="0" applyAlignment="0" applyProtection="0"/>
    <xf numFmtId="217" fontId="75" fillId="0" borderId="0"/>
    <xf numFmtId="9" fontId="75" fillId="0" borderId="0" applyFont="0" applyFill="0" applyBorder="0" applyAlignment="0" applyProtection="0"/>
    <xf numFmtId="9" fontId="57"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9" fontId="1" fillId="0" borderId="0" applyFont="0" applyFill="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164" fontId="166" fillId="0" borderId="0" applyFont="0" applyFill="0" applyBorder="0" applyAlignment="0" applyProtection="0"/>
    <xf numFmtId="208" fontId="1" fillId="0" borderId="0" applyFont="0" applyFill="0" applyBorder="0" applyAlignment="0" applyProtection="0"/>
    <xf numFmtId="217" fontId="1"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08" fontId="1" fillId="0" borderId="0" applyFont="0" applyFill="0" applyBorder="0" applyAlignment="0" applyProtection="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1" fillId="0" borderId="0"/>
    <xf numFmtId="9" fontId="75" fillId="0" borderId="0" applyFont="0" applyFill="0" applyBorder="0" applyAlignment="0" applyProtection="0"/>
    <xf numFmtId="9" fontId="75" fillId="0" borderId="0" applyFont="0" applyFill="0" applyBorder="0" applyAlignment="0" applyProtection="0"/>
    <xf numFmtId="164" fontId="1"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9" fontId="166"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8" fontId="170" fillId="0" borderId="0">
      <protection locked="0"/>
    </xf>
    <xf numFmtId="218" fontId="170" fillId="0" borderId="0">
      <protection locked="0"/>
    </xf>
    <xf numFmtId="218" fontId="170" fillId="0" borderId="0">
      <protection locked="0"/>
    </xf>
    <xf numFmtId="219" fontId="170" fillId="0" borderId="0">
      <protection locked="0"/>
    </xf>
    <xf numFmtId="219" fontId="170" fillId="0" borderId="0">
      <protection locked="0"/>
    </xf>
    <xf numFmtId="219" fontId="170" fillId="0" borderId="0">
      <protection locked="0"/>
    </xf>
    <xf numFmtId="219" fontId="170" fillId="0" borderId="0">
      <protection locked="0"/>
    </xf>
    <xf numFmtId="220" fontId="170" fillId="0" borderId="0">
      <protection locked="0"/>
    </xf>
    <xf numFmtId="220" fontId="170" fillId="0" borderId="0">
      <protection locked="0"/>
    </xf>
    <xf numFmtId="192" fontId="1" fillId="0" borderId="0" applyFont="0" applyFill="0" applyBorder="0" applyAlignment="0" applyProtection="0"/>
    <xf numFmtId="220" fontId="170" fillId="0" borderId="0">
      <protection locked="0"/>
    </xf>
    <xf numFmtId="221" fontId="170" fillId="0" borderId="0">
      <protection locked="0"/>
    </xf>
    <xf numFmtId="221" fontId="170" fillId="0" borderId="0">
      <protection locked="0"/>
    </xf>
    <xf numFmtId="221" fontId="170" fillId="0" borderId="0">
      <protection locked="0"/>
    </xf>
    <xf numFmtId="221" fontId="170" fillId="0" borderId="0">
      <protection locked="0"/>
    </xf>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22" fontId="1" fillId="0" borderId="0" applyFon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23" fontId="170" fillId="0" borderId="0">
      <protection locked="0"/>
    </xf>
    <xf numFmtId="223" fontId="170" fillId="0" borderId="0">
      <protection locked="0"/>
    </xf>
    <xf numFmtId="223" fontId="170" fillId="0" borderId="0">
      <protection locked="0"/>
    </xf>
    <xf numFmtId="223" fontId="170" fillId="0" borderId="0">
      <protection locked="0"/>
    </xf>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4"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44" fontId="15" fillId="0" borderId="0" applyFont="0" applyFill="0" applyBorder="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1" fillId="0" borderId="0"/>
    <xf numFmtId="217" fontId="1" fillId="0" borderId="0">
      <alignment vertical="top"/>
    </xf>
    <xf numFmtId="217" fontId="1" fillId="0" borderId="0"/>
    <xf numFmtId="217" fontId="1" fillId="0" borderId="0"/>
    <xf numFmtId="217" fontId="173"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15" fillId="0" borderId="0"/>
    <xf numFmtId="217" fontId="1" fillId="0" borderId="0">
      <alignment vertical="top"/>
    </xf>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24" fontId="170" fillId="0" borderId="0">
      <protection locked="0"/>
    </xf>
    <xf numFmtId="9" fontId="1" fillId="0" borderId="0" applyFont="0" applyFill="0" applyBorder="0" applyAlignment="0" applyProtection="0"/>
    <xf numFmtId="9" fontId="1"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224" fontId="170" fillId="0" borderId="0">
      <protection locked="0"/>
    </xf>
    <xf numFmtId="9" fontId="15" fillId="0" borderId="0" applyFont="0" applyFill="0" applyBorder="0" applyAlignment="0" applyProtection="0"/>
    <xf numFmtId="9" fontId="3" fillId="0" borderId="0" applyFont="0" applyFill="0" applyBorder="0" applyAlignment="0" applyProtection="0"/>
    <xf numFmtId="9" fontId="15" fillId="0" borderId="0" applyFont="0" applyFill="0" applyBorder="0" applyAlignment="0" applyProtection="0"/>
    <xf numFmtId="9" fontId="1" fillId="0" borderId="0" applyFont="0" applyFill="0" applyBorder="0" applyAlignment="0" applyProtection="0"/>
    <xf numFmtId="38" fontId="57" fillId="0" borderId="0" applyFont="0" applyFill="0" applyBorder="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169" fontId="1" fillId="0" borderId="0" applyFont="0" applyFill="0" applyBorder="0" applyAlignment="0" applyProtection="0"/>
    <xf numFmtId="43" fontId="74" fillId="0" borderId="0" applyFont="0" applyFill="0" applyBorder="0" applyAlignment="0" applyProtection="0"/>
    <xf numFmtId="177" fontId="1" fillId="0" borderId="0" applyFont="0" applyFill="0" applyBorder="0" applyAlignment="0" applyProtection="0"/>
    <xf numFmtId="164" fontId="15" fillId="0" borderId="0" applyFont="0" applyFill="0" applyBorder="0" applyAlignment="0" applyProtection="0"/>
    <xf numFmtId="164" fontId="57" fillId="0" borderId="0" applyFont="0" applyFill="0" applyBorder="0" applyAlignment="0" applyProtection="0"/>
    <xf numFmtId="43" fontId="74" fillId="0" borderId="0" applyFont="0" applyFill="0" applyBorder="0" applyAlignment="0" applyProtection="0"/>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4" fontId="1" fillId="0" borderId="0" applyFont="0" applyFill="0" applyBorder="0" applyAlignment="0" applyProtection="0"/>
    <xf numFmtId="4" fontId="16" fillId="52" borderId="14" applyNumberFormat="0" applyProtection="0">
      <alignment horizontal="right" vertical="center"/>
    </xf>
    <xf numFmtId="9" fontId="75" fillId="0" borderId="0" applyFont="0" applyFill="0" applyBorder="0" applyAlignment="0" applyProtection="0"/>
    <xf numFmtId="164" fontId="1" fillId="0" borderId="0" applyFont="0" applyFill="0" applyBorder="0" applyAlignment="0" applyProtection="0"/>
    <xf numFmtId="217" fontId="1" fillId="0" borderId="0" applyFont="0" applyFill="0" applyBorder="0" applyAlignment="0" applyProtection="0"/>
    <xf numFmtId="217" fontId="36" fillId="0" borderId="0"/>
    <xf numFmtId="217" fontId="36" fillId="0" borderId="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59" borderId="30" applyNumberFormat="0" applyFont="0" applyAlignment="0" applyProtection="0"/>
    <xf numFmtId="217" fontId="75"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1" fillId="0" borderId="0"/>
    <xf numFmtId="217" fontId="1" fillId="0" borderId="0" applyFont="0" applyFill="0" applyBorder="0" applyAlignment="0" applyProtection="0"/>
    <xf numFmtId="217" fontId="36" fillId="0" borderId="0"/>
    <xf numFmtId="217" fontId="75" fillId="59" borderId="30" applyNumberFormat="0" applyFont="0" applyAlignment="0" applyProtection="0"/>
    <xf numFmtId="217" fontId="75" fillId="0" borderId="0"/>
    <xf numFmtId="217" fontId="36" fillId="0" borderId="0"/>
    <xf numFmtId="217" fontId="36" fillId="0" borderId="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59" borderId="30" applyNumberFormat="0" applyFont="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1" fillId="0" borderId="0" applyFont="0" applyFill="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4" fontId="14" fillId="52" borderId="14" applyProtection="0">
      <alignment horizontal="right" vertical="center"/>
    </xf>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applyFont="0" applyFill="0" applyBorder="0" applyAlignment="0" applyProtection="0"/>
    <xf numFmtId="217" fontId="75" fillId="0" borderId="0"/>
    <xf numFmtId="217" fontId="75" fillId="0" borderId="0"/>
    <xf numFmtId="217" fontId="75" fillId="0" borderId="0"/>
    <xf numFmtId="217" fontId="36" fillId="0" borderId="0"/>
    <xf numFmtId="217" fontId="36" fillId="0" borderId="0"/>
    <xf numFmtId="164" fontId="1" fillId="0" borderId="0" applyFont="0" applyFill="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59" borderId="30" applyNumberFormat="0" applyFont="0" applyAlignment="0" applyProtection="0"/>
    <xf numFmtId="9" fontId="1" fillId="0" borderId="0" applyFont="0" applyFill="0" applyBorder="0" applyAlignment="0" applyProtection="0"/>
    <xf numFmtId="217" fontId="75" fillId="0" borderId="0"/>
    <xf numFmtId="217" fontId="36" fillId="0" borderId="0"/>
    <xf numFmtId="217" fontId="1" fillId="0" borderId="0" applyFont="0" applyFill="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44" fontId="57" fillId="0" borderId="0" applyFont="0" applyFill="0" applyBorder="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9" fontId="1" fillId="0" borderId="0" applyFont="0" applyFill="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217" fontId="36" fillId="0" borderId="0"/>
    <xf numFmtId="217" fontId="1" fillId="0" borderId="0"/>
    <xf numFmtId="0" fontId="75" fillId="0" borderId="0"/>
    <xf numFmtId="0" fontId="1" fillId="0" borderId="0"/>
    <xf numFmtId="0" fontId="1" fillId="0" borderId="0"/>
    <xf numFmtId="0" fontId="1" fillId="0" borderId="0"/>
    <xf numFmtId="0" fontId="1" fillId="0" borderId="0"/>
    <xf numFmtId="0" fontId="1"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213" fontId="1" fillId="0" borderId="0" applyFont="0" applyFill="0" applyBorder="0" applyAlignment="0" applyProtection="0"/>
    <xf numFmtId="0" fontId="1" fillId="0" borderId="0"/>
    <xf numFmtId="0" fontId="1" fillId="0" borderId="0"/>
    <xf numFmtId="214" fontId="1" fillId="0" borderId="0"/>
    <xf numFmtId="214" fontId="1" fillId="0" borderId="0"/>
    <xf numFmtId="0" fontId="1" fillId="0" borderId="0"/>
    <xf numFmtId="215" fontId="1" fillId="0" borderId="0"/>
    <xf numFmtId="0" fontId="1" fillId="0" borderId="0" applyNumberFormat="0" applyFill="0" applyBorder="0" applyAlignment="0" applyProtection="0"/>
    <xf numFmtId="0" fontId="75"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56"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159" fillId="0" borderId="0" applyNumberFormat="0" applyFill="0" applyBorder="0" applyAlignment="0" applyProtection="0"/>
    <xf numFmtId="0" fontId="156" fillId="0" borderId="0" applyNumberFormat="0" applyFill="0" applyBorder="0" applyAlignment="0" applyProtection="0"/>
    <xf numFmtId="0" fontId="3" fillId="0" borderId="0" applyNumberFormat="0" applyFill="0" applyBorder="0" applyAlignment="0" applyProtection="0"/>
    <xf numFmtId="0" fontId="75" fillId="0" borderId="0" applyNumberFormat="0" applyFill="0" applyBorder="0" applyAlignment="0" applyProtection="0"/>
    <xf numFmtId="194" fontId="3" fillId="0" borderId="0" applyNumberFormat="0" applyFill="0" applyBorder="0" applyAlignment="0" applyProtection="0"/>
    <xf numFmtId="0" fontId="1" fillId="0" borderId="0" applyNumberFormat="0" applyFill="0" applyBorder="0" applyAlignment="0" applyProtection="0"/>
    <xf numFmtId="0" fontId="75"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143" fillId="70" borderId="0" applyNumberFormat="0" applyBorder="0" applyAlignment="0" applyProtection="0"/>
    <xf numFmtId="0" fontId="143" fillId="70" borderId="0" applyNumberFormat="0" applyBorder="0" applyAlignment="0" applyProtection="0"/>
    <xf numFmtId="0" fontId="143" fillId="74" borderId="0" applyNumberFormat="0" applyBorder="0" applyAlignment="0" applyProtection="0"/>
    <xf numFmtId="0" fontId="143" fillId="74" borderId="0" applyNumberFormat="0" applyBorder="0" applyAlignment="0" applyProtection="0"/>
    <xf numFmtId="0" fontId="143" fillId="77" borderId="0" applyNumberFormat="0" applyBorder="0" applyAlignment="0" applyProtection="0"/>
    <xf numFmtId="0" fontId="143" fillId="77" borderId="0" applyNumberFormat="0" applyBorder="0" applyAlignment="0" applyProtection="0"/>
    <xf numFmtId="0" fontId="143" fillId="81" borderId="0" applyNumberFormat="0" applyBorder="0" applyAlignment="0" applyProtection="0"/>
    <xf numFmtId="0" fontId="143" fillId="81" borderId="0" applyNumberFormat="0" applyBorder="0" applyAlignment="0" applyProtection="0"/>
    <xf numFmtId="0" fontId="143" fillId="85" borderId="0" applyNumberFormat="0" applyBorder="0" applyAlignment="0" applyProtection="0"/>
    <xf numFmtId="0" fontId="143" fillId="85" borderId="0" applyNumberFormat="0" applyBorder="0" applyAlignment="0" applyProtection="0"/>
    <xf numFmtId="0" fontId="143" fillId="89" borderId="0" applyNumberFormat="0" applyBorder="0" applyAlignment="0" applyProtection="0"/>
    <xf numFmtId="0" fontId="143" fillId="89" borderId="0" applyNumberFormat="0" applyBorder="0" applyAlignment="0" applyProtection="0"/>
    <xf numFmtId="0" fontId="143" fillId="67" borderId="0" applyNumberFormat="0" applyBorder="0" applyAlignment="0" applyProtection="0"/>
    <xf numFmtId="0" fontId="143" fillId="67" borderId="0" applyNumberFormat="0" applyBorder="0" applyAlignment="0" applyProtection="0"/>
    <xf numFmtId="0" fontId="143" fillId="71"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4" fillId="65" borderId="0" applyNumberFormat="0" applyBorder="0" applyAlignment="0" applyProtection="0"/>
    <xf numFmtId="0" fontId="144" fillId="65" borderId="0" applyNumberFormat="0" applyBorder="0" applyAlignment="0" applyProtection="0"/>
    <xf numFmtId="0" fontId="22" fillId="0" borderId="2" applyNumberFormat="0" applyFill="0" applyAlignment="0" applyProtection="0"/>
    <xf numFmtId="0" fontId="25" fillId="0" borderId="4" applyNumberFormat="0" applyFill="0" applyAlignment="0" applyProtection="0"/>
    <xf numFmtId="0" fontId="28" fillId="0" borderId="6" applyNumberFormat="0" applyFill="0" applyAlignment="0" applyProtection="0"/>
    <xf numFmtId="0" fontId="28" fillId="0" borderId="0" applyNumberFormat="0" applyFill="0" applyBorder="0" applyAlignment="0" applyProtection="0"/>
    <xf numFmtId="0" fontId="146" fillId="55" borderId="28" applyNumberFormat="0" applyAlignment="0" applyProtection="0"/>
    <xf numFmtId="0" fontId="146" fillId="55" borderId="28" applyNumberFormat="0" applyAlignment="0" applyProtection="0"/>
    <xf numFmtId="0" fontId="167" fillId="0" borderId="0"/>
    <xf numFmtId="0" fontId="33" fillId="0" borderId="10" applyNumberFormat="0" applyFill="0" applyAlignment="0" applyProtection="0"/>
    <xf numFmtId="0" fontId="147" fillId="66" borderId="100" applyNumberFormat="0" applyAlignment="0" applyProtection="0"/>
    <xf numFmtId="0" fontId="147" fillId="66" borderId="100" applyNumberFormat="0" applyAlignment="0" applyProtection="0"/>
    <xf numFmtId="0" fontId="37" fillId="4" borderId="0" applyNumberFormat="0" applyBorder="0" applyAlignment="0" applyProtection="0"/>
    <xf numFmtId="0" fontId="42" fillId="7" borderId="9" applyNumberFormat="0" applyAlignment="0" applyProtection="0"/>
    <xf numFmtId="215" fontId="1" fillId="0" borderId="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0" fontId="1" fillId="0" borderId="0" applyFont="0" applyFill="0" applyBorder="0" applyAlignment="0" applyProtection="0"/>
    <xf numFmtId="21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215" fontId="1" fillId="0" borderId="0" applyFont="0" applyFill="0" applyBorder="0" applyAlignment="0" applyProtection="0"/>
    <xf numFmtId="194" fontId="159"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194" fontId="1" fillId="0" borderId="0" applyFont="0" applyFill="0" applyBorder="0" applyAlignment="0" applyProtection="0"/>
    <xf numFmtId="0" fontId="15" fillId="0" borderId="0"/>
    <xf numFmtId="0" fontId="148" fillId="0" borderId="0" applyNumberFormat="0" applyFill="0" applyBorder="0" applyAlignment="0" applyProtection="0"/>
    <xf numFmtId="0" fontId="148" fillId="0" borderId="0" applyNumberFormat="0" applyFill="0" applyBorder="0" applyAlignment="0" applyProtection="0"/>
    <xf numFmtId="0" fontId="83" fillId="56" borderId="0" applyNumberFormat="0" applyBorder="0" applyAlignment="0" applyProtection="0"/>
    <xf numFmtId="0" fontId="83" fillId="56" borderId="0" applyNumberFormat="0" applyBorder="0" applyAlignment="0" applyProtection="0"/>
    <xf numFmtId="0" fontId="77" fillId="0" borderId="24" applyNumberFormat="0" applyFill="0" applyAlignment="0" applyProtection="0"/>
    <xf numFmtId="0" fontId="77" fillId="0" borderId="24" applyNumberFormat="0" applyFill="0" applyAlignment="0" applyProtection="0"/>
    <xf numFmtId="0" fontId="78" fillId="0" borderId="25"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79" fillId="0" borderId="0" applyNumberFormat="0" applyFill="0" applyBorder="0" applyAlignment="0" applyProtection="0"/>
    <xf numFmtId="0" fontId="168" fillId="0" borderId="0" applyNumberFormat="0" applyFill="0" applyBorder="0" applyAlignment="0" applyProtection="0">
      <alignment vertical="top"/>
      <protection locked="0"/>
    </xf>
    <xf numFmtId="0" fontId="85" fillId="57" borderId="28" applyNumberFormat="0" applyAlignment="0" applyProtection="0"/>
    <xf numFmtId="0" fontId="85" fillId="57" borderId="28" applyNumberFormat="0" applyAlignment="0" applyProtection="0"/>
    <xf numFmtId="0" fontId="82" fillId="0" borderId="29" applyNumberFormat="0" applyFill="0" applyAlignment="0" applyProtection="0"/>
    <xf numFmtId="0" fontId="82" fillId="0" borderId="29" applyNumberFormat="0" applyFill="0" applyAlignment="0" applyProtection="0"/>
    <xf numFmtId="0" fontId="155" fillId="58" borderId="0" applyNumberFormat="0" applyBorder="0" applyAlignment="0" applyProtection="0"/>
    <xf numFmtId="0" fontId="155" fillId="58" borderId="0" applyNumberFormat="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57" fillId="0" borderId="0"/>
    <xf numFmtId="0" fontId="75" fillId="0" borderId="0"/>
    <xf numFmtId="0" fontId="75" fillId="0" borderId="0"/>
    <xf numFmtId="0" fontId="75" fillId="0" borderId="0"/>
    <xf numFmtId="214" fontId="1" fillId="0" borderId="0"/>
    <xf numFmtId="216" fontId="1" fillId="0" borderId="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xf numFmtId="0" fontId="156" fillId="0" borderId="0"/>
    <xf numFmtId="0" fontId="156" fillId="0" borderId="0"/>
    <xf numFmtId="0" fontId="156" fillId="0" borderId="0"/>
    <xf numFmtId="0" fontId="156" fillId="0" borderId="0" applyNumberFormat="0" applyFill="0" applyBorder="0" applyAlignment="0" applyProtection="0"/>
    <xf numFmtId="0" fontId="1" fillId="0" borderId="0"/>
    <xf numFmtId="0" fontId="75" fillId="0" borderId="0"/>
    <xf numFmtId="0" fontId="75" fillId="0" borderId="0"/>
    <xf numFmtId="0" fontId="1" fillId="0" borderId="0"/>
    <xf numFmtId="0" fontId="156" fillId="0" borderId="0"/>
    <xf numFmtId="0" fontId="1" fillId="0" borderId="0"/>
    <xf numFmtId="214" fontId="1" fillId="0" borderId="0"/>
    <xf numFmtId="0" fontId="159"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56"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9" fillId="0" borderId="0"/>
    <xf numFmtId="0" fontId="159" fillId="0" borderId="0"/>
    <xf numFmtId="0" fontId="75"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75" fillId="0" borderId="0"/>
    <xf numFmtId="0" fontId="159" fillId="0" borderId="0"/>
    <xf numFmtId="0" fontId="159" fillId="0" borderId="0"/>
    <xf numFmtId="0" fontId="159" fillId="0" borderId="0"/>
    <xf numFmtId="0" fontId="159" fillId="0" borderId="0"/>
    <xf numFmtId="0" fontId="159" fillId="0" borderId="0"/>
    <xf numFmtId="0" fontId="159" fillId="0" borderId="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alignment wrapText="1"/>
    </xf>
    <xf numFmtId="19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9" fillId="0" borderId="0"/>
    <xf numFmtId="0" fontId="75" fillId="0" borderId="0"/>
    <xf numFmtId="0" fontId="75" fillId="0" borderId="0"/>
    <xf numFmtId="0" fontId="75" fillId="0" borderId="0"/>
    <xf numFmtId="0" fontId="75" fillId="0" borderId="0"/>
    <xf numFmtId="0" fontId="156" fillId="0" borderId="0"/>
    <xf numFmtId="0" fontId="75" fillId="0" borderId="0"/>
    <xf numFmtId="0" fontId="75" fillId="0" borderId="0"/>
    <xf numFmtId="0" fontId="1" fillId="0" borderId="0"/>
    <xf numFmtId="0" fontId="1" fillId="0" borderId="0"/>
    <xf numFmtId="0" fontId="75" fillId="0" borderId="0"/>
    <xf numFmtId="0" fontId="75" fillId="0" borderId="0"/>
    <xf numFmtId="0" fontId="75" fillId="0" borderId="0"/>
    <xf numFmtId="0" fontId="75" fillId="0" borderId="0"/>
    <xf numFmtId="214" fontId="1" fillId="0" borderId="0"/>
    <xf numFmtId="0" fontId="75" fillId="0" borderId="0"/>
    <xf numFmtId="0" fontId="75" fillId="0" borderId="0"/>
    <xf numFmtId="0" fontId="156" fillId="0" borderId="0"/>
    <xf numFmtId="0" fontId="1" fillId="0" borderId="0"/>
    <xf numFmtId="0" fontId="1" fillId="0" borderId="0"/>
    <xf numFmtId="0" fontId="1" fillId="0" borderId="0"/>
    <xf numFmtId="0" fontId="1" fillId="0" borderId="0"/>
    <xf numFmtId="0" fontId="1" fillId="0" borderId="0"/>
    <xf numFmtId="0" fontId="159" fillId="0" borderId="0"/>
    <xf numFmtId="0" fontId="75" fillId="0" borderId="0"/>
    <xf numFmtId="0" fontId="1" fillId="0" borderId="0"/>
    <xf numFmtId="0" fontId="75" fillId="0" borderId="0"/>
    <xf numFmtId="0" fontId="1" fillId="0" borderId="0"/>
    <xf numFmtId="0" fontId="1" fillId="0" borderId="0">
      <alignment wrapText="1"/>
    </xf>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214"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56" fillId="0" borderId="0" applyNumberFormat="0" applyFill="0" applyBorder="0" applyAlignment="0" applyProtection="0"/>
    <xf numFmtId="0" fontId="1" fillId="0" borderId="0"/>
    <xf numFmtId="0" fontId="157" fillId="0" borderId="0"/>
    <xf numFmtId="215" fontId="1" fillId="0" borderId="0"/>
    <xf numFmtId="0" fontId="156" fillId="0" borderId="0"/>
    <xf numFmtId="0" fontId="1" fillId="0" borderId="0"/>
    <xf numFmtId="0" fontId="1" fillId="0" borderId="0"/>
    <xf numFmtId="0" fontId="1" fillId="0" borderId="0"/>
    <xf numFmtId="0" fontId="75" fillId="0" borderId="0"/>
    <xf numFmtId="0" fontId="75" fillId="0" borderId="0"/>
    <xf numFmtId="0" fontId="157" fillId="0" borderId="0"/>
    <xf numFmtId="0" fontId="1" fillId="0" borderId="0"/>
    <xf numFmtId="0" fontId="1" fillId="0" borderId="0"/>
    <xf numFmtId="0" fontId="1" fillId="0" borderId="0"/>
    <xf numFmtId="0" fontId="156" fillId="0" borderId="0"/>
    <xf numFmtId="0" fontId="1" fillId="0" borderId="0"/>
    <xf numFmtId="0" fontId="75" fillId="0" borderId="0"/>
    <xf numFmtId="0" fontId="75" fillId="0" borderId="0"/>
    <xf numFmtId="0" fontId="156" fillId="0" borderId="0"/>
    <xf numFmtId="194" fontId="1" fillId="0" borderId="0"/>
    <xf numFmtId="0" fontId="75" fillId="0" borderId="0"/>
    <xf numFmtId="194" fontId="1" fillId="0" borderId="0"/>
    <xf numFmtId="0" fontId="1" fillId="0" borderId="0"/>
    <xf numFmtId="194" fontId="1" fillId="0" borderId="0"/>
    <xf numFmtId="194"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5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61" fillId="0" borderId="0"/>
    <xf numFmtId="0" fontId="1" fillId="0" borderId="0"/>
    <xf numFmtId="0" fontId="161" fillId="0" borderId="0"/>
    <xf numFmtId="0" fontId="1" fillId="0" borderId="0"/>
    <xf numFmtId="0" fontId="1" fillId="0" borderId="0"/>
    <xf numFmtId="0" fontId="1" fillId="0" borderId="0"/>
    <xf numFmtId="0" fontId="1" fillId="0" borderId="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75" fillId="59" borderId="30" applyNumberFormat="0" applyFont="0" applyAlignment="0" applyProtection="0"/>
    <xf numFmtId="0" fontId="75" fillId="59" borderId="30" applyNumberFormat="0" applyFont="0" applyAlignment="0" applyProtection="0"/>
    <xf numFmtId="0" fontId="145" fillId="55" borderId="99" applyNumberFormat="0" applyAlignment="0" applyProtection="0"/>
    <xf numFmtId="0" fontId="145" fillId="55" borderId="99" applyNumberFormat="0" applyAlignment="0" applyProtection="0"/>
    <xf numFmtId="0" fontId="1" fillId="64" borderId="14" applyNumberFormat="0" applyProtection="0">
      <alignment horizontal="left" vertical="center" indent="1"/>
    </xf>
    <xf numFmtId="0" fontId="1" fillId="40" borderId="14" applyNumberFormat="0" applyProtection="0">
      <alignment horizontal="left" vertical="center" indent="1"/>
    </xf>
    <xf numFmtId="0" fontId="158" fillId="0" borderId="0">
      <alignment wrapText="1"/>
    </xf>
    <xf numFmtId="0" fontId="64" fillId="0" borderId="0" applyNumberFormat="0" applyFill="0" applyBorder="0" applyAlignment="0" applyProtection="0"/>
    <xf numFmtId="0" fontId="154" fillId="0" borderId="0" applyNumberFormat="0" applyFill="0" applyBorder="0" applyAlignment="0" applyProtection="0"/>
    <xf numFmtId="0" fontId="154" fillId="0" borderId="0" applyNumberFormat="0" applyFill="0" applyBorder="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72" fillId="0" borderId="22" applyNumberFormat="0" applyFill="0" applyAlignment="0" applyProtection="0"/>
    <xf numFmtId="0" fontId="102" fillId="0" borderId="0" applyNumberFormat="0" applyFill="0" applyBorder="0" applyAlignment="0" applyProtection="0"/>
    <xf numFmtId="0" fontId="102" fillId="0" borderId="0" applyNumberFormat="0" applyFill="0" applyBorder="0" applyAlignment="0" applyProtection="0"/>
    <xf numFmtId="0" fontId="1" fillId="0" borderId="0"/>
    <xf numFmtId="0" fontId="1"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43" fillId="86" borderId="0" applyNumberFormat="0" applyBorder="0" applyAlignment="0" applyProtection="0"/>
    <xf numFmtId="0" fontId="143" fillId="82" borderId="0" applyNumberFormat="0" applyBorder="0" applyAlignment="0" applyProtection="0"/>
    <xf numFmtId="0" fontId="143" fillId="78" borderId="0" applyNumberFormat="0" applyBorder="0" applyAlignment="0" applyProtection="0"/>
    <xf numFmtId="0" fontId="143" fillId="75" borderId="0" applyNumberFormat="0" applyBorder="0" applyAlignment="0" applyProtection="0"/>
    <xf numFmtId="0" fontId="143" fillId="71" borderId="0" applyNumberFormat="0" applyBorder="0" applyAlignment="0" applyProtection="0"/>
    <xf numFmtId="0" fontId="143" fillId="67"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159" fillId="0" borderId="0"/>
    <xf numFmtId="0" fontId="75" fillId="0" borderId="0"/>
    <xf numFmtId="194" fontId="94" fillId="0" borderId="0"/>
    <xf numFmtId="194" fontId="1" fillId="0" borderId="0"/>
    <xf numFmtId="0" fontId="143" fillId="71" borderId="0" applyNumberFormat="0" applyBorder="0" applyAlignment="0" applyProtection="0"/>
    <xf numFmtId="0" fontId="143" fillId="86" borderId="0" applyNumberFormat="0" applyBorder="0" applyAlignment="0" applyProtection="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1"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67" borderId="0" applyNumberFormat="0" applyBorder="0" applyAlignment="0" applyProtection="0"/>
    <xf numFmtId="0" fontId="143" fillId="78"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68" borderId="0" applyNumberFormat="0" applyBorder="0" applyAlignment="0" applyProtection="0"/>
    <xf numFmtId="0" fontId="75" fillId="68" borderId="0" applyNumberFormat="0" applyBorder="0" applyAlignment="0" applyProtection="0"/>
    <xf numFmtId="0" fontId="75" fillId="72"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75" fillId="79"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7" borderId="0" applyNumberFormat="0" applyBorder="0" applyAlignment="0" applyProtection="0"/>
    <xf numFmtId="0" fontId="75" fillId="87"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76" borderId="0" applyNumberFormat="0" applyBorder="0" applyAlignment="0" applyProtection="0"/>
    <xf numFmtId="0" fontId="75" fillId="80" borderId="0" applyNumberFormat="0" applyBorder="0" applyAlignment="0" applyProtection="0"/>
    <xf numFmtId="0" fontId="75" fillId="80" borderId="0" applyNumberFormat="0" applyBorder="0" applyAlignment="0" applyProtection="0"/>
    <xf numFmtId="0" fontId="75" fillId="84"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xf numFmtId="0" fontId="75" fillId="0" borderId="0"/>
    <xf numFmtId="0" fontId="75" fillId="0" borderId="0" applyNumberFormat="0" applyFill="0" applyBorder="0" applyAlignment="0" applyProtection="0"/>
    <xf numFmtId="0" fontId="75" fillId="0" borderId="0"/>
    <xf numFmtId="0" fontId="75" fillId="0" borderId="0"/>
    <xf numFmtId="0" fontId="143" fillId="82"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54" fillId="0" borderId="0" applyNumberFormat="0" applyFill="0" applyBorder="0" applyAlignment="0" applyProtection="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85" fillId="57" borderId="28" applyNumberFormat="0" applyAlignment="0" applyProtection="0"/>
    <xf numFmtId="0" fontId="82" fillId="0" borderId="29" applyNumberFormat="0" applyFill="0" applyAlignment="0" applyProtection="0"/>
    <xf numFmtId="0" fontId="102" fillId="0" borderId="0" applyNumberFormat="0" applyFill="0" applyBorder="0" applyAlignment="0" applyProtection="0"/>
    <xf numFmtId="0" fontId="149" fillId="0" borderId="101" applyNumberFormat="0" applyFill="0" applyAlignment="0" applyProtection="0"/>
    <xf numFmtId="0" fontId="75" fillId="0" borderId="0"/>
    <xf numFmtId="0" fontId="16" fillId="0" borderId="0">
      <alignment vertical="top"/>
    </xf>
    <xf numFmtId="0" fontId="1" fillId="0" borderId="0" applyNumberFormat="0" applyFill="0" applyBorder="0" applyAlignment="0" applyProtection="0"/>
    <xf numFmtId="0" fontId="75" fillId="68" borderId="0" applyNumberFormat="0" applyBorder="0" applyAlignment="0" applyProtection="0"/>
    <xf numFmtId="0" fontId="75" fillId="68"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2"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3"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4"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6"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15" fillId="7"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0"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11"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5"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9"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5" fillId="12"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5"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0"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1"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7" fillId="18"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7" fillId="42" borderId="0" applyNumberFormat="0" applyBorder="0" applyAlignment="0" applyProtection="0"/>
    <xf numFmtId="0" fontId="18" fillId="23" borderId="0" applyNumberFormat="0" applyBorder="0" applyAlignment="0" applyProtection="0"/>
    <xf numFmtId="0" fontId="16" fillId="24" borderId="0" applyNumberFormat="0" applyBorder="0" applyAlignment="0" applyProtection="0"/>
    <xf numFmtId="0" fontId="16" fillId="25" borderId="0" applyNumberFormat="0" applyBorder="0" applyAlignment="0" applyProtection="0"/>
    <xf numFmtId="0" fontId="18" fillId="26"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7" fillId="27" borderId="0" applyNumberFormat="0" applyBorder="0" applyAlignment="0" applyProtection="0"/>
    <xf numFmtId="0" fontId="18" fillId="26" borderId="0" applyNumberFormat="0" applyBorder="0" applyAlignment="0" applyProtection="0"/>
    <xf numFmtId="0" fontId="16" fillId="24" borderId="0" applyNumberFormat="0" applyBorder="0" applyAlignment="0" applyProtection="0"/>
    <xf numFmtId="0" fontId="16" fillId="28" borderId="0" applyNumberFormat="0" applyBorder="0" applyAlignment="0" applyProtection="0"/>
    <xf numFmtId="0" fontId="18" fillId="25"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7" fillId="19" borderId="0" applyNumberFormat="0" applyBorder="0" applyAlignment="0" applyProtection="0"/>
    <xf numFmtId="0" fontId="18" fillId="20" borderId="0" applyNumberFormat="0" applyBorder="0" applyAlignment="0" applyProtection="0"/>
    <xf numFmtId="0" fontId="16" fillId="21" borderId="0" applyNumberFormat="0" applyBorder="0" applyAlignment="0" applyProtection="0"/>
    <xf numFmtId="0" fontId="16" fillId="25" borderId="0" applyNumberFormat="0" applyBorder="0" applyAlignment="0" applyProtection="0"/>
    <xf numFmtId="0" fontId="18" fillId="25"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7" fillId="16" borderId="0" applyNumberFormat="0" applyBorder="0" applyAlignment="0" applyProtection="0"/>
    <xf numFmtId="0" fontId="18" fillId="31" borderId="0" applyNumberFormat="0" applyBorder="0" applyAlignment="0" applyProtection="0"/>
    <xf numFmtId="0" fontId="16" fillId="32" borderId="0" applyNumberFormat="0" applyBorder="0" applyAlignment="0" applyProtection="0"/>
    <xf numFmtId="0" fontId="16" fillId="21" borderId="0" applyNumberFormat="0" applyBorder="0" applyAlignment="0" applyProtection="0"/>
    <xf numFmtId="0" fontId="18" fillId="22"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7" fillId="17" borderId="0" applyNumberFormat="0" applyBorder="0" applyAlignment="0" applyProtection="0"/>
    <xf numFmtId="0" fontId="18" fillId="33" borderId="0" applyNumberFormat="0" applyBorder="0" applyAlignment="0" applyProtection="0"/>
    <xf numFmtId="0" fontId="16" fillId="24" borderId="0" applyNumberFormat="0" applyBorder="0" applyAlignment="0" applyProtection="0"/>
    <xf numFmtId="0" fontId="16" fillId="34" borderId="0" applyNumberFormat="0" applyBorder="0" applyAlignment="0" applyProtection="0"/>
    <xf numFmtId="0" fontId="18" fillId="34"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17" fillId="35" borderId="0" applyNumberFormat="0" applyBorder="0" applyAlignment="0" applyProtection="0"/>
    <xf numFmtId="0" fontId="20" fillId="36"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49" fillId="3" borderId="0" applyNumberFormat="0" applyBorder="0" applyAlignment="0" applyProtection="0"/>
    <xf numFmtId="0" fontId="169" fillId="0" borderId="12" applyNumberFormat="0" applyBorder="0" applyProtection="0">
      <alignment horizontal="center"/>
    </xf>
    <xf numFmtId="0" fontId="169" fillId="0" borderId="12" applyNumberFormat="0" applyBorder="0" applyProtection="0">
      <alignment horizontal="center"/>
    </xf>
    <xf numFmtId="0" fontId="31" fillId="41"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165" fillId="13" borderId="9" applyNumberFormat="0" applyAlignment="0" applyProtection="0"/>
    <xf numFmtId="0" fontId="31" fillId="41" borderId="9" applyNumberFormat="0" applyAlignment="0" applyProtection="0"/>
    <xf numFmtId="0" fontId="31" fillId="41" borderId="9" applyNumberFormat="0" applyAlignment="0" applyProtection="0"/>
    <xf numFmtId="0" fontId="31" fillId="41" borderId="9" applyNumberFormat="0" applyAlignment="0" applyProtection="0"/>
    <xf numFmtId="0" fontId="35" fillId="26"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73" fillId="43" borderId="11" applyNumberFormat="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41" fillId="44" borderId="0" applyNumberFormat="0" applyBorder="0" applyAlignment="0" applyProtection="0"/>
    <xf numFmtId="0" fontId="41" fillId="45" borderId="0" applyNumberFormat="0" applyBorder="0" applyAlignment="0" applyProtection="0"/>
    <xf numFmtId="0" fontId="41" fillId="46" borderId="0" applyNumberFormat="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45" fillId="0" borderId="0" applyNumberFormat="0" applyFill="0" applyBorder="0" applyAlignment="0" applyProtection="0"/>
    <xf numFmtId="0" fontId="38" fillId="28"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37" fillId="4" borderId="0" applyNumberFormat="0" applyBorder="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2" fillId="0" borderId="2" applyNumberFormat="0" applyFill="0" applyAlignment="0" applyProtection="0"/>
    <xf numFmtId="0" fontId="170" fillId="0" borderId="0">
      <protection locked="0"/>
    </xf>
    <xf numFmtId="0" fontId="170" fillId="0" borderId="0">
      <protection locked="0"/>
    </xf>
    <xf numFmtId="0" fontId="170" fillId="0" borderId="0">
      <protection locked="0"/>
    </xf>
    <xf numFmtId="0" fontId="170" fillId="0" borderId="0">
      <protection locked="0"/>
    </xf>
    <xf numFmtId="0" fontId="25" fillId="0" borderId="4" applyNumberFormat="0" applyFill="0" applyAlignment="0" applyProtection="0"/>
    <xf numFmtId="0" fontId="171" fillId="0" borderId="104"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28" fillId="0" borderId="6" applyNumberFormat="0" applyFill="0" applyAlignment="0" applyProtection="0"/>
    <xf numFmtId="0" fontId="171"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28" fillId="0" borderId="0" applyNumberFormat="0" applyFill="0" applyBorder="0" applyAlignment="0" applyProtection="0"/>
    <xf numFmtId="0" fontId="43" fillId="34"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2" fillId="7" borderId="9" applyNumberFormat="0" applyAlignment="0" applyProtection="0"/>
    <xf numFmtId="0" fontId="43" fillId="34" borderId="9" applyNumberFormat="0" applyAlignment="0" applyProtection="0"/>
    <xf numFmtId="0" fontId="43" fillId="34" borderId="9" applyNumberFormat="0" applyAlignment="0" applyProtection="0"/>
    <xf numFmtId="0" fontId="43" fillId="34" borderId="9" applyNumberFormat="0" applyAlignment="0" applyProtection="0"/>
    <xf numFmtId="0" fontId="172"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33" fillId="0" borderId="10" applyNumberFormat="0" applyFill="0" applyAlignment="0" applyProtection="0"/>
    <xf numFmtId="0" fontId="53" fillId="49"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52" fillId="14" borderId="0" applyNumberFormat="0" applyBorder="0" applyAlignment="0" applyProtection="0"/>
    <xf numFmtId="0" fontId="1" fillId="0" borderId="0">
      <alignment vertical="top"/>
    </xf>
    <xf numFmtId="0" fontId="1" fillId="0" borderId="0">
      <alignment vertical="top"/>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1" fillId="0" borderId="0">
      <alignment wrapText="1"/>
    </xf>
    <xf numFmtId="0" fontId="1" fillId="0" borderId="0"/>
    <xf numFmtId="0" fontId="1"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173" fillId="0" borderId="0"/>
    <xf numFmtId="0" fontId="75" fillId="0" borderId="0"/>
    <xf numFmtId="0" fontId="75" fillId="0" borderId="0"/>
    <xf numFmtId="0" fontId="75" fillId="0" borderId="0"/>
    <xf numFmtId="0" fontId="156" fillId="0" borderId="0"/>
    <xf numFmtId="0" fontId="75" fillId="0" borderId="0"/>
    <xf numFmtId="0" fontId="1" fillId="0" borderId="0"/>
    <xf numFmtId="0" fontId="1" fillId="0" borderId="0"/>
    <xf numFmtId="0" fontId="1" fillId="0" borderId="0"/>
    <xf numFmtId="0" fontId="1" fillId="0" borderId="0"/>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1" fillId="0" borderId="0">
      <alignment vertical="top"/>
    </xf>
    <xf numFmtId="0" fontId="75" fillId="0" borderId="0"/>
    <xf numFmtId="0" fontId="75" fillId="0" borderId="0"/>
    <xf numFmtId="0" fontId="1" fillId="0" borderId="0"/>
    <xf numFmtId="0" fontId="1" fillId="0" borderId="0"/>
    <xf numFmtId="0" fontId="1" fillId="0" borderId="0"/>
    <xf numFmtId="0" fontId="15" fillId="0" borderId="0">
      <alignment vertical="top"/>
    </xf>
    <xf numFmtId="0" fontId="1" fillId="0" borderId="0"/>
    <xf numFmtId="0" fontId="1" fillId="0" borderId="0"/>
    <xf numFmtId="0" fontId="1"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alignment vertical="top"/>
    </xf>
    <xf numFmtId="0" fontId="1" fillId="0" borderId="0">
      <alignment vertical="top"/>
    </xf>
    <xf numFmtId="0" fontId="1" fillId="0" borderId="0">
      <alignment vertical="top"/>
    </xf>
    <xf numFmtId="194" fontId="1" fillId="0" borderId="0"/>
    <xf numFmtId="0" fontId="1" fillId="0" borderId="0">
      <alignment vertical="top"/>
    </xf>
    <xf numFmtId="0" fontId="1" fillId="24" borderId="18" applyNumberFormat="0" applyFont="0" applyAlignment="0" applyProtection="0"/>
    <xf numFmtId="0" fontId="1" fillId="24" borderId="18" applyNumberFormat="0" applyFont="0" applyAlignment="0" applyProtection="0"/>
    <xf numFmtId="0" fontId="1" fillId="24"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5"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8" borderId="18" applyNumberFormat="0" applyFont="0" applyAlignment="0" applyProtection="0"/>
    <xf numFmtId="0" fontId="1" fillId="24" borderId="18" applyNumberFormat="0" applyFon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0" fillId="41"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62" fillId="13" borderId="14" applyNumberFormat="0" applyAlignment="0" applyProtection="0"/>
    <xf numFmtId="0" fontId="143" fillId="75" borderId="0" applyNumberFormat="0" applyBorder="0" applyAlignment="0" applyProtection="0"/>
    <xf numFmtId="0" fontId="63" fillId="0" borderId="0" applyNumberFormat="0" applyFill="0" applyBorder="0" applyAlignment="0" applyProtection="0"/>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16" fillId="0" borderId="0">
      <alignment vertical="top"/>
    </xf>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67" fillId="0" borderId="0" applyNumberFormat="0" applyFill="0" applyBorder="0" applyAlignment="0" applyProtection="0"/>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170" fillId="0" borderId="105">
      <protection locked="0"/>
    </xf>
    <xf numFmtId="0" fontId="65"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64" fillId="0" borderId="0" applyNumberFormat="0" applyFill="0" applyBorder="0" applyAlignment="0" applyProtection="0"/>
    <xf numFmtId="0" fontId="75" fillId="0" borderId="0"/>
    <xf numFmtId="195" fontId="1" fillId="0" borderId="0" applyFont="0" applyFill="0" applyBorder="0" applyAlignment="0" applyProtection="0"/>
    <xf numFmtId="0" fontId="36" fillId="0" borderId="0"/>
    <xf numFmtId="0" fontId="36" fillId="0" borderId="0"/>
    <xf numFmtId="0" fontId="36" fillId="0" borderId="0"/>
    <xf numFmtId="0" fontId="77" fillId="0" borderId="24" applyNumberFormat="0" applyFill="0" applyAlignment="0" applyProtection="0"/>
    <xf numFmtId="0" fontId="78" fillId="0" borderId="25" applyNumberFormat="0" applyFill="0" applyAlignment="0" applyProtection="0"/>
    <xf numFmtId="0" fontId="79" fillId="0" borderId="26" applyNumberFormat="0" applyFill="0" applyAlignment="0" applyProtection="0"/>
    <xf numFmtId="0" fontId="79" fillId="0" borderId="0" applyNumberFormat="0" applyFill="0" applyBorder="0" applyAlignment="0" applyProtection="0"/>
    <xf numFmtId="0" fontId="83" fillId="56" borderId="0" applyNumberFormat="0" applyBorder="0" applyAlignment="0" applyProtection="0"/>
    <xf numFmtId="0" fontId="144" fillId="65" borderId="0" applyNumberFormat="0" applyBorder="0" applyAlignment="0" applyProtection="0"/>
    <xf numFmtId="0" fontId="155" fillId="58" borderId="0" applyNumberFormat="0" applyBorder="0" applyAlignment="0" applyProtection="0"/>
    <xf numFmtId="0" fontId="85" fillId="57" borderId="28" applyNumberFormat="0" applyAlignment="0" applyProtection="0"/>
    <xf numFmtId="0" fontId="145" fillId="55" borderId="99" applyNumberFormat="0" applyAlignment="0" applyProtection="0"/>
    <xf numFmtId="0" fontId="146" fillId="55" borderId="28" applyNumberFormat="0" applyAlignment="0" applyProtection="0"/>
    <xf numFmtId="0" fontId="82" fillId="0" borderId="29" applyNumberFormat="0" applyFill="0" applyAlignment="0" applyProtection="0"/>
    <xf numFmtId="0" fontId="147" fillId="66" borderId="100" applyNumberFormat="0" applyAlignment="0" applyProtection="0"/>
    <xf numFmtId="0" fontId="102" fillId="0" borderId="0" applyNumberFormat="0" applyFill="0" applyBorder="0" applyAlignment="0" applyProtection="0"/>
    <xf numFmtId="0" fontId="148" fillId="0" borderId="0" applyNumberFormat="0" applyFill="0" applyBorder="0" applyAlignment="0" applyProtection="0"/>
    <xf numFmtId="0" fontId="149" fillId="0" borderId="101" applyNumberFormat="0" applyFill="0" applyAlignment="0" applyProtection="0"/>
    <xf numFmtId="0" fontId="143" fillId="67" borderId="0" applyNumberFormat="0" applyBorder="0" applyAlignment="0" applyProtection="0"/>
    <xf numFmtId="0" fontId="143" fillId="70" borderId="0" applyNumberFormat="0" applyBorder="0" applyAlignment="0" applyProtection="0"/>
    <xf numFmtId="0" fontId="143" fillId="71"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143" fillId="74" borderId="0" applyNumberFormat="0" applyBorder="0" applyAlignment="0" applyProtection="0"/>
    <xf numFmtId="0" fontId="143" fillId="75"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43" fillId="77" borderId="0" applyNumberFormat="0" applyBorder="0" applyAlignment="0" applyProtection="0"/>
    <xf numFmtId="0" fontId="143" fillId="7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43" fillId="81" borderId="0" applyNumberFormat="0" applyBorder="0" applyAlignment="0" applyProtection="0"/>
    <xf numFmtId="0" fontId="143" fillId="82"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143" fillId="85" borderId="0" applyNumberFormat="0" applyBorder="0" applyAlignment="0" applyProtection="0"/>
    <xf numFmtId="0" fontId="143" fillId="86"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43" fillId="89" borderId="0" applyNumberFormat="0" applyBorder="0" applyAlignment="0" applyProtection="0"/>
    <xf numFmtId="0" fontId="75" fillId="59" borderId="30" applyNumberFormat="0" applyFont="0" applyAlignment="0" applyProtection="0"/>
    <xf numFmtId="0" fontId="75"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36" fillId="0" borderId="0"/>
    <xf numFmtId="0" fontId="36" fillId="0" borderId="0"/>
    <xf numFmtId="0" fontId="36" fillId="0" borderId="0"/>
    <xf numFmtId="0" fontId="36"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36" fillId="0" borderId="0"/>
    <xf numFmtId="0" fontId="1"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36" fillId="0" borderId="0"/>
    <xf numFmtId="0" fontId="1" fillId="0" borderId="0"/>
    <xf numFmtId="0" fontId="1" fillId="0" borderId="0"/>
    <xf numFmtId="0" fontId="36" fillId="0" borderId="0"/>
    <xf numFmtId="0" fontId="36" fillId="0" borderId="0"/>
    <xf numFmtId="0" fontId="36" fillId="0" borderId="0"/>
    <xf numFmtId="0" fontId="75" fillId="88" borderId="0" applyNumberFormat="0" applyBorder="0" applyAlignment="0" applyProtection="0"/>
    <xf numFmtId="0" fontId="1" fillId="0" borderId="0"/>
    <xf numFmtId="0" fontId="1" fillId="0" borderId="0"/>
    <xf numFmtId="195" fontId="1" fillId="0" borderId="0" applyFont="0" applyFill="0" applyBorder="0" applyAlignment="0" applyProtection="0"/>
    <xf numFmtId="0" fontId="36" fillId="0" borderId="0"/>
    <xf numFmtId="0" fontId="36" fillId="0" borderId="0"/>
    <xf numFmtId="0" fontId="36" fillId="0" borderId="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36" fillId="0" borderId="0"/>
    <xf numFmtId="0" fontId="1" fillId="0" borderId="0"/>
    <xf numFmtId="0" fontId="1" fillId="0" borderId="0"/>
    <xf numFmtId="0" fontId="1" fillId="0" borderId="0"/>
    <xf numFmtId="0" fontId="36" fillId="0" borderId="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54" borderId="0" applyNumberFormat="0" applyBorder="0" applyAlignment="0" applyProtection="0"/>
    <xf numFmtId="0" fontId="75" fillId="84" borderId="0" applyNumberFormat="0" applyBorder="0" applyAlignment="0" applyProtection="0"/>
    <xf numFmtId="0" fontId="75" fillId="83" borderId="0" applyNumberFormat="0" applyBorder="0" applyAlignment="0" applyProtection="0"/>
    <xf numFmtId="0" fontId="75" fillId="80" borderId="0" applyNumberFormat="0" applyBorder="0" applyAlignment="0" applyProtection="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59" borderId="30" applyNumberFormat="0" applyFont="0" applyAlignment="0" applyProtection="0"/>
    <xf numFmtId="0" fontId="75" fillId="76"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36" fillId="0" borderId="0"/>
    <xf numFmtId="0" fontId="75" fillId="72"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1" fillId="0" borderId="0"/>
    <xf numFmtId="0" fontId="75" fillId="68"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1" fillId="0" borderId="0"/>
    <xf numFmtId="0" fontId="75" fillId="59" borderId="30" applyNumberFormat="0" applyFont="0" applyAlignment="0" applyProtection="0"/>
    <xf numFmtId="0" fontId="75" fillId="83" borderId="0" applyNumberFormat="0" applyBorder="0" applyAlignment="0" applyProtection="0"/>
    <xf numFmtId="0" fontId="75" fillId="84" borderId="0" applyNumberFormat="0" applyBorder="0" applyAlignment="0" applyProtection="0"/>
    <xf numFmtId="0" fontId="75" fillId="88" borderId="0" applyNumberFormat="0" applyBorder="0" applyAlignment="0" applyProtection="0"/>
    <xf numFmtId="0" fontId="75" fillId="0" borderId="0"/>
    <xf numFmtId="0" fontId="75" fillId="87" borderId="0" applyNumberFormat="0" applyBorder="0" applyAlignment="0" applyProtection="0"/>
    <xf numFmtId="0" fontId="75" fillId="88" borderId="0" applyNumberFormat="0" applyBorder="0" applyAlignment="0" applyProtection="0"/>
    <xf numFmtId="0" fontId="75" fillId="87" borderId="0" applyNumberFormat="0" applyBorder="0" applyAlignment="0" applyProtection="0"/>
    <xf numFmtId="0" fontId="1" fillId="0" borderId="0"/>
    <xf numFmtId="195" fontId="1" fillId="0" borderId="0" applyFont="0" applyFill="0" applyBorder="0" applyAlignment="0" applyProtection="0"/>
    <xf numFmtId="0" fontId="36" fillId="0" borderId="0"/>
    <xf numFmtId="0" fontId="36" fillId="0" borderId="0"/>
    <xf numFmtId="0" fontId="1" fillId="0" borderId="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0" borderId="0"/>
    <xf numFmtId="0" fontId="75" fillId="0" borderId="0"/>
    <xf numFmtId="0" fontId="36"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73" borderId="0" applyNumberFormat="0" applyBorder="0" applyAlignment="0" applyProtection="0"/>
    <xf numFmtId="0" fontId="36" fillId="0" borderId="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7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1" fillId="0" borderId="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75" fillId="83" borderId="0" applyNumberFormat="0" applyBorder="0" applyAlignment="0" applyProtection="0"/>
    <xf numFmtId="0" fontId="75" fillId="84" borderId="0" applyNumberFormat="0" applyBorder="0" applyAlignment="0" applyProtection="0"/>
    <xf numFmtId="195" fontId="1" fillId="0" borderId="0" applyFont="0" applyFill="0" applyBorder="0" applyAlignment="0" applyProtection="0"/>
    <xf numFmtId="0" fontId="1" fillId="0" borderId="0"/>
    <xf numFmtId="0" fontId="75" fillId="88" borderId="0" applyNumberFormat="0" applyBorder="0" applyAlignment="0" applyProtection="0"/>
    <xf numFmtId="0" fontId="1" fillId="0" borderId="0"/>
    <xf numFmtId="0" fontId="75" fillId="84" borderId="0" applyNumberFormat="0" applyBorder="0" applyAlignment="0" applyProtection="0"/>
    <xf numFmtId="0" fontId="75" fillId="72" borderId="0" applyNumberFormat="0" applyBorder="0" applyAlignment="0" applyProtection="0"/>
    <xf numFmtId="0" fontId="75" fillId="54"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88" borderId="0" applyNumberFormat="0" applyBorder="0" applyAlignment="0" applyProtection="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36" fillId="0" borderId="0"/>
    <xf numFmtId="0" fontId="75" fillId="80" borderId="0" applyNumberFormat="0" applyBorder="0" applyAlignment="0" applyProtection="0"/>
    <xf numFmtId="0" fontId="1" fillId="0" borderId="0"/>
    <xf numFmtId="0" fontId="1" fillId="0" borderId="0"/>
    <xf numFmtId="0" fontId="75" fillId="84" borderId="0" applyNumberFormat="0" applyBorder="0" applyAlignment="0" applyProtection="0"/>
    <xf numFmtId="0" fontId="75" fillId="0" borderId="0"/>
    <xf numFmtId="0" fontId="75" fillId="87" borderId="0" applyNumberFormat="0" applyBorder="0" applyAlignment="0" applyProtection="0"/>
    <xf numFmtId="0" fontId="1"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3" borderId="0" applyNumberFormat="0" applyBorder="0" applyAlignment="0" applyProtection="0"/>
    <xf numFmtId="0" fontId="75" fillId="68" borderId="0" applyNumberFormat="0" applyBorder="0" applyAlignment="0" applyProtection="0"/>
    <xf numFmtId="0" fontId="1" fillId="0" borderId="0"/>
    <xf numFmtId="0" fontId="1" fillId="0" borderId="0"/>
    <xf numFmtId="0" fontId="36" fillId="0" borderId="0"/>
    <xf numFmtId="0" fontId="1" fillId="0" borderId="0"/>
    <xf numFmtId="0" fontId="1" fillId="0" borderId="0"/>
    <xf numFmtId="0" fontId="75" fillId="0" borderId="0"/>
    <xf numFmtId="0" fontId="1" fillId="0" borderId="0"/>
    <xf numFmtId="0" fontId="75" fillId="79" borderId="0" applyNumberFormat="0" applyBorder="0" applyAlignment="0" applyProtection="0"/>
    <xf numFmtId="0" fontId="75" fillId="0" borderId="0"/>
    <xf numFmtId="0" fontId="1" fillId="0" borderId="0"/>
    <xf numFmtId="0" fontId="36" fillId="0" borderId="0"/>
    <xf numFmtId="0" fontId="36" fillId="0" borderId="0"/>
    <xf numFmtId="0" fontId="1" fillId="0" borderId="0"/>
    <xf numFmtId="0" fontId="1" fillId="0" borderId="0"/>
    <xf numFmtId="0" fontId="75" fillId="80" borderId="0" applyNumberFormat="0" applyBorder="0" applyAlignment="0" applyProtection="0"/>
    <xf numFmtId="0" fontId="75" fillId="69"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79" borderId="0" applyNumberFormat="0" applyBorder="0" applyAlignment="0" applyProtection="0"/>
    <xf numFmtId="0" fontId="75" fillId="59" borderId="30" applyNumberFormat="0" applyFont="0" applyAlignment="0" applyProtection="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69" borderId="0" applyNumberFormat="0" applyBorder="0" applyAlignment="0" applyProtection="0"/>
    <xf numFmtId="0" fontId="75" fillId="68" borderId="0" applyNumberFormat="0" applyBorder="0" applyAlignment="0" applyProtection="0"/>
    <xf numFmtId="0" fontId="75" fillId="76" borderId="0" applyNumberFormat="0" applyBorder="0" applyAlignment="0" applyProtection="0"/>
    <xf numFmtId="0" fontId="75" fillId="54" borderId="0" applyNumberFormat="0" applyBorder="0" applyAlignment="0" applyProtection="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84" borderId="0" applyNumberFormat="0" applyBorder="0" applyAlignment="0" applyProtection="0"/>
    <xf numFmtId="0" fontId="75" fillId="72"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83" borderId="0" applyNumberFormat="0" applyBorder="0" applyAlignment="0" applyProtection="0"/>
    <xf numFmtId="0" fontId="75" fillId="54" borderId="0" applyNumberFormat="0" applyBorder="0" applyAlignment="0" applyProtection="0"/>
    <xf numFmtId="0" fontId="75" fillId="0" borderId="0"/>
    <xf numFmtId="0" fontId="75" fillId="59" borderId="30" applyNumberFormat="0" applyFont="0" applyAlignment="0" applyProtection="0"/>
    <xf numFmtId="0" fontId="1" fillId="0" borderId="0"/>
    <xf numFmtId="0" fontId="75" fillId="79"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7" borderId="0" applyNumberFormat="0" applyBorder="0" applyAlignment="0" applyProtection="0"/>
    <xf numFmtId="0" fontId="36"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36" fillId="0" borderId="0"/>
    <xf numFmtId="0" fontId="1" fillId="0" borderId="0"/>
    <xf numFmtId="0" fontId="75" fillId="76"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73" borderId="0" applyNumberFormat="0" applyBorder="0" applyAlignment="0" applyProtection="0"/>
    <xf numFmtId="0" fontId="1"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83" borderId="0" applyNumberFormat="0" applyBorder="0" applyAlignment="0" applyProtection="0"/>
    <xf numFmtId="0" fontId="1" fillId="0" borderId="0"/>
    <xf numFmtId="0" fontId="1" fillId="0" borderId="0"/>
    <xf numFmtId="0" fontId="75" fillId="69" borderId="0" applyNumberFormat="0" applyBorder="0" applyAlignment="0" applyProtection="0"/>
    <xf numFmtId="0" fontId="75" fillId="72" borderId="0" applyNumberFormat="0" applyBorder="0" applyAlignment="0" applyProtection="0"/>
    <xf numFmtId="0" fontId="36" fillId="0" borderId="0"/>
    <xf numFmtId="0" fontId="75"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75" fillId="88" borderId="0" applyNumberFormat="0" applyBorder="0" applyAlignment="0" applyProtection="0"/>
    <xf numFmtId="0" fontId="75" fillId="0" borderId="0"/>
    <xf numFmtId="0" fontId="1" fillId="0" borderId="0"/>
    <xf numFmtId="0" fontId="1" fillId="0" borderId="0"/>
    <xf numFmtId="0" fontId="36" fillId="0" borderId="0"/>
    <xf numFmtId="0" fontId="1" fillId="0" borderId="0"/>
    <xf numFmtId="0" fontId="1" fillId="0" borderId="0"/>
    <xf numFmtId="0" fontId="75" fillId="87" borderId="0" applyNumberFormat="0" applyBorder="0" applyAlignment="0" applyProtection="0"/>
    <xf numFmtId="0" fontId="1" fillId="0" borderId="0"/>
    <xf numFmtId="0" fontId="75" fillId="80" borderId="0" applyNumberFormat="0" applyBorder="0" applyAlignment="0" applyProtection="0"/>
    <xf numFmtId="0" fontId="1" fillId="0" borderId="0"/>
    <xf numFmtId="0" fontId="75" fillId="0" borderId="0"/>
    <xf numFmtId="0" fontId="1" fillId="0" borderId="0"/>
    <xf numFmtId="0" fontId="1" fillId="0" borderId="0"/>
    <xf numFmtId="0" fontId="75" fillId="8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36" fillId="0" borderId="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75" fillId="73"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1" fillId="0" borderId="0"/>
    <xf numFmtId="0" fontId="75" fillId="80" borderId="0" applyNumberFormat="0" applyBorder="0" applyAlignment="0" applyProtection="0"/>
    <xf numFmtId="0" fontId="75" fillId="59" borderId="30" applyNumberFormat="0" applyFont="0" applyAlignment="0" applyProtection="0"/>
    <xf numFmtId="0" fontId="75" fillId="76" borderId="0" applyNumberFormat="0" applyBorder="0" applyAlignment="0" applyProtection="0"/>
    <xf numFmtId="0" fontId="1"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54" borderId="0" applyNumberFormat="0" applyBorder="0" applyAlignment="0" applyProtection="0"/>
    <xf numFmtId="0" fontId="75" fillId="69" borderId="0" applyNumberFormat="0" applyBorder="0" applyAlignment="0" applyProtection="0"/>
    <xf numFmtId="0" fontId="75" fillId="76" borderId="0" applyNumberFormat="0" applyBorder="0" applyAlignment="0" applyProtection="0"/>
    <xf numFmtId="0" fontId="75" fillId="73" borderId="0" applyNumberFormat="0" applyBorder="0" applyAlignment="0" applyProtection="0"/>
    <xf numFmtId="0" fontId="75" fillId="68" borderId="0" applyNumberFormat="0" applyBorder="0" applyAlignment="0" applyProtection="0"/>
    <xf numFmtId="0" fontId="75" fillId="80" borderId="0" applyNumberFormat="0" applyBorder="0" applyAlignment="0" applyProtection="0"/>
    <xf numFmtId="0" fontId="1" fillId="0" borderId="0"/>
    <xf numFmtId="0" fontId="75" fillId="54" borderId="0" applyNumberFormat="0" applyBorder="0" applyAlignment="0" applyProtection="0"/>
    <xf numFmtId="0" fontId="1" fillId="0" borderId="0"/>
    <xf numFmtId="0" fontId="75" fillId="72" borderId="0" applyNumberFormat="0" applyBorder="0" applyAlignment="0" applyProtection="0"/>
    <xf numFmtId="0" fontId="75" fillId="0" borderId="0"/>
    <xf numFmtId="0" fontId="1" fillId="0" borderId="0"/>
    <xf numFmtId="0" fontId="75" fillId="76" borderId="0" applyNumberFormat="0" applyBorder="0" applyAlignment="0" applyProtection="0"/>
    <xf numFmtId="0" fontId="75" fillId="88" borderId="0" applyNumberFormat="0" applyBorder="0" applyAlignment="0" applyProtection="0"/>
    <xf numFmtId="0" fontId="75" fillId="0" borderId="0"/>
    <xf numFmtId="0" fontId="75" fillId="0" borderId="0"/>
    <xf numFmtId="0" fontId="75" fillId="73" borderId="0" applyNumberFormat="0" applyBorder="0" applyAlignment="0" applyProtection="0"/>
    <xf numFmtId="0" fontId="75" fillId="0" borderId="0"/>
    <xf numFmtId="0" fontId="75" fillId="87" borderId="0" applyNumberFormat="0" applyBorder="0" applyAlignment="0" applyProtection="0"/>
    <xf numFmtId="0" fontId="75" fillId="0" borderId="0"/>
    <xf numFmtId="0" fontId="75" fillId="0" borderId="0"/>
    <xf numFmtId="0" fontId="75" fillId="0" borderId="0"/>
    <xf numFmtId="0" fontId="36" fillId="0" borderId="0"/>
    <xf numFmtId="0" fontId="36" fillId="0" borderId="0"/>
    <xf numFmtId="0" fontId="75" fillId="68" borderId="0" applyNumberFormat="0" applyBorder="0" applyAlignment="0" applyProtection="0"/>
    <xf numFmtId="0" fontId="75" fillId="68" borderId="0" applyNumberFormat="0" applyBorder="0" applyAlignment="0" applyProtection="0"/>
    <xf numFmtId="0" fontId="1" fillId="0" borderId="0"/>
    <xf numFmtId="0" fontId="75" fillId="84" borderId="0" applyNumberFormat="0" applyBorder="0" applyAlignment="0" applyProtection="0"/>
    <xf numFmtId="0" fontId="75" fillId="84" borderId="0" applyNumberFormat="0" applyBorder="0" applyAlignment="0" applyProtection="0"/>
    <xf numFmtId="0" fontId="1" fillId="0" borderId="0"/>
    <xf numFmtId="0" fontId="75" fillId="69"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1" fillId="0" borderId="0"/>
    <xf numFmtId="0" fontId="75" fillId="0" borderId="0"/>
    <xf numFmtId="0" fontId="75" fillId="0" borderId="0"/>
    <xf numFmtId="0" fontId="1" fillId="0" borderId="0"/>
    <xf numFmtId="0" fontId="36" fillId="0" borderId="0"/>
    <xf numFmtId="0" fontId="75" fillId="72" borderId="0" applyNumberFormat="0" applyBorder="0" applyAlignment="0" applyProtection="0"/>
    <xf numFmtId="0" fontId="75" fillId="54" borderId="0" applyNumberFormat="0" applyBorder="0" applyAlignment="0" applyProtection="0"/>
    <xf numFmtId="0" fontId="75" fillId="72" borderId="0" applyNumberFormat="0" applyBorder="0" applyAlignment="0" applyProtection="0"/>
    <xf numFmtId="0" fontId="1" fillId="0" borderId="0"/>
    <xf numFmtId="0" fontId="75" fillId="0" borderId="0"/>
    <xf numFmtId="0" fontId="75" fillId="87"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75" fillId="83"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75" fillId="79"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76" borderId="0" applyNumberFormat="0" applyBorder="0" applyAlignment="0" applyProtection="0"/>
    <xf numFmtId="0" fontId="75" fillId="84" borderId="0" applyNumberFormat="0" applyBorder="0" applyAlignment="0" applyProtection="0"/>
    <xf numFmtId="0" fontId="75" fillId="73" borderId="0" applyNumberFormat="0" applyBorder="0" applyAlignment="0" applyProtection="0"/>
    <xf numFmtId="0" fontId="75" fillId="69" borderId="0" applyNumberFormat="0" applyBorder="0" applyAlignment="0" applyProtection="0"/>
    <xf numFmtId="0" fontId="75" fillId="69" borderId="0" applyNumberFormat="0" applyBorder="0" applyAlignment="0" applyProtection="0"/>
    <xf numFmtId="0" fontId="75" fillId="54" borderId="0" applyNumberFormat="0" applyBorder="0" applyAlignment="0" applyProtection="0"/>
    <xf numFmtId="0" fontId="75" fillId="79" borderId="0" applyNumberFormat="0" applyBorder="0" applyAlignment="0" applyProtection="0"/>
    <xf numFmtId="0" fontId="1" fillId="0" borderId="0"/>
    <xf numFmtId="0" fontId="75" fillId="0" borderId="0"/>
    <xf numFmtId="0" fontId="75" fillId="54"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59" borderId="30" applyNumberFormat="0" applyFont="0" applyAlignment="0" applyProtection="0"/>
    <xf numFmtId="0" fontId="75" fillId="0" borderId="0"/>
    <xf numFmtId="0" fontId="75" fillId="0" borderId="0"/>
    <xf numFmtId="0" fontId="1" fillId="0" borderId="0"/>
    <xf numFmtId="0" fontId="36" fillId="0" borderId="0"/>
    <xf numFmtId="0" fontId="36" fillId="0" borderId="0"/>
    <xf numFmtId="0" fontId="75" fillId="0" borderId="0"/>
    <xf numFmtId="0" fontId="75" fillId="59" borderId="30" applyNumberFormat="0" applyFont="0" applyAlignment="0" applyProtection="0"/>
    <xf numFmtId="0" fontId="75" fillId="76" borderId="0" applyNumberFormat="0" applyBorder="0" applyAlignment="0" applyProtection="0"/>
    <xf numFmtId="195" fontId="1" fillId="0" borderId="0" applyFont="0" applyFill="0" applyBorder="0" applyAlignment="0" applyProtection="0"/>
    <xf numFmtId="0" fontId="75" fillId="0" borderId="0"/>
    <xf numFmtId="0" fontId="75" fillId="80" borderId="0" applyNumberFormat="0" applyBorder="0" applyAlignment="0" applyProtection="0"/>
    <xf numFmtId="0" fontId="75" fillId="79" borderId="0" applyNumberFormat="0" applyBorder="0" applyAlignment="0" applyProtection="0"/>
    <xf numFmtId="0" fontId="75" fillId="88" borderId="0" applyNumberFormat="0" applyBorder="0" applyAlignment="0" applyProtection="0"/>
    <xf numFmtId="0" fontId="36" fillId="0" borderId="0"/>
    <xf numFmtId="0" fontId="75" fillId="73" borderId="0" applyNumberFormat="0" applyBorder="0" applyAlignment="0" applyProtection="0"/>
    <xf numFmtId="0" fontId="75" fillId="84" borderId="0" applyNumberFormat="0" applyBorder="0" applyAlignment="0" applyProtection="0"/>
    <xf numFmtId="0" fontId="75" fillId="0" borderId="0"/>
    <xf numFmtId="0" fontId="75" fillId="69" borderId="0" applyNumberFormat="0" applyBorder="0" applyAlignment="0" applyProtection="0"/>
    <xf numFmtId="0" fontId="1" fillId="0" borderId="0"/>
    <xf numFmtId="0" fontId="75" fillId="0" borderId="0"/>
    <xf numFmtId="0" fontId="75" fillId="0" borderId="0"/>
    <xf numFmtId="0" fontId="75" fillId="88" borderId="0" applyNumberFormat="0" applyBorder="0" applyAlignment="0" applyProtection="0"/>
    <xf numFmtId="0" fontId="1" fillId="0" borderId="0"/>
    <xf numFmtId="0" fontId="75" fillId="87" borderId="0" applyNumberFormat="0" applyBorder="0" applyAlignment="0" applyProtection="0"/>
    <xf numFmtId="0" fontId="1" fillId="0" borderId="0"/>
    <xf numFmtId="0" fontId="75" fillId="72" borderId="0" applyNumberFormat="0" applyBorder="0" applyAlignment="0" applyProtection="0"/>
    <xf numFmtId="0" fontId="75" fillId="83" borderId="0" applyNumberFormat="0" applyBorder="0" applyAlignment="0" applyProtection="0"/>
    <xf numFmtId="0" fontId="75" fillId="0" borderId="0"/>
    <xf numFmtId="0" fontId="75" fillId="68" borderId="0" applyNumberFormat="0" applyBorder="0" applyAlignment="0" applyProtection="0"/>
    <xf numFmtId="0" fontId="1" fillId="0" borderId="0"/>
    <xf numFmtId="0" fontId="75" fillId="0" borderId="0"/>
    <xf numFmtId="0" fontId="75" fillId="0" borderId="0"/>
    <xf numFmtId="0" fontId="75" fillId="87" borderId="0" applyNumberFormat="0" applyBorder="0" applyAlignment="0" applyProtection="0"/>
    <xf numFmtId="0" fontId="75" fillId="88" borderId="0" applyNumberFormat="0" applyBorder="0" applyAlignment="0" applyProtection="0"/>
    <xf numFmtId="0" fontId="1" fillId="0" borderId="0"/>
    <xf numFmtId="0" fontId="36" fillId="0" borderId="0"/>
    <xf numFmtId="0" fontId="1" fillId="0" borderId="0"/>
    <xf numFmtId="0" fontId="36" fillId="0" borderId="0"/>
    <xf numFmtId="0" fontId="1" fillId="0" borderId="0"/>
    <xf numFmtId="0" fontId="1"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0" borderId="0"/>
    <xf numFmtId="0" fontId="75" fillId="59" borderId="30" applyNumberFormat="0" applyFont="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75" fillId="68" borderId="0" applyNumberFormat="0" applyBorder="0" applyAlignment="0" applyProtection="0"/>
    <xf numFmtId="0" fontId="75" fillId="69" borderId="0" applyNumberFormat="0" applyBorder="0" applyAlignment="0" applyProtection="0"/>
    <xf numFmtId="0" fontId="75" fillId="72" borderId="0" applyNumberFormat="0" applyBorder="0" applyAlignment="0" applyProtection="0"/>
    <xf numFmtId="0" fontId="75" fillId="73" borderId="0" applyNumberFormat="0" applyBorder="0" applyAlignment="0" applyProtection="0"/>
    <xf numFmtId="0" fontId="75" fillId="54" borderId="0" applyNumberFormat="0" applyBorder="0" applyAlignment="0" applyProtection="0"/>
    <xf numFmtId="0" fontId="75" fillId="76" borderId="0" applyNumberFormat="0" applyBorder="0" applyAlignment="0" applyProtection="0"/>
    <xf numFmtId="0" fontId="75" fillId="79" borderId="0" applyNumberFormat="0" applyBorder="0" applyAlignment="0" applyProtection="0"/>
    <xf numFmtId="0" fontId="75" fillId="80" borderId="0" applyNumberFormat="0" applyBorder="0" applyAlignment="0" applyProtection="0"/>
    <xf numFmtId="0" fontId="75" fillId="83" borderId="0" applyNumberFormat="0" applyBorder="0" applyAlignment="0" applyProtection="0"/>
    <xf numFmtId="0" fontId="75" fillId="84" borderId="0" applyNumberFormat="0" applyBorder="0" applyAlignment="0" applyProtection="0"/>
    <xf numFmtId="0" fontId="75" fillId="87" borderId="0" applyNumberFormat="0" applyBorder="0" applyAlignment="0" applyProtection="0"/>
    <xf numFmtId="0" fontId="75" fillId="88" borderId="0" applyNumberFormat="0" applyBorder="0" applyAlignment="0" applyProtection="0"/>
    <xf numFmtId="0" fontId="1" fillId="0" borderId="0"/>
    <xf numFmtId="0" fontId="1" fillId="0" borderId="0"/>
    <xf numFmtId="0" fontId="75" fillId="72" borderId="0" applyNumberFormat="0" applyBorder="0" applyAlignment="0" applyProtection="0"/>
    <xf numFmtId="0" fontId="75" fillId="73" borderId="0" applyNumberFormat="0" applyBorder="0" applyAlignment="0" applyProtection="0"/>
    <xf numFmtId="0" fontId="75" fillId="76" borderId="0" applyNumberFormat="0" applyBorder="0" applyAlignment="0" applyProtection="0"/>
    <xf numFmtId="0" fontId="75" fillId="69" borderId="0" applyNumberFormat="0" applyBorder="0" applyAlignment="0" applyProtection="0"/>
    <xf numFmtId="0" fontId="75" fillId="84" borderId="0" applyNumberFormat="0" applyBorder="0" applyAlignment="0" applyProtection="0"/>
    <xf numFmtId="0" fontId="75" fillId="54" borderId="0" applyNumberFormat="0" applyBorder="0" applyAlignment="0" applyProtection="0"/>
    <xf numFmtId="0" fontId="75" fillId="88" borderId="0" applyNumberFormat="0" applyBorder="0" applyAlignment="0" applyProtection="0"/>
    <xf numFmtId="0" fontId="75" fillId="80" borderId="0" applyNumberFormat="0" applyBorder="0" applyAlignment="0" applyProtection="0"/>
    <xf numFmtId="0" fontId="75" fillId="87" borderId="0" applyNumberFormat="0" applyBorder="0" applyAlignment="0" applyProtection="0"/>
    <xf numFmtId="0" fontId="75" fillId="83" borderId="0" applyNumberFormat="0" applyBorder="0" applyAlignment="0" applyProtection="0"/>
    <xf numFmtId="0" fontId="75" fillId="68" borderId="0" applyNumberFormat="0" applyBorder="0" applyAlignment="0" applyProtection="0"/>
    <xf numFmtId="0" fontId="1" fillId="0" borderId="0"/>
    <xf numFmtId="0" fontId="36" fillId="0" borderId="0"/>
    <xf numFmtId="0" fontId="75" fillId="79" borderId="0" applyNumberFormat="0" applyBorder="0" applyAlignment="0" applyProtection="0"/>
    <xf numFmtId="0" fontId="1"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1" fillId="0" borderId="0"/>
    <xf numFmtId="0" fontId="36"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75" fillId="0" borderId="0"/>
    <xf numFmtId="0" fontId="1" fillId="0" borderId="0"/>
    <xf numFmtId="0" fontId="1" fillId="0" borderId="0"/>
    <xf numFmtId="0" fontId="1" fillId="0" borderId="0"/>
    <xf numFmtId="0" fontId="75" fillId="0" borderId="0" applyNumberFormat="0" applyFill="0" applyBorder="0" applyAlignment="0" applyProtection="0"/>
    <xf numFmtId="0" fontId="75" fillId="0" borderId="0"/>
    <xf numFmtId="0" fontId="75" fillId="0" borderId="0"/>
    <xf numFmtId="0" fontId="18" fillId="20" borderId="0" applyNumberFormat="0" applyBorder="0" applyAlignment="0" applyProtection="0"/>
    <xf numFmtId="0" fontId="18" fillId="23" borderId="0" applyNumberFormat="0" applyBorder="0" applyAlignment="0" applyProtection="0"/>
    <xf numFmtId="0" fontId="18" fillId="26" borderId="0" applyNumberFormat="0" applyBorder="0" applyAlignment="0" applyProtection="0"/>
    <xf numFmtId="0" fontId="75" fillId="0" borderId="0"/>
    <xf numFmtId="0" fontId="18" fillId="20" borderId="0" applyNumberFormat="0" applyBorder="0" applyAlignment="0" applyProtection="0"/>
    <xf numFmtId="0" fontId="75" fillId="0" borderId="0"/>
    <xf numFmtId="0" fontId="75" fillId="0" borderId="0"/>
    <xf numFmtId="0" fontId="18" fillId="31" borderId="0" applyNumberFormat="0" applyBorder="0" applyAlignment="0" applyProtection="0"/>
    <xf numFmtId="0" fontId="18" fillId="33"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75" fillId="0" borderId="0"/>
    <xf numFmtId="0" fontId="75" fillId="59" borderId="30" applyNumberFormat="0" applyFont="0" applyAlignment="0" applyProtection="0"/>
    <xf numFmtId="0" fontId="75" fillId="0" borderId="0"/>
    <xf numFmtId="0" fontId="75" fillId="0" borderId="0" applyNumberFormat="0" applyFill="0" applyBorder="0" applyAlignment="0" applyProtection="0"/>
    <xf numFmtId="0" fontId="75" fillId="0" borderId="0" applyNumberFormat="0" applyFill="0" applyBorder="0" applyAlignment="0" applyProtection="0"/>
    <xf numFmtId="0" fontId="75" fillId="0" borderId="0" applyNumberFormat="0" applyFill="0" applyBorder="0" applyAlignment="0" applyProtection="0"/>
    <xf numFmtId="0" fontId="3" fillId="0" borderId="0" applyNumberFormat="0" applyFill="0" applyBorder="0" applyAlignment="0" applyProtection="0"/>
    <xf numFmtId="0" fontId="75" fillId="83" borderId="0" applyNumberFormat="0" applyBorder="0" applyAlignment="0" applyProtection="0"/>
    <xf numFmtId="0" fontId="18" fillId="33" borderId="0" applyNumberFormat="0" applyBorder="0" applyAlignment="0" applyProtection="0"/>
    <xf numFmtId="0" fontId="36" fillId="0" borderId="0"/>
    <xf numFmtId="0" fontId="18" fillId="31" borderId="0" applyNumberFormat="0" applyBorder="0" applyAlignment="0" applyProtection="0"/>
    <xf numFmtId="0" fontId="18" fillId="20" borderId="0" applyNumberFormat="0" applyBorder="0" applyAlignment="0" applyProtection="0"/>
    <xf numFmtId="0" fontId="18" fillId="26" borderId="0" applyNumberFormat="0" applyBorder="0" applyAlignment="0" applyProtection="0"/>
    <xf numFmtId="0" fontId="18" fillId="23" borderId="0" applyNumberFormat="0" applyBorder="0" applyAlignment="0" applyProtection="0"/>
    <xf numFmtId="0" fontId="18" fillId="20" borderId="0" applyNumberFormat="0" applyBorder="0" applyAlignment="0" applyProtection="0"/>
    <xf numFmtId="0" fontId="75" fillId="0" borderId="0"/>
    <xf numFmtId="0" fontId="75" fillId="79" borderId="0" applyNumberFormat="0" applyBorder="0" applyAlignment="0" applyProtection="0"/>
    <xf numFmtId="0" fontId="75" fillId="0" borderId="0"/>
    <xf numFmtId="0" fontId="1" fillId="0" borderId="0"/>
    <xf numFmtId="195" fontId="1" fillId="0" borderId="0" applyFont="0" applyFill="0" applyBorder="0" applyAlignment="0" applyProtection="0"/>
    <xf numFmtId="0" fontId="75" fillId="0" borderId="0"/>
    <xf numFmtId="0" fontId="75" fillId="0" borderId="0"/>
    <xf numFmtId="0" fontId="75" fillId="0" borderId="0" applyNumberFormat="0" applyFill="0" applyBorder="0" applyAlignment="0" applyProtection="0"/>
    <xf numFmtId="0" fontId="36" fillId="0" borderId="0"/>
    <xf numFmtId="0" fontId="75" fillId="73" borderId="0" applyNumberFormat="0" applyBorder="0" applyAlignment="0" applyProtection="0"/>
    <xf numFmtId="0" fontId="75" fillId="59" borderId="30" applyNumberFormat="0" applyFont="0" applyAlignment="0" applyProtection="0"/>
    <xf numFmtId="0" fontId="75" fillId="88" borderId="0" applyNumberFormat="0" applyBorder="0" applyAlignment="0" applyProtection="0"/>
    <xf numFmtId="0" fontId="75" fillId="0" borderId="0"/>
    <xf numFmtId="0" fontId="75" fillId="0" borderId="0"/>
    <xf numFmtId="0" fontId="75" fillId="59" borderId="30" applyNumberFormat="0" applyFont="0" applyAlignment="0" applyProtection="0"/>
    <xf numFmtId="0" fontId="75" fillId="0" borderId="0" applyNumberFormat="0" applyFill="0" applyBorder="0" applyAlignment="0" applyProtection="0"/>
    <xf numFmtId="0" fontId="36" fillId="0" borderId="0"/>
    <xf numFmtId="0" fontId="75" fillId="0" borderId="0"/>
    <xf numFmtId="0" fontId="75" fillId="0" borderId="0"/>
    <xf numFmtId="0" fontId="75" fillId="87" borderId="0" applyNumberFormat="0" applyBorder="0" applyAlignment="0" applyProtection="0"/>
    <xf numFmtId="0" fontId="75" fillId="0" borderId="0"/>
    <xf numFmtId="0" fontId="75" fillId="0" borderId="0"/>
    <xf numFmtId="0" fontId="57" fillId="0" borderId="0"/>
    <xf numFmtId="0" fontId="75" fillId="0" borderId="0"/>
    <xf numFmtId="0" fontId="75" fillId="0" borderId="0"/>
    <xf numFmtId="0" fontId="75" fillId="72" borderId="0" applyNumberFormat="0" applyBorder="0" applyAlignment="0" applyProtection="0"/>
    <xf numFmtId="0" fontId="75" fillId="0" borderId="0" applyNumberFormat="0" applyFill="0" applyBorder="0" applyAlignment="0" applyProtection="0"/>
    <xf numFmtId="195" fontId="1" fillId="0" borderId="0" applyFont="0" applyFill="0" applyBorder="0" applyAlignment="0" applyProtection="0"/>
    <xf numFmtId="225" fontId="57" fillId="0" borderId="0" applyFont="0" applyFill="0" applyBorder="0" applyAlignment="0" applyProtection="0"/>
    <xf numFmtId="0" fontId="1" fillId="0" borderId="0" applyNumberFormat="0" applyFill="0" applyBorder="0" applyAlignment="0" applyProtection="0"/>
    <xf numFmtId="0" fontId="75" fillId="76" borderId="0" applyNumberFormat="0" applyBorder="0" applyAlignment="0" applyProtection="0"/>
    <xf numFmtId="0" fontId="36" fillId="0" borderId="0"/>
    <xf numFmtId="0" fontId="75" fillId="0" borderId="0"/>
    <xf numFmtId="0" fontId="75" fillId="0" borderId="0"/>
    <xf numFmtId="0" fontId="75" fillId="0" borderId="0" applyNumberFormat="0" applyFill="0" applyBorder="0" applyAlignment="0" applyProtection="0"/>
    <xf numFmtId="0" fontId="161" fillId="0" borderId="0"/>
    <xf numFmtId="0" fontId="36" fillId="0" borderId="0"/>
    <xf numFmtId="0" fontId="75" fillId="0" borderId="0"/>
    <xf numFmtId="0" fontId="75" fillId="0" borderId="0"/>
    <xf numFmtId="0" fontId="75" fillId="59" borderId="30" applyNumberFormat="0" applyFont="0" applyAlignment="0" applyProtection="0"/>
    <xf numFmtId="0" fontId="1" fillId="0" borderId="0"/>
    <xf numFmtId="0" fontId="75" fillId="0" borderId="0"/>
    <xf numFmtId="0" fontId="75" fillId="0" borderId="0"/>
    <xf numFmtId="0" fontId="75" fillId="68" borderId="0" applyNumberFormat="0" applyBorder="0" applyAlignment="0" applyProtection="0"/>
    <xf numFmtId="0" fontId="75" fillId="80" borderId="0" applyNumberFormat="0" applyBorder="0" applyAlignment="0" applyProtection="0"/>
    <xf numFmtId="0" fontId="75" fillId="0" borderId="0"/>
    <xf numFmtId="0" fontId="75" fillId="0" borderId="0"/>
    <xf numFmtId="0" fontId="75" fillId="0" borderId="0"/>
    <xf numFmtId="0" fontId="75" fillId="69" borderId="0" applyNumberFormat="0" applyBorder="0" applyAlignment="0" applyProtection="0"/>
    <xf numFmtId="0" fontId="75" fillId="0" borderId="0"/>
    <xf numFmtId="0" fontId="36" fillId="0" borderId="0"/>
    <xf numFmtId="0" fontId="75" fillId="0" borderId="0"/>
    <xf numFmtId="0" fontId="75" fillId="0" borderId="0" applyNumberFormat="0" applyFill="0" applyBorder="0" applyAlignment="0" applyProtection="0"/>
    <xf numFmtId="0" fontId="75" fillId="0" borderId="0"/>
    <xf numFmtId="0" fontId="75" fillId="59" borderId="30" applyNumberFormat="0" applyFont="0" applyAlignment="0" applyProtection="0"/>
    <xf numFmtId="0" fontId="75" fillId="0" borderId="0"/>
    <xf numFmtId="0" fontId="75" fillId="0" borderId="0"/>
    <xf numFmtId="0" fontId="75" fillId="0" borderId="0"/>
    <xf numFmtId="0" fontId="75" fillId="0" borderId="0"/>
    <xf numFmtId="0" fontId="75" fillId="0" borderId="0"/>
    <xf numFmtId="0" fontId="75" fillId="84" borderId="0" applyNumberFormat="0" applyBorder="0" applyAlignment="0" applyProtection="0"/>
    <xf numFmtId="0" fontId="75" fillId="0" borderId="0"/>
    <xf numFmtId="0" fontId="75" fillId="54" borderId="0" applyNumberFormat="0" applyBorder="0" applyAlignment="0" applyProtection="0"/>
    <xf numFmtId="0" fontId="75" fillId="0" borderId="0"/>
    <xf numFmtId="0" fontId="75" fillId="0" borderId="0"/>
    <xf numFmtId="0" fontId="75" fillId="0" borderId="0"/>
    <xf numFmtId="0" fontId="75" fillId="0" borderId="0"/>
    <xf numFmtId="0" fontId="75" fillId="0" borderId="0"/>
    <xf numFmtId="0" fontId="36" fillId="0" borderId="0"/>
    <xf numFmtId="195" fontId="1" fillId="0" borderId="0" applyFont="0" applyFill="0" applyBorder="0" applyAlignment="0" applyProtection="0"/>
    <xf numFmtId="0" fontId="78" fillId="0" borderId="25" applyNumberFormat="0" applyFill="0" applyAlignment="0" applyProtection="0"/>
    <xf numFmtId="0" fontId="169" fillId="0" borderId="12" applyNumberFormat="0" applyBorder="0" applyProtection="0">
      <alignment horizontal="center"/>
    </xf>
    <xf numFmtId="4" fontId="14" fillId="93" borderId="14" applyNumberFormat="0" applyProtection="0">
      <alignment vertical="center"/>
    </xf>
    <xf numFmtId="4" fontId="151" fillId="40" borderId="14" applyNumberFormat="0" applyProtection="0">
      <alignment vertical="center"/>
    </xf>
    <xf numFmtId="4" fontId="16" fillId="48" borderId="14" applyNumberFormat="0" applyProtection="0">
      <alignment horizontal="left" vertical="center" indent="1"/>
    </xf>
    <xf numFmtId="4" fontId="150" fillId="93" borderId="14" applyNumberFormat="0" applyProtection="0">
      <alignment horizontal="center" vertical="center"/>
    </xf>
    <xf numFmtId="0" fontId="174" fillId="93" borderId="14" applyNumberFormat="0" applyProtection="0">
      <alignment horizontal="right" vertical="center" indent="1"/>
    </xf>
    <xf numFmtId="4" fontId="16" fillId="94" borderId="14" applyNumberFormat="0" applyProtection="0">
      <alignment horizontal="right" vertical="center"/>
    </xf>
    <xf numFmtId="4" fontId="16" fillId="95" borderId="14" applyNumberFormat="0" applyProtection="0">
      <alignment horizontal="right" vertical="center"/>
    </xf>
    <xf numFmtId="4" fontId="16" fillId="96" borderId="14" applyNumberFormat="0" applyProtection="0">
      <alignment horizontal="right" vertical="center"/>
    </xf>
    <xf numFmtId="4" fontId="16" fillId="47" borderId="14" applyNumberFormat="0" applyProtection="0">
      <alignment horizontal="right" vertical="center"/>
    </xf>
    <xf numFmtId="4" fontId="16" fillId="97" borderId="14" applyNumberFormat="0" applyProtection="0">
      <alignment horizontal="right" vertical="center"/>
    </xf>
    <xf numFmtId="4" fontId="16" fillId="98" borderId="14" applyNumberFormat="0" applyProtection="0">
      <alignment horizontal="right" vertical="center"/>
    </xf>
    <xf numFmtId="4" fontId="16" fillId="99" borderId="14" applyNumberFormat="0" applyProtection="0">
      <alignment horizontal="right" vertical="center"/>
    </xf>
    <xf numFmtId="4" fontId="16" fillId="100" borderId="14" applyNumberFormat="0" applyProtection="0">
      <alignment horizontal="right" vertical="center"/>
    </xf>
    <xf numFmtId="4" fontId="16" fillId="101" borderId="14" applyNumberFormat="0" applyProtection="0">
      <alignment horizontal="right" vertical="center"/>
    </xf>
    <xf numFmtId="4" fontId="41" fillId="102" borderId="14" applyNumberFormat="0" applyProtection="0">
      <alignment horizontal="left" vertical="center" indent="1"/>
    </xf>
    <xf numFmtId="4" fontId="16" fillId="52" borderId="106" applyNumberFormat="0" applyProtection="0">
      <alignment horizontal="left" vertical="center" indent="1"/>
    </xf>
    <xf numFmtId="4" fontId="175" fillId="103" borderId="0" applyNumberFormat="0" applyProtection="0">
      <alignment horizontal="left" vertical="center" indent="1"/>
    </xf>
    <xf numFmtId="0" fontId="176" fillId="93" borderId="14" applyNumberFormat="0" applyProtection="0">
      <alignment horizontal="left" vertical="center" indent="1"/>
    </xf>
    <xf numFmtId="4" fontId="177" fillId="52" borderId="14" applyNumberFormat="0" applyProtection="0">
      <alignment horizontal="left" vertical="center" indent="1"/>
    </xf>
    <xf numFmtId="4" fontId="178" fillId="90" borderId="14" applyNumberFormat="0" applyProtection="0">
      <alignment horizontal="left" vertical="center" indent="1"/>
    </xf>
    <xf numFmtId="0" fontId="1" fillId="90" borderId="14" applyNumberFormat="0" applyProtection="0">
      <alignment horizontal="left" vertical="center" indent="1"/>
    </xf>
    <xf numFmtId="0" fontId="1" fillId="40" borderId="14" applyNumberFormat="0" applyProtection="0">
      <alignment horizontal="left" vertical="center" indent="1"/>
    </xf>
    <xf numFmtId="0" fontId="1" fillId="93" borderId="14" applyNumberFormat="0" applyProtection="0">
      <alignment horizontal="left" vertical="center" indent="1"/>
    </xf>
    <xf numFmtId="0" fontId="1" fillId="93" borderId="14" applyNumberFormat="0" applyProtection="0">
      <alignment horizontal="left" vertical="center" indent="1"/>
    </xf>
    <xf numFmtId="4" fontId="16" fillId="38" borderId="14" applyNumberFormat="0" applyProtection="0">
      <alignment vertical="center"/>
    </xf>
    <xf numFmtId="4" fontId="179" fillId="38" borderId="14" applyNumberFormat="0" applyProtection="0">
      <alignment vertical="center"/>
    </xf>
    <xf numFmtId="4" fontId="16" fillId="38" borderId="14" applyNumberFormat="0" applyProtection="0">
      <alignment horizontal="left" vertical="center" indent="1"/>
    </xf>
    <xf numFmtId="4" fontId="16" fillId="38" borderId="14" applyNumberFormat="0" applyProtection="0">
      <alignment horizontal="left" vertical="center" indent="1"/>
    </xf>
    <xf numFmtId="0" fontId="1" fillId="93" borderId="14" applyNumberFormat="0" applyProtection="0">
      <alignment horizontal="left" vertical="center" indent="1"/>
    </xf>
    <xf numFmtId="0" fontId="174" fillId="93" borderId="14" applyNumberFormat="0" applyProtection="0">
      <alignment horizontal="center" vertical="center"/>
    </xf>
    <xf numFmtId="0" fontId="180" fillId="0" borderId="0">
      <alignment vertical="center"/>
    </xf>
    <xf numFmtId="4" fontId="65" fillId="52" borderId="14" applyNumberFormat="0" applyProtection="0">
      <alignment horizontal="right" vertical="center"/>
    </xf>
    <xf numFmtId="0" fontId="143" fillId="67" borderId="0" applyNumberFormat="0" applyBorder="0" applyAlignment="0" applyProtection="0"/>
    <xf numFmtId="0" fontId="143" fillId="71" borderId="0" applyNumberFormat="0" applyBorder="0" applyAlignment="0" applyProtection="0"/>
    <xf numFmtId="0" fontId="143" fillId="75" borderId="0" applyNumberFormat="0" applyBorder="0" applyAlignment="0" applyProtection="0"/>
    <xf numFmtId="0" fontId="143" fillId="78" borderId="0" applyNumberFormat="0" applyBorder="0" applyAlignment="0" applyProtection="0"/>
    <xf numFmtId="0" fontId="143" fillId="82" borderId="0" applyNumberFormat="0" applyBorder="0" applyAlignment="0" applyProtection="0"/>
    <xf numFmtId="0" fontId="143" fillId="86" borderId="0" applyNumberFormat="0" applyBorder="0" applyAlignment="0" applyProtection="0"/>
    <xf numFmtId="0" fontId="78" fillId="0" borderId="25" applyNumberFormat="0" applyFill="0" applyAlignment="0" applyProtection="0"/>
    <xf numFmtId="0" fontId="143" fillId="82" borderId="0" applyNumberFormat="0" applyBorder="0" applyAlignment="0" applyProtection="0"/>
    <xf numFmtId="0" fontId="143" fillId="75" borderId="0" applyNumberFormat="0" applyBorder="0" applyAlignment="0" applyProtection="0"/>
    <xf numFmtId="0" fontId="169" fillId="0" borderId="12" applyNumberFormat="0" applyBorder="0" applyProtection="0">
      <alignment horizontal="center"/>
    </xf>
    <xf numFmtId="217" fontId="75" fillId="0" borderId="0"/>
    <xf numFmtId="217" fontId="1" fillId="0" borderId="0"/>
    <xf numFmtId="217" fontId="75" fillId="0" borderId="0"/>
    <xf numFmtId="217" fontId="1" fillId="0" borderId="0"/>
    <xf numFmtId="217" fontId="156" fillId="0" borderId="0" applyNumberFormat="0" applyFill="0" applyBorder="0" applyAlignment="0" applyProtection="0"/>
    <xf numFmtId="217" fontId="154" fillId="0" borderId="0" applyNumberFormat="0" applyFill="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75" fillId="59" borderId="30" applyNumberFormat="0" applyFont="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alignment wrapText="1"/>
    </xf>
    <xf numFmtId="217" fontId="158" fillId="0" borderId="0">
      <alignment wrapText="1"/>
    </xf>
    <xf numFmtId="217" fontId="157" fillId="0" borderId="0"/>
    <xf numFmtId="217" fontId="3" fillId="0" borderId="0" applyNumberFormat="0" applyFill="0" applyBorder="0" applyAlignment="0" applyProtection="0"/>
    <xf numFmtId="217" fontId="1" fillId="0" borderId="0" applyNumberFormat="0" applyFill="0" applyBorder="0" applyAlignment="0" applyProtection="0"/>
    <xf numFmtId="217" fontId="159" fillId="0" borderId="0" applyNumberFormat="0" applyFill="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143" fillId="70" borderId="0" applyNumberFormat="0" applyBorder="0" applyAlignment="0" applyProtection="0"/>
    <xf numFmtId="217" fontId="143" fillId="74" borderId="0" applyNumberFormat="0" applyBorder="0" applyAlignment="0" applyProtection="0"/>
    <xf numFmtId="217" fontId="143" fillId="77" borderId="0" applyNumberFormat="0" applyBorder="0" applyAlignment="0" applyProtection="0"/>
    <xf numFmtId="217" fontId="143" fillId="81" borderId="0" applyNumberFormat="0" applyBorder="0" applyAlignment="0" applyProtection="0"/>
    <xf numFmtId="217" fontId="143" fillId="85" borderId="0" applyNumberFormat="0" applyBorder="0" applyAlignment="0" applyProtection="0"/>
    <xf numFmtId="217" fontId="143" fillId="89" borderId="0" applyNumberFormat="0" applyBorder="0" applyAlignment="0" applyProtection="0"/>
    <xf numFmtId="217" fontId="143" fillId="67" borderId="0" applyNumberFormat="0" applyBorder="0" applyAlignment="0" applyProtection="0"/>
    <xf numFmtId="217" fontId="143" fillId="71" borderId="0" applyNumberFormat="0" applyBorder="0" applyAlignment="0" applyProtection="0"/>
    <xf numFmtId="217" fontId="143" fillId="75" borderId="0" applyNumberFormat="0" applyBorder="0" applyAlignment="0" applyProtection="0"/>
    <xf numFmtId="217" fontId="143" fillId="78" borderId="0" applyNumberFormat="0" applyBorder="0" applyAlignment="0" applyProtection="0"/>
    <xf numFmtId="217" fontId="143" fillId="82" borderId="0" applyNumberFormat="0" applyBorder="0" applyAlignment="0" applyProtection="0"/>
    <xf numFmtId="217" fontId="143" fillId="86" borderId="0" applyNumberFormat="0" applyBorder="0" applyAlignment="0" applyProtection="0"/>
    <xf numFmtId="217" fontId="144" fillId="65" borderId="0" applyNumberFormat="0" applyBorder="0" applyAlignment="0" applyProtection="0"/>
    <xf numFmtId="217" fontId="146" fillId="55" borderId="28" applyNumberFormat="0" applyAlignment="0" applyProtection="0"/>
    <xf numFmtId="217" fontId="147" fillId="66" borderId="100" applyNumberFormat="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59" fillId="0" borderId="0" applyFont="0" applyFill="0" applyBorder="0" applyAlignment="0" applyProtection="0"/>
    <xf numFmtId="217" fontId="148" fillId="0" borderId="0" applyNumberFormat="0" applyFill="0" applyBorder="0" applyAlignment="0" applyProtection="0"/>
    <xf numFmtId="217" fontId="83" fillId="56" borderId="0" applyNumberFormat="0" applyBorder="0" applyAlignment="0" applyProtection="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5" fillId="57" borderId="28" applyNumberFormat="0" applyAlignment="0" applyProtection="0"/>
    <xf numFmtId="217" fontId="82" fillId="0" borderId="29" applyNumberFormat="0" applyFill="0" applyAlignment="0" applyProtection="0"/>
    <xf numFmtId="217" fontId="155" fillId="58" borderId="0" applyNumberFormat="0" applyBorder="0" applyAlignment="0" applyProtection="0"/>
    <xf numFmtId="217" fontId="1" fillId="0" borderId="0"/>
    <xf numFmtId="217" fontId="159" fillId="0" borderId="0"/>
    <xf numFmtId="217" fontId="1"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9" fillId="0" borderId="0"/>
    <xf numFmtId="217" fontId="156" fillId="0" borderId="0"/>
    <xf numFmtId="217" fontId="75" fillId="0" borderId="0"/>
    <xf numFmtId="217" fontId="159" fillId="0" borderId="0"/>
    <xf numFmtId="217" fontId="1" fillId="0" borderId="0"/>
    <xf numFmtId="217" fontId="159" fillId="0" borderId="0"/>
    <xf numFmtId="217" fontId="75" fillId="0" borderId="0"/>
    <xf numFmtId="217" fontId="156" fillId="0" borderId="0"/>
    <xf numFmtId="217" fontId="1" fillId="0" borderId="0"/>
    <xf numFmtId="217" fontId="1"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75" fillId="59" borderId="30" applyNumberFormat="0" applyFont="0" applyAlignment="0" applyProtection="0"/>
    <xf numFmtId="217" fontId="145" fillId="55" borderId="99" applyNumberFormat="0" applyAlignment="0" applyProtection="0"/>
    <xf numFmtId="217" fontId="154" fillId="0" borderId="0" applyNumberFormat="0" applyFill="0" applyBorder="0" applyAlignment="0" applyProtection="0"/>
    <xf numFmtId="217" fontId="102" fillId="0" borderId="0" applyNumberFormat="0" applyFill="0" applyBorder="0" applyAlignment="0" applyProtection="0"/>
    <xf numFmtId="217" fontId="75" fillId="0" borderId="0"/>
    <xf numFmtId="217" fontId="75" fillId="0" borderId="0"/>
    <xf numFmtId="217" fontId="1" fillId="0" borderId="0"/>
    <xf numFmtId="217" fontId="161" fillId="0" borderId="0"/>
    <xf numFmtId="9" fontId="161" fillId="0" borderId="0" applyFont="0" applyFill="0" applyBorder="0" applyAlignment="0" applyProtection="0"/>
    <xf numFmtId="217" fontId="157" fillId="0" borderId="0"/>
    <xf numFmtId="217" fontId="1" fillId="0" borderId="0"/>
    <xf numFmtId="217" fontId="3" fillId="0" borderId="0" applyNumberFormat="0" applyFill="0" applyBorder="0" applyAlignment="0" applyProtection="0"/>
    <xf numFmtId="217" fontId="1" fillId="0" borderId="0"/>
    <xf numFmtId="217" fontId="75" fillId="0" borderId="0"/>
    <xf numFmtId="217" fontId="1" fillId="0" borderId="0"/>
    <xf numFmtId="217" fontId="1" fillId="64" borderId="14" applyNumberFormat="0" applyProtection="0">
      <alignment horizontal="left" vertical="center" indent="1"/>
    </xf>
    <xf numFmtId="217" fontId="1" fillId="40" borderId="14" applyNumberFormat="0" applyProtection="0">
      <alignment horizontal="left" vertical="center" indent="1"/>
    </xf>
    <xf numFmtId="4" fontId="16" fillId="52" borderId="14" applyNumberFormat="0" applyProtection="0">
      <alignment horizontal="right" vertical="center"/>
    </xf>
    <xf numFmtId="217" fontId="75" fillId="0" borderId="0" applyNumberFormat="0" applyFill="0" applyBorder="0" applyAlignment="0" applyProtection="0"/>
    <xf numFmtId="44" fontId="57" fillId="0" borderId="0" applyFont="0" applyFill="0" applyBorder="0" applyAlignment="0" applyProtection="0"/>
    <xf numFmtId="217" fontId="57" fillId="0" borderId="0"/>
    <xf numFmtId="217" fontId="57" fillId="0" borderId="0" applyFont="0" applyFill="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49" fillId="0" borderId="101" applyNumberFormat="0" applyFill="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applyFont="0" applyFill="0" applyBorder="0" applyAlignment="0" applyProtection="0"/>
    <xf numFmtId="217" fontId="36"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36" fillId="0" borderId="0"/>
    <xf numFmtId="217" fontId="1" fillId="0" borderId="0"/>
    <xf numFmtId="217" fontId="36"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36" fillId="0" borderId="0"/>
    <xf numFmtId="217" fontId="1" fillId="0" borderId="0"/>
    <xf numFmtId="217" fontId="1" fillId="0" borderId="0"/>
    <xf numFmtId="217" fontId="1" fillId="0" borderId="0"/>
    <xf numFmtId="217" fontId="36" fillId="0" borderId="0"/>
    <xf numFmtId="217" fontId="36" fillId="0" borderId="0"/>
    <xf numFmtId="217" fontId="36" fillId="0" borderId="0"/>
    <xf numFmtId="217" fontId="75" fillId="88"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36"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36" fillId="0" borderId="0"/>
    <xf numFmtId="217" fontId="1"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217" fontId="1" fillId="0" borderId="0"/>
    <xf numFmtId="217" fontId="36" fillId="0" borderId="0"/>
    <xf numFmtId="217" fontId="36" fillId="0" borderId="0"/>
    <xf numFmtId="217" fontId="1" fillId="0" borderId="0"/>
    <xf numFmtId="217" fontId="1" fillId="0" borderId="0"/>
    <xf numFmtId="217" fontId="36" fillId="0" borderId="0"/>
    <xf numFmtId="217" fontId="1" fillId="0" borderId="0"/>
    <xf numFmtId="217" fontId="1" fillId="0" borderId="0"/>
    <xf numFmtId="217" fontId="1" fillId="0" borderId="0"/>
    <xf numFmtId="4" fontId="14" fillId="52" borderId="14" applyProtection="0">
      <alignment horizontal="right" vertical="center"/>
    </xf>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54" borderId="0" applyNumberFormat="0" applyBorder="0" applyAlignment="0" applyProtection="0"/>
    <xf numFmtId="217" fontId="75" fillId="84" borderId="0" applyNumberFormat="0" applyBorder="0" applyAlignment="0" applyProtection="0"/>
    <xf numFmtId="217" fontId="75" fillId="83" borderId="0" applyNumberFormat="0" applyBorder="0" applyAlignment="0" applyProtection="0"/>
    <xf numFmtId="217" fontId="75" fillId="80" borderId="0" applyNumberFormat="0" applyBorder="0" applyAlignment="0" applyProtection="0"/>
    <xf numFmtId="217" fontId="75" fillId="79"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36" fillId="0" borderId="0"/>
    <xf numFmtId="217" fontId="75" fillId="72"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 fillId="0" borderId="0"/>
    <xf numFmtId="217" fontId="75" fillId="6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 fillId="0" borderId="0"/>
    <xf numFmtId="217" fontId="75" fillId="59" borderId="30" applyNumberFormat="0" applyFont="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75" fillId="87" borderId="0" applyNumberFormat="0" applyBorder="0" applyAlignment="0" applyProtection="0"/>
    <xf numFmtId="217" fontId="1" fillId="0" borderId="0"/>
    <xf numFmtId="217" fontId="1" fillId="0" borderId="0"/>
    <xf numFmtId="217" fontId="1" fillId="0" borderId="0" applyFont="0" applyFill="0" applyBorder="0" applyAlignment="0" applyProtection="0"/>
    <xf numFmtId="217" fontId="36" fillId="0" borderId="0"/>
    <xf numFmtId="217" fontId="36" fillId="0" borderId="0"/>
    <xf numFmtId="217" fontId="1" fillId="0" borderId="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0" borderId="0"/>
    <xf numFmtId="217" fontId="75" fillId="0" borderId="0"/>
    <xf numFmtId="217" fontId="36"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7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83" borderId="0" applyNumberFormat="0" applyBorder="0" applyAlignment="0" applyProtection="0"/>
    <xf numFmtId="217" fontId="75" fillId="84" borderId="0" applyNumberFormat="0" applyBorder="0" applyAlignment="0" applyProtection="0"/>
    <xf numFmtId="217" fontId="1" fillId="0" borderId="0" applyFont="0" applyFill="0" applyBorder="0" applyAlignment="0" applyProtection="0"/>
    <xf numFmtId="217" fontId="1" fillId="0" borderId="0"/>
    <xf numFmtId="217" fontId="75" fillId="88" borderId="0" applyNumberFormat="0" applyBorder="0" applyAlignment="0" applyProtection="0"/>
    <xf numFmtId="217" fontId="1" fillId="0" borderId="0"/>
    <xf numFmtId="217" fontId="75" fillId="84"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80" borderId="0" applyNumberFormat="0" applyBorder="0" applyAlignment="0" applyProtection="0"/>
    <xf numFmtId="217" fontId="1" fillId="0" borderId="0"/>
    <xf numFmtId="217" fontId="1" fillId="0" borderId="0"/>
    <xf numFmtId="217" fontId="75" fillId="84" borderId="0" applyNumberFormat="0" applyBorder="0" applyAlignment="0" applyProtection="0"/>
    <xf numFmtId="217" fontId="75" fillId="0" borderId="0"/>
    <xf numFmtId="217" fontId="75" fillId="87" borderId="0" applyNumberFormat="0" applyBorder="0" applyAlignment="0" applyProtection="0"/>
    <xf numFmtId="217" fontId="1"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1" fillId="0" borderId="0"/>
    <xf numFmtId="217" fontId="36" fillId="0" borderId="0"/>
    <xf numFmtId="217" fontId="1" fillId="0" borderId="0"/>
    <xf numFmtId="217" fontId="1" fillId="0" borderId="0"/>
    <xf numFmtId="217" fontId="75" fillId="0" borderId="0"/>
    <xf numFmtId="217" fontId="1" fillId="0" borderId="0"/>
    <xf numFmtId="217" fontId="75" fillId="79" borderId="0" applyNumberFormat="0" applyBorder="0" applyAlignment="0" applyProtection="0"/>
    <xf numFmtId="217" fontId="75" fillId="0" borderId="0"/>
    <xf numFmtId="217" fontId="1" fillId="0" borderId="0"/>
    <xf numFmtId="217" fontId="36" fillId="0" borderId="0"/>
    <xf numFmtId="217" fontId="36" fillId="0" borderId="0"/>
    <xf numFmtId="217" fontId="1" fillId="0" borderId="0"/>
    <xf numFmtId="217" fontId="1" fillId="0" borderId="0"/>
    <xf numFmtId="217" fontId="75" fillId="80" borderId="0" applyNumberFormat="0" applyBorder="0" applyAlignment="0" applyProtection="0"/>
    <xf numFmtId="217" fontId="75" fillId="69"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79" borderId="0" applyNumberFormat="0" applyBorder="0" applyAlignment="0" applyProtection="0"/>
    <xf numFmtId="217" fontId="75" fillId="59" borderId="30" applyNumberFormat="0" applyFont="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69" borderId="0" applyNumberFormat="0" applyBorder="0" applyAlignment="0" applyProtection="0"/>
    <xf numFmtId="217" fontId="75" fillId="68" borderId="0" applyNumberFormat="0" applyBorder="0" applyAlignment="0" applyProtection="0"/>
    <xf numFmtId="217" fontId="75" fillId="76" borderId="0" applyNumberFormat="0" applyBorder="0" applyAlignment="0" applyProtection="0"/>
    <xf numFmtId="217" fontId="75" fillId="54" borderId="0" applyNumberFormat="0" applyBorder="0" applyAlignment="0" applyProtection="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84" borderId="0" applyNumberFormat="0" applyBorder="0" applyAlignment="0" applyProtection="0"/>
    <xf numFmtId="217" fontId="75" fillId="72"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83" borderId="0" applyNumberFormat="0" applyBorder="0" applyAlignment="0" applyProtection="0"/>
    <xf numFmtId="217" fontId="75" fillId="54" borderId="0" applyNumberFormat="0" applyBorder="0" applyAlignment="0" applyProtection="0"/>
    <xf numFmtId="217" fontId="75" fillId="0" borderId="0"/>
    <xf numFmtId="217" fontId="75" fillId="59" borderId="30" applyNumberFormat="0" applyFont="0" applyAlignment="0" applyProtection="0"/>
    <xf numFmtId="217" fontId="1" fillId="0" borderId="0"/>
    <xf numFmtId="217" fontId="75" fillId="79"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36"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76"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73" borderId="0" applyNumberFormat="0" applyBorder="0" applyAlignment="0" applyProtection="0"/>
    <xf numFmtId="217" fontId="75" fillId="0" borderId="0"/>
    <xf numFmtId="217" fontId="1"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83" borderId="0" applyNumberFormat="0" applyBorder="0" applyAlignment="0" applyProtection="0"/>
    <xf numFmtId="217" fontId="1" fillId="0" borderId="0"/>
    <xf numFmtId="217" fontId="1" fillId="0" borderId="0"/>
    <xf numFmtId="217" fontId="75" fillId="69" borderId="0" applyNumberFormat="0" applyBorder="0" applyAlignment="0" applyProtection="0"/>
    <xf numFmtId="217" fontId="75" fillId="72" borderId="0" applyNumberFormat="0" applyBorder="0" applyAlignment="0" applyProtection="0"/>
    <xf numFmtId="217" fontId="36" fillId="0" borderId="0"/>
    <xf numFmtId="217" fontId="75"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75" fillId="88" borderId="0" applyNumberFormat="0" applyBorder="0" applyAlignment="0" applyProtection="0"/>
    <xf numFmtId="217" fontId="75" fillId="0" borderId="0"/>
    <xf numFmtId="217" fontId="1" fillId="0" borderId="0"/>
    <xf numFmtId="217" fontId="1" fillId="0" borderId="0"/>
    <xf numFmtId="217" fontId="36" fillId="0" borderId="0"/>
    <xf numFmtId="217" fontId="1" fillId="0" borderId="0"/>
    <xf numFmtId="217" fontId="1" fillId="0" borderId="0"/>
    <xf numFmtId="217" fontId="75" fillId="87" borderId="0" applyNumberFormat="0" applyBorder="0" applyAlignment="0" applyProtection="0"/>
    <xf numFmtId="217" fontId="1" fillId="0" borderId="0"/>
    <xf numFmtId="217" fontId="75" fillId="80" borderId="0" applyNumberFormat="0" applyBorder="0" applyAlignment="0" applyProtection="0"/>
    <xf numFmtId="217" fontId="1" fillId="0" borderId="0"/>
    <xf numFmtId="217" fontId="75" fillId="0" borderId="0"/>
    <xf numFmtId="217" fontId="1" fillId="0" borderId="0"/>
    <xf numFmtId="217" fontId="1" fillId="0" borderId="0"/>
    <xf numFmtId="217" fontId="75" fillId="84" borderId="0" applyNumberFormat="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36" fillId="0" borderId="0"/>
    <xf numFmtId="217" fontId="1" fillId="0" borderId="0"/>
    <xf numFmtId="217" fontId="1" fillId="0" borderId="0"/>
    <xf numFmtId="217" fontId="36" fillId="0" borderId="0"/>
    <xf numFmtId="9" fontId="1" fillId="0" borderId="0" applyFont="0" applyFill="0" applyBorder="0" applyAlignment="0" applyProtection="0"/>
    <xf numFmtId="217" fontId="1" fillId="0" borderId="0"/>
    <xf numFmtId="217" fontId="36" fillId="0" borderId="0"/>
    <xf numFmtId="217" fontId="1" fillId="0" borderId="0"/>
    <xf numFmtId="217" fontId="36" fillId="0" borderId="0"/>
    <xf numFmtId="217" fontId="1" fillId="0" borderId="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75" fillId="73"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1" fillId="0" borderId="0"/>
    <xf numFmtId="217" fontId="75" fillId="80" borderId="0" applyNumberFormat="0" applyBorder="0" applyAlignment="0" applyProtection="0"/>
    <xf numFmtId="217" fontId="75" fillId="59" borderId="30" applyNumberFormat="0" applyFont="0" applyAlignment="0" applyProtection="0"/>
    <xf numFmtId="217" fontId="75" fillId="76" borderId="0" applyNumberFormat="0" applyBorder="0" applyAlignment="0" applyProtection="0"/>
    <xf numFmtId="217" fontId="1"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54" borderId="0" applyNumberFormat="0" applyBorder="0" applyAlignment="0" applyProtection="0"/>
    <xf numFmtId="217" fontId="75" fillId="69" borderId="0" applyNumberFormat="0" applyBorder="0" applyAlignment="0" applyProtection="0"/>
    <xf numFmtId="217" fontId="75" fillId="76" borderId="0" applyNumberFormat="0" applyBorder="0" applyAlignment="0" applyProtection="0"/>
    <xf numFmtId="217" fontId="75" fillId="73" borderId="0" applyNumberFormat="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1" fillId="0" borderId="0"/>
    <xf numFmtId="217" fontId="75" fillId="54" borderId="0" applyNumberFormat="0" applyBorder="0" applyAlignment="0" applyProtection="0"/>
    <xf numFmtId="217" fontId="1" fillId="0" borderId="0"/>
    <xf numFmtId="217" fontId="75" fillId="72" borderId="0" applyNumberFormat="0" applyBorder="0" applyAlignment="0" applyProtection="0"/>
    <xf numFmtId="217" fontId="75" fillId="0" borderId="0"/>
    <xf numFmtId="217" fontId="1" fillId="0" borderId="0"/>
    <xf numFmtId="217" fontId="75" fillId="76"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73" borderId="0" applyNumberFormat="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75" fillId="0" borderId="0"/>
    <xf numFmtId="217" fontId="36" fillId="0" borderId="0"/>
    <xf numFmtId="217" fontId="36" fillId="0" borderId="0"/>
    <xf numFmtId="217" fontId="75" fillId="68" borderId="0" applyNumberFormat="0" applyBorder="0" applyAlignment="0" applyProtection="0"/>
    <xf numFmtId="217" fontId="75" fillId="68" borderId="0" applyNumberFormat="0" applyBorder="0" applyAlignment="0" applyProtection="0"/>
    <xf numFmtId="217" fontId="1" fillId="0" borderId="0"/>
    <xf numFmtId="217" fontId="75" fillId="84" borderId="0" applyNumberFormat="0" applyBorder="0" applyAlignment="0" applyProtection="0"/>
    <xf numFmtId="217" fontId="75" fillId="84" borderId="0" applyNumberFormat="0" applyBorder="0" applyAlignment="0" applyProtection="0"/>
    <xf numFmtId="217" fontId="1" fillId="0" borderId="0"/>
    <xf numFmtId="217" fontId="75" fillId="69" borderId="0" applyNumberFormat="0" applyBorder="0" applyAlignment="0" applyProtection="0"/>
    <xf numFmtId="217" fontId="75" fillId="80" borderId="0" applyNumberFormat="0" applyBorder="0" applyAlignment="0" applyProtection="0"/>
    <xf numFmtId="217" fontId="75" fillId="0" borderId="0"/>
    <xf numFmtId="217" fontId="75" fillId="0" borderId="0"/>
    <xf numFmtId="217" fontId="1" fillId="0" borderId="0"/>
    <xf numFmtId="217" fontId="75" fillId="0" borderId="0"/>
    <xf numFmtId="217" fontId="75" fillId="0" borderId="0"/>
    <xf numFmtId="217" fontId="1" fillId="0" borderId="0"/>
    <xf numFmtId="217" fontId="36" fillId="0" borderId="0"/>
    <xf numFmtId="217" fontId="75" fillId="72" borderId="0" applyNumberFormat="0" applyBorder="0" applyAlignment="0" applyProtection="0"/>
    <xf numFmtId="217" fontId="75" fillId="54" borderId="0" applyNumberFormat="0" applyBorder="0" applyAlignment="0" applyProtection="0"/>
    <xf numFmtId="217" fontId="75" fillId="72" borderId="0" applyNumberFormat="0" applyBorder="0" applyAlignment="0" applyProtection="0"/>
    <xf numFmtId="217" fontId="1" fillId="0" borderId="0"/>
    <xf numFmtId="217" fontId="75" fillId="0" borderId="0"/>
    <xf numFmtId="217" fontId="75" fillId="87"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75" fillId="79" borderId="0" applyNumberFormat="0" applyBorder="0" applyAlignment="0" applyProtection="0"/>
    <xf numFmtId="217" fontId="75" fillId="59" borderId="30" applyNumberFormat="0" applyFont="0" applyAlignment="0" applyProtection="0"/>
    <xf numFmtId="217" fontId="75" fillId="88" borderId="0" applyNumberFormat="0" applyBorder="0" applyAlignment="0" applyProtection="0"/>
    <xf numFmtId="217" fontId="75" fillId="0" borderId="0"/>
    <xf numFmtId="217" fontId="75" fillId="0" borderId="0"/>
    <xf numFmtId="217" fontId="75" fillId="76" borderId="0" applyNumberFormat="0" applyBorder="0" applyAlignment="0" applyProtection="0"/>
    <xf numFmtId="217" fontId="75" fillId="84" borderId="0" applyNumberFormat="0" applyBorder="0" applyAlignment="0" applyProtection="0"/>
    <xf numFmtId="217" fontId="75" fillId="73"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 fillId="0" borderId="0"/>
    <xf numFmtId="217" fontId="75" fillId="54" borderId="0" applyNumberFormat="0" applyBorder="0" applyAlignment="0" applyProtection="0"/>
    <xf numFmtId="217" fontId="75" fillId="79" borderId="0" applyNumberFormat="0" applyBorder="0" applyAlignment="0" applyProtection="0"/>
    <xf numFmtId="217" fontId="1" fillId="0" borderId="0"/>
    <xf numFmtId="217" fontId="75" fillId="0" borderId="0"/>
    <xf numFmtId="217" fontId="75" fillId="54"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xf numFmtId="217" fontId="1" fillId="0" borderId="0"/>
    <xf numFmtId="217" fontId="36" fillId="0" borderId="0"/>
    <xf numFmtId="217" fontId="36" fillId="0" borderId="0"/>
    <xf numFmtId="217" fontId="75" fillId="0" borderId="0"/>
    <xf numFmtId="217" fontId="75" fillId="59" borderId="30" applyNumberFormat="0" applyFont="0" applyAlignment="0" applyProtection="0"/>
    <xf numFmtId="217" fontId="75" fillId="76" borderId="0" applyNumberFormat="0" applyBorder="0" applyAlignment="0" applyProtection="0"/>
    <xf numFmtId="217" fontId="1" fillId="0" borderId="0" applyFont="0" applyFill="0" applyBorder="0" applyAlignment="0" applyProtection="0"/>
    <xf numFmtId="217" fontId="75" fillId="0" borderId="0"/>
    <xf numFmtId="217" fontId="75" fillId="80" borderId="0" applyNumberFormat="0" applyBorder="0" applyAlignment="0" applyProtection="0"/>
    <xf numFmtId="217" fontId="75" fillId="79" borderId="0" applyNumberFormat="0" applyBorder="0" applyAlignment="0" applyProtection="0"/>
    <xf numFmtId="217" fontId="75" fillId="88" borderId="0" applyNumberFormat="0" applyBorder="0" applyAlignment="0" applyProtection="0"/>
    <xf numFmtId="217" fontId="36" fillId="0" borderId="0"/>
    <xf numFmtId="217" fontId="75" fillId="73" borderId="0" applyNumberFormat="0" applyBorder="0" applyAlignment="0" applyProtection="0"/>
    <xf numFmtId="217" fontId="75" fillId="84" borderId="0" applyNumberFormat="0" applyBorder="0" applyAlignment="0" applyProtection="0"/>
    <xf numFmtId="217" fontId="75" fillId="0" borderId="0"/>
    <xf numFmtId="217" fontId="75" fillId="69" borderId="0" applyNumberFormat="0" applyBorder="0" applyAlignment="0" applyProtection="0"/>
    <xf numFmtId="217" fontId="1" fillId="0" borderId="0"/>
    <xf numFmtId="217" fontId="75" fillId="0" borderId="0"/>
    <xf numFmtId="217" fontId="75" fillId="0" borderId="0"/>
    <xf numFmtId="217" fontId="75" fillId="88" borderId="0" applyNumberFormat="0" applyBorder="0" applyAlignment="0" applyProtection="0"/>
    <xf numFmtId="217" fontId="1" fillId="0" borderId="0"/>
    <xf numFmtId="217" fontId="75" fillId="87" borderId="0" applyNumberFormat="0" applyBorder="0" applyAlignment="0" applyProtection="0"/>
    <xf numFmtId="217" fontId="1" fillId="0" borderId="0"/>
    <xf numFmtId="217" fontId="75" fillId="72" borderId="0" applyNumberFormat="0" applyBorder="0" applyAlignment="0" applyProtection="0"/>
    <xf numFmtId="217" fontId="75" fillId="83" borderId="0" applyNumberFormat="0" applyBorder="0" applyAlignment="0" applyProtection="0"/>
    <xf numFmtId="217" fontId="75" fillId="0" borderId="0"/>
    <xf numFmtId="217" fontId="75" fillId="68" borderId="0" applyNumberFormat="0" applyBorder="0" applyAlignment="0" applyProtection="0"/>
    <xf numFmtId="217" fontId="1" fillId="0" borderId="0"/>
    <xf numFmtId="217" fontId="75" fillId="0" borderId="0"/>
    <xf numFmtId="217" fontId="75" fillId="0" borderId="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36" fillId="0" borderId="0"/>
    <xf numFmtId="217" fontId="1" fillId="0" borderId="0"/>
    <xf numFmtId="217" fontId="36" fillId="0" borderId="0"/>
    <xf numFmtId="217" fontId="1"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75" fillId="68" borderId="0" applyNumberFormat="0" applyBorder="0" applyAlignment="0" applyProtection="0"/>
    <xf numFmtId="217" fontId="75" fillId="69"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 fillId="0" borderId="0"/>
    <xf numFmtId="217" fontId="1" fillId="0" borderId="0"/>
    <xf numFmtId="217" fontId="75" fillId="72"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69" borderId="0" applyNumberFormat="0" applyBorder="0" applyAlignment="0" applyProtection="0"/>
    <xf numFmtId="217" fontId="75" fillId="84" borderId="0" applyNumberFormat="0" applyBorder="0" applyAlignment="0" applyProtection="0"/>
    <xf numFmtId="217" fontId="75" fillId="54" borderId="0" applyNumberFormat="0" applyBorder="0" applyAlignment="0" applyProtection="0"/>
    <xf numFmtId="217" fontId="75" fillId="88" borderId="0" applyNumberFormat="0" applyBorder="0" applyAlignment="0" applyProtection="0"/>
    <xf numFmtId="217" fontId="75" fillId="80" borderId="0" applyNumberFormat="0" applyBorder="0" applyAlignment="0" applyProtection="0"/>
    <xf numFmtId="217" fontId="75" fillId="87" borderId="0" applyNumberFormat="0" applyBorder="0" applyAlignment="0" applyProtection="0"/>
    <xf numFmtId="217" fontId="75" fillId="83" borderId="0" applyNumberFormat="0" applyBorder="0" applyAlignment="0" applyProtection="0"/>
    <xf numFmtId="217" fontId="75" fillId="68" borderId="0" applyNumberFormat="0" applyBorder="0" applyAlignment="0" applyProtection="0"/>
    <xf numFmtId="217" fontId="1" fillId="0" borderId="0"/>
    <xf numFmtId="217" fontId="36" fillId="0" borderId="0"/>
    <xf numFmtId="217" fontId="75" fillId="79" borderId="0" applyNumberFormat="0" applyBorder="0" applyAlignment="0" applyProtection="0"/>
    <xf numFmtId="217" fontId="1"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1"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67" fillId="0" borderId="0" applyNumberFormat="0" applyFill="0" applyBorder="0" applyAlignment="0" applyProtection="0"/>
    <xf numFmtId="164" fontId="75" fillId="0" borderId="0" applyFont="0" applyFill="0" applyBorder="0" applyAlignment="0" applyProtection="0"/>
    <xf numFmtId="217" fontId="75" fillId="0" borderId="0"/>
    <xf numFmtId="217" fontId="152" fillId="14" borderId="0" applyNumberFormat="0" applyBorder="0" applyAlignment="0" applyProtection="0"/>
    <xf numFmtId="9" fontId="1" fillId="0" borderId="0" applyFill="0" applyBorder="0" applyAlignment="0" applyProtection="0"/>
    <xf numFmtId="217" fontId="1" fillId="0" borderId="0" applyNumberFormat="0" applyFill="0" applyBorder="0" applyAlignment="0" applyProtection="0"/>
    <xf numFmtId="217" fontId="1"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6" fillId="0" borderId="0" applyNumberFormat="0" applyFill="0" applyBorder="0" applyAlignment="0" applyProtection="0"/>
    <xf numFmtId="217" fontId="15" fillId="8" borderId="18" applyNumberFormat="0" applyFont="0" applyAlignment="0" applyProtection="0"/>
    <xf numFmtId="217" fontId="3" fillId="0" borderId="0" applyNumberFormat="0" applyFill="0" applyBorder="0" applyAlignment="0" applyProtection="0"/>
    <xf numFmtId="217" fontId="22" fillId="0" borderId="2" applyNumberFormat="0" applyFill="0" applyAlignment="0" applyProtection="0"/>
    <xf numFmtId="217" fontId="25" fillId="0" borderId="4" applyNumberFormat="0" applyFill="0" applyAlignment="0" applyProtection="0"/>
    <xf numFmtId="217" fontId="28" fillId="0" borderId="6" applyNumberFormat="0" applyFill="0" applyAlignment="0" applyProtection="0"/>
    <xf numFmtId="217" fontId="28" fillId="0" borderId="0" applyNumberFormat="0" applyFill="0" applyBorder="0" applyAlignment="0" applyProtection="0"/>
    <xf numFmtId="217" fontId="33" fillId="0" borderId="10" applyNumberFormat="0" applyFill="0" applyAlignment="0" applyProtection="0"/>
    <xf numFmtId="217" fontId="62" fillId="13" borderId="14" applyNumberFormat="0" applyAlignment="0" applyProtection="0"/>
    <xf numFmtId="217" fontId="37" fillId="4" borderId="0" applyNumberFormat="0" applyBorder="0" applyAlignment="0" applyProtection="0"/>
    <xf numFmtId="217" fontId="42" fillId="7" borderId="9" applyNumberFormat="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 fillId="0" borderId="0" applyFont="0" applyFill="0" applyBorder="0" applyAlignment="0" applyProtection="0"/>
    <xf numFmtId="217" fontId="15"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94" fillId="0" borderId="0"/>
    <xf numFmtId="217" fontId="1" fillId="0" borderId="0"/>
    <xf numFmtId="217" fontId="1" fillId="0" borderId="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75" fillId="0" borderId="0"/>
    <xf numFmtId="9" fontId="156" fillId="0" borderId="0" applyFont="0" applyFill="0" applyBorder="0" applyAlignment="0" applyProtection="0"/>
    <xf numFmtId="164" fontId="75" fillId="0" borderId="0" applyFont="0" applyFill="0" applyBorder="0" applyAlignment="0" applyProtection="0"/>
    <xf numFmtId="217" fontId="1" fillId="0" borderId="0"/>
    <xf numFmtId="217" fontId="1" fillId="0" borderId="0"/>
    <xf numFmtId="217" fontId="1" fillId="0" borderId="0"/>
    <xf numFmtId="217" fontId="1" fillId="0" borderId="0"/>
    <xf numFmtId="217" fontId="156" fillId="0" borderId="0"/>
    <xf numFmtId="217" fontId="156" fillId="0" borderId="0"/>
    <xf numFmtId="217" fontId="156" fillId="0" borderId="0"/>
    <xf numFmtId="217" fontId="156" fillId="0" borderId="0"/>
    <xf numFmtId="217" fontId="156" fillId="0" borderId="0" applyNumberFormat="0" applyFill="0" applyBorder="0" applyAlignment="0" applyProtection="0"/>
    <xf numFmtId="217" fontId="1" fillId="0" borderId="0"/>
    <xf numFmtId="217" fontId="75"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alignment wrapText="1"/>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9" fontId="156"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156"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56" fillId="0" borderId="0" applyNumberFormat="0" applyFill="0" applyBorder="0" applyAlignment="0" applyProtection="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9" fontId="75" fillId="0" borderId="0" applyFont="0" applyFill="0" applyBorder="0" applyAlignment="0" applyProtection="0"/>
    <xf numFmtId="217" fontId="159" fillId="0" borderId="0" applyFont="0" applyFill="0" applyBorder="0" applyAlignment="0" applyProtection="0"/>
    <xf numFmtId="217" fontId="64" fillId="0" borderId="0" applyNumberFormat="0" applyFill="0" applyBorder="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72" fillId="0" borderId="22" applyNumberFormat="0" applyFill="0" applyAlignment="0" applyProtection="0"/>
    <xf numFmtId="217" fontId="45" fillId="0" borderId="0" applyNumberFormat="0" applyFill="0" applyBorder="0" applyAlignment="0" applyProtection="0"/>
    <xf numFmtId="217" fontId="73" fillId="43" borderId="11" applyNumberFormat="0" applyAlignment="0" applyProtection="0"/>
    <xf numFmtId="217" fontId="165" fillId="13" borderId="9" applyNumberFormat="0" applyAlignment="0" applyProtection="0"/>
    <xf numFmtId="217" fontId="49" fillId="3" borderId="0" applyNumberFormat="0" applyBorder="0" applyAlignment="0" applyProtection="0"/>
    <xf numFmtId="217" fontId="17" fillId="35"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9" borderId="0" applyNumberFormat="0" applyBorder="0" applyAlignment="0" applyProtection="0"/>
    <xf numFmtId="217" fontId="17" fillId="27" borderId="0" applyNumberFormat="0" applyBorder="0" applyAlignment="0" applyProtection="0"/>
    <xf numFmtId="217" fontId="17" fillId="42" borderId="0" applyNumberFormat="0" applyBorder="0" applyAlignment="0" applyProtection="0"/>
    <xf numFmtId="217" fontId="17" fillId="18" borderId="0" applyNumberFormat="0" applyBorder="0" applyAlignment="0" applyProtection="0"/>
    <xf numFmtId="217" fontId="17" fillId="17" borderId="0" applyNumberFormat="0" applyBorder="0" applyAlignment="0" applyProtection="0"/>
    <xf numFmtId="217" fontId="17" fillId="16" borderId="0" applyNumberFormat="0" applyBorder="0" applyAlignment="0" applyProtection="0"/>
    <xf numFmtId="217" fontId="17" fillId="11" borderId="0" applyNumberFormat="0" applyBorder="0" applyAlignment="0" applyProtection="0"/>
    <xf numFmtId="217" fontId="17" fillId="10" borderId="0" applyNumberFormat="0" applyBorder="0" applyAlignment="0" applyProtection="0"/>
    <xf numFmtId="217" fontId="17" fillId="15" borderId="0" applyNumberFormat="0" applyBorder="0" applyAlignment="0" applyProtection="0"/>
    <xf numFmtId="217" fontId="15" fillId="12" borderId="0" applyNumberFormat="0" applyBorder="0" applyAlignment="0" applyProtection="0"/>
    <xf numFmtId="217" fontId="15" fillId="9" borderId="0" applyNumberFormat="0" applyBorder="0" applyAlignment="0" applyProtection="0"/>
    <xf numFmtId="217" fontId="15" fillId="5" borderId="0" applyNumberFormat="0" applyBorder="0" applyAlignment="0" applyProtection="0"/>
    <xf numFmtId="217" fontId="15" fillId="11" borderId="0" applyNumberFormat="0" applyBorder="0" applyAlignment="0" applyProtection="0"/>
    <xf numFmtId="217" fontId="15" fillId="10" borderId="0" applyNumberFormat="0" applyBorder="0" applyAlignment="0" applyProtection="0"/>
    <xf numFmtId="217" fontId="15" fillId="9" borderId="0" applyNumberFormat="0" applyBorder="0" applyAlignment="0" applyProtection="0"/>
    <xf numFmtId="217" fontId="15" fillId="7" borderId="0" applyNumberFormat="0" applyBorder="0" applyAlignment="0" applyProtection="0"/>
    <xf numFmtId="217" fontId="15" fillId="6" borderId="0" applyNumberFormat="0" applyBorder="0" applyAlignment="0" applyProtection="0"/>
    <xf numFmtId="217" fontId="15" fillId="5" borderId="0" applyNumberFormat="0" applyBorder="0" applyAlignment="0" applyProtection="0"/>
    <xf numFmtId="217" fontId="15" fillId="4" borderId="0" applyNumberFormat="0" applyBorder="0" applyAlignment="0" applyProtection="0"/>
    <xf numFmtId="217" fontId="15" fillId="3" borderId="0" applyNumberFormat="0" applyBorder="0" applyAlignment="0" applyProtection="0"/>
    <xf numFmtId="217" fontId="15" fillId="2" borderId="0" applyNumberFormat="0" applyBorder="0" applyAlignment="0" applyProtection="0"/>
    <xf numFmtId="217" fontId="1"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0" borderId="0" applyNumberFormat="0" applyFill="0" applyBorder="0" applyAlignment="0" applyProtection="0"/>
    <xf numFmtId="217" fontId="75" fillId="0" borderId="0" applyNumberFormat="0" applyFill="0" applyBorder="0" applyAlignment="0" applyProtection="0"/>
    <xf numFmtId="217" fontId="1" fillId="0" borderId="0"/>
    <xf numFmtId="217" fontId="1" fillId="0" borderId="0"/>
    <xf numFmtId="217" fontId="1" fillId="0" borderId="0"/>
    <xf numFmtId="217" fontId="1" fillId="0" borderId="0"/>
    <xf numFmtId="164" fontId="166" fillId="0" borderId="0" applyFont="0" applyFill="0" applyBorder="0" applyAlignment="0" applyProtection="0"/>
    <xf numFmtId="217" fontId="1" fillId="0" borderId="0" applyFont="0" applyFill="0" applyBorder="0" applyAlignment="0" applyProtection="0"/>
    <xf numFmtId="9" fontId="166" fillId="0" borderId="0" applyFont="0" applyFill="0" applyBorder="0" applyAlignment="0" applyProtection="0"/>
    <xf numFmtId="164" fontId="1" fillId="0" borderId="0" applyFont="0" applyFill="0" applyBorder="0" applyAlignment="0" applyProtection="0"/>
    <xf numFmtId="208" fontId="1" fillId="0" borderId="0" applyFont="0" applyFill="0" applyBorder="0" applyAlignment="0" applyProtection="0"/>
    <xf numFmtId="217" fontId="1" fillId="0" borderId="0"/>
    <xf numFmtId="217" fontId="1" fillId="0" borderId="0"/>
    <xf numFmtId="217" fontId="1" fillId="0" borderId="0"/>
    <xf numFmtId="217" fontId="167" fillId="0" borderId="0"/>
    <xf numFmtId="217" fontId="1" fillId="0" borderId="0"/>
    <xf numFmtId="217" fontId="1" fillId="0" borderId="0" applyFont="0" applyFill="0" applyBorder="0" applyAlignment="0" applyProtection="0"/>
    <xf numFmtId="217" fontId="168" fillId="0" borderId="0" applyNumberFormat="0" applyFill="0" applyBorder="0" applyAlignment="0" applyProtection="0">
      <alignment vertical="top"/>
      <protection locked="0"/>
    </xf>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1" fillId="0" borderId="0"/>
    <xf numFmtId="217" fontId="57" fillId="0" borderId="0"/>
    <xf numFmtId="217" fontId="75" fillId="0" borderId="0"/>
    <xf numFmtId="217" fontId="75" fillId="0" borderId="0"/>
    <xf numFmtId="217" fontId="75" fillId="0" borderId="0"/>
    <xf numFmtId="217" fontId="1" fillId="0" borderId="0"/>
    <xf numFmtId="217" fontId="1" fillId="0" borderId="0"/>
    <xf numFmtId="217" fontId="75" fillId="0" borderId="0" applyNumberFormat="0" applyFill="0" applyBorder="0" applyAlignment="0" applyProtection="0"/>
    <xf numFmtId="217" fontId="159" fillId="0" borderId="0" applyFont="0" applyFill="0" applyBorder="0" applyAlignment="0" applyProtection="0"/>
    <xf numFmtId="217" fontId="75" fillId="0" borderId="0"/>
    <xf numFmtId="217" fontId="75" fillId="0" borderId="0"/>
    <xf numFmtId="9" fontId="130" fillId="0" borderId="0" applyFont="0" applyFill="0" applyBorder="0" applyAlignment="0" applyProtection="0"/>
    <xf numFmtId="217" fontId="130" fillId="0" borderId="0"/>
    <xf numFmtId="217" fontId="1" fillId="0" borderId="0">
      <alignment wrapText="1"/>
    </xf>
    <xf numFmtId="217" fontId="75" fillId="0" borderId="0"/>
    <xf numFmtId="217" fontId="1" fillId="0" borderId="0"/>
    <xf numFmtId="217" fontId="156" fillId="0" borderId="0"/>
    <xf numFmtId="217" fontId="156" fillId="0" borderId="0" applyNumberFormat="0" applyFill="0" applyBorder="0" applyAlignment="0" applyProtection="0"/>
    <xf numFmtId="217" fontId="1" fillId="0" borderId="0"/>
    <xf numFmtId="217" fontId="1" fillId="0" borderId="0"/>
    <xf numFmtId="217" fontId="75" fillId="0" borderId="0"/>
    <xf numFmtId="217" fontId="159" fillId="0" borderId="0"/>
    <xf numFmtId="217" fontId="75" fillId="0" borderId="0"/>
    <xf numFmtId="217" fontId="159" fillId="0" borderId="0"/>
    <xf numFmtId="217" fontId="75" fillId="0" borderId="0"/>
    <xf numFmtId="217" fontId="159" fillId="0" borderId="0"/>
    <xf numFmtId="217" fontId="159"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75" fillId="0" borderId="0"/>
    <xf numFmtId="217" fontId="75" fillId="0" borderId="0"/>
    <xf numFmtId="217" fontId="1" fillId="0" borderId="0"/>
    <xf numFmtId="217" fontId="75" fillId="0" borderId="0"/>
    <xf numFmtId="217" fontId="159" fillId="0" borderId="0"/>
    <xf numFmtId="217" fontId="75" fillId="0" borderId="0"/>
    <xf numFmtId="217" fontId="1" fillId="0" borderId="0">
      <alignment wrapText="1"/>
    </xf>
    <xf numFmtId="217" fontId="75" fillId="0" borderId="0"/>
    <xf numFmtId="217" fontId="75" fillId="0" borderId="0"/>
    <xf numFmtId="217" fontId="1" fillId="0" borderId="0"/>
    <xf numFmtId="217" fontId="1" fillId="0" borderId="0"/>
    <xf numFmtId="217" fontId="156" fillId="0" borderId="0"/>
    <xf numFmtId="217" fontId="75" fillId="0" borderId="0"/>
    <xf numFmtId="217" fontId="75" fillId="0" borderId="0"/>
    <xf numFmtId="217" fontId="1" fillId="0" borderId="0"/>
    <xf numFmtId="217" fontId="1" fillId="0" borderId="0"/>
    <xf numFmtId="217" fontId="1" fillId="0" borderId="0"/>
    <xf numFmtId="217" fontId="1" fillId="0" borderId="0"/>
    <xf numFmtId="217" fontId="57" fillId="0" borderId="0"/>
    <xf numFmtId="217" fontId="161" fillId="0" borderId="0"/>
    <xf numFmtId="217" fontId="1" fillId="0" borderId="0"/>
    <xf numFmtId="217" fontId="161"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4" fontId="16" fillId="52" borderId="14" applyNumberFormat="0" applyProtection="0">
      <alignment horizontal="right" vertical="center"/>
    </xf>
    <xf numFmtId="217" fontId="1" fillId="0" borderId="0"/>
    <xf numFmtId="217" fontId="75" fillId="0" borderId="0"/>
    <xf numFmtId="217" fontId="75" fillId="0" borderId="0"/>
    <xf numFmtId="9" fontId="75" fillId="0" borderId="0" applyFont="0" applyFill="0" applyBorder="0" applyAlignment="0" applyProtection="0"/>
    <xf numFmtId="164" fontId="75" fillId="0" borderId="0" applyFon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4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217" fontId="75" fillId="0" borderId="0"/>
    <xf numFmtId="217" fontId="75" fillId="0" borderId="0"/>
    <xf numFmtId="217" fontId="75" fillId="68" borderId="0" applyNumberFormat="0" applyBorder="0" applyAlignment="0" applyProtection="0"/>
    <xf numFmtId="217" fontId="75" fillId="68" borderId="0" applyNumberFormat="0" applyBorder="0" applyAlignment="0" applyProtection="0"/>
    <xf numFmtId="217" fontId="75" fillId="72" borderId="0" applyNumberFormat="0" applyBorder="0" applyAlignment="0" applyProtection="0"/>
    <xf numFmtId="217" fontId="75" fillId="72" borderId="0" applyNumberFormat="0" applyBorder="0" applyAlignment="0" applyProtection="0"/>
    <xf numFmtId="217" fontId="75" fillId="54" borderId="0" applyNumberFormat="0" applyBorder="0" applyAlignment="0" applyProtection="0"/>
    <xf numFmtId="217" fontId="75" fillId="54" borderId="0" applyNumberFormat="0" applyBorder="0" applyAlignment="0" applyProtection="0"/>
    <xf numFmtId="217" fontId="75" fillId="79" borderId="0" applyNumberFormat="0" applyBorder="0" applyAlignment="0" applyProtection="0"/>
    <xf numFmtId="217" fontId="75" fillId="79" borderId="0" applyNumberFormat="0" applyBorder="0" applyAlignment="0" applyProtection="0"/>
    <xf numFmtId="217" fontId="75" fillId="83" borderId="0" applyNumberFormat="0" applyBorder="0" applyAlignment="0" applyProtection="0"/>
    <xf numFmtId="217" fontId="75" fillId="83" borderId="0" applyNumberFormat="0" applyBorder="0" applyAlignment="0" applyProtection="0"/>
    <xf numFmtId="217" fontId="75" fillId="87" borderId="0" applyNumberFormat="0" applyBorder="0" applyAlignment="0" applyProtection="0"/>
    <xf numFmtId="217" fontId="75" fillId="8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75" fillId="73" borderId="0" applyNumberFormat="0" applyBorder="0" applyAlignment="0" applyProtection="0"/>
    <xf numFmtId="217" fontId="75" fillId="73" borderId="0" applyNumberFormat="0" applyBorder="0" applyAlignment="0" applyProtection="0"/>
    <xf numFmtId="217" fontId="75" fillId="76" borderId="0" applyNumberFormat="0" applyBorder="0" applyAlignment="0" applyProtection="0"/>
    <xf numFmtId="217" fontId="75" fillId="76" borderId="0" applyNumberFormat="0" applyBorder="0" applyAlignment="0" applyProtection="0"/>
    <xf numFmtId="217" fontId="75" fillId="80" borderId="0" applyNumberFormat="0" applyBorder="0" applyAlignment="0" applyProtection="0"/>
    <xf numFmtId="217" fontId="75" fillId="80" borderId="0" applyNumberFormat="0" applyBorder="0" applyAlignment="0" applyProtection="0"/>
    <xf numFmtId="217" fontId="75" fillId="84" borderId="0" applyNumberFormat="0" applyBorder="0" applyAlignment="0" applyProtection="0"/>
    <xf numFmtId="217" fontId="75" fillId="84" borderId="0" applyNumberFormat="0" applyBorder="0" applyAlignment="0" applyProtection="0"/>
    <xf numFmtId="217" fontId="75" fillId="88" borderId="0" applyNumberFormat="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9" fontId="75" fillId="0" borderId="0" applyFont="0" applyFill="0" applyBorder="0" applyAlignment="0" applyProtection="0"/>
    <xf numFmtId="217" fontId="75" fillId="0" borderId="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16" fillId="0" borderId="0">
      <alignment vertical="top"/>
    </xf>
    <xf numFmtId="217" fontId="1" fillId="0" borderId="0" applyNumberFormat="0" applyFill="0" applyBorder="0" applyAlignment="0" applyProtection="0"/>
    <xf numFmtId="217" fontId="75" fillId="68" borderId="0" applyNumberFormat="0" applyBorder="0" applyAlignment="0" applyProtection="0"/>
    <xf numFmtId="217" fontId="75" fillId="68"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2"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3"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4"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6"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15" fillId="7" borderId="0" applyNumberFormat="0" applyBorder="0" applyAlignment="0" applyProtection="0"/>
    <xf numFmtId="217" fontId="75" fillId="69" borderId="0" applyNumberFormat="0" applyBorder="0" applyAlignment="0" applyProtection="0"/>
    <xf numFmtId="217" fontId="75" fillId="6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0"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11"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5"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9"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5" fillId="12"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5"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0"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1"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7" fillId="18"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7" fillId="42" borderId="0" applyNumberFormat="0" applyBorder="0" applyAlignment="0" applyProtection="0"/>
    <xf numFmtId="217" fontId="18" fillId="23" borderId="0" applyNumberFormat="0" applyBorder="0" applyAlignment="0" applyProtection="0"/>
    <xf numFmtId="217" fontId="16" fillId="24" borderId="0" applyNumberFormat="0" applyBorder="0" applyAlignment="0" applyProtection="0"/>
    <xf numFmtId="217" fontId="16" fillId="25" borderId="0" applyNumberFormat="0" applyBorder="0" applyAlignment="0" applyProtection="0"/>
    <xf numFmtId="217" fontId="18" fillId="26"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7" fillId="27" borderId="0" applyNumberFormat="0" applyBorder="0" applyAlignment="0" applyProtection="0"/>
    <xf numFmtId="217" fontId="18" fillId="26" borderId="0" applyNumberFormat="0" applyBorder="0" applyAlignment="0" applyProtection="0"/>
    <xf numFmtId="217" fontId="16" fillId="24" borderId="0" applyNumberFormat="0" applyBorder="0" applyAlignment="0" applyProtection="0"/>
    <xf numFmtId="217" fontId="16" fillId="28" borderId="0" applyNumberFormat="0" applyBorder="0" applyAlignment="0" applyProtection="0"/>
    <xf numFmtId="217" fontId="18" fillId="25"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7" fillId="19" borderId="0" applyNumberFormat="0" applyBorder="0" applyAlignment="0" applyProtection="0"/>
    <xf numFmtId="217" fontId="18" fillId="20" borderId="0" applyNumberFormat="0" applyBorder="0" applyAlignment="0" applyProtection="0"/>
    <xf numFmtId="217" fontId="16" fillId="21" borderId="0" applyNumberFormat="0" applyBorder="0" applyAlignment="0" applyProtection="0"/>
    <xf numFmtId="217" fontId="16" fillId="25" borderId="0" applyNumberFormat="0" applyBorder="0" applyAlignment="0" applyProtection="0"/>
    <xf numFmtId="217" fontId="18" fillId="25"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7" fillId="16" borderId="0" applyNumberFormat="0" applyBorder="0" applyAlignment="0" applyProtection="0"/>
    <xf numFmtId="217" fontId="18" fillId="31" borderId="0" applyNumberFormat="0" applyBorder="0" applyAlignment="0" applyProtection="0"/>
    <xf numFmtId="217" fontId="16" fillId="32" borderId="0" applyNumberFormat="0" applyBorder="0" applyAlignment="0" applyProtection="0"/>
    <xf numFmtId="217" fontId="16" fillId="21" borderId="0" applyNumberFormat="0" applyBorder="0" applyAlignment="0" applyProtection="0"/>
    <xf numFmtId="217" fontId="18" fillId="22"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7" fillId="17" borderId="0" applyNumberFormat="0" applyBorder="0" applyAlignment="0" applyProtection="0"/>
    <xf numFmtId="217" fontId="18" fillId="33" borderId="0" applyNumberFormat="0" applyBorder="0" applyAlignment="0" applyProtection="0"/>
    <xf numFmtId="217" fontId="16" fillId="24" borderId="0" applyNumberFormat="0" applyBorder="0" applyAlignment="0" applyProtection="0"/>
    <xf numFmtId="217" fontId="16" fillId="34" borderId="0" applyNumberFormat="0" applyBorder="0" applyAlignment="0" applyProtection="0"/>
    <xf numFmtId="217" fontId="18" fillId="34"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17" fillId="35" borderId="0" applyNumberFormat="0" applyBorder="0" applyAlignment="0" applyProtection="0"/>
    <xf numFmtId="217" fontId="20" fillId="36"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49" fillId="3" borderId="0" applyNumberFormat="0" applyBorder="0" applyAlignment="0" applyProtection="0"/>
    <xf numFmtId="217" fontId="169" fillId="0" borderId="12" applyNumberFormat="0" applyBorder="0" applyProtection="0">
      <alignment horizontal="center"/>
    </xf>
    <xf numFmtId="217" fontId="169" fillId="0" borderId="12" applyNumberFormat="0" applyBorder="0" applyProtection="0">
      <alignment horizontal="center"/>
    </xf>
    <xf numFmtId="217" fontId="31" fillId="41"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165" fillId="13" borderId="9" applyNumberFormat="0" applyAlignment="0" applyProtection="0"/>
    <xf numFmtId="217" fontId="31" fillId="41" borderId="9" applyNumberFormat="0" applyAlignment="0" applyProtection="0"/>
    <xf numFmtId="217" fontId="31" fillId="41" borderId="9" applyNumberFormat="0" applyAlignment="0" applyProtection="0"/>
    <xf numFmtId="217" fontId="31" fillId="41" borderId="9" applyNumberFormat="0" applyAlignment="0" applyProtection="0"/>
    <xf numFmtId="217" fontId="35" fillId="26"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73" fillId="43" borderId="11" applyNumberFormat="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41" fillId="44" borderId="0" applyNumberFormat="0" applyBorder="0" applyAlignment="0" applyProtection="0"/>
    <xf numFmtId="217" fontId="41" fillId="45" borderId="0" applyNumberFormat="0" applyBorder="0" applyAlignment="0" applyProtection="0"/>
    <xf numFmtId="217" fontId="41" fillId="46" borderId="0" applyNumberFormat="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45" fillId="0" borderId="0" applyNumberFormat="0" applyFill="0" applyBorder="0" applyAlignment="0" applyProtection="0"/>
    <xf numFmtId="217" fontId="38" fillId="28"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37" fillId="4" borderId="0" applyNumberFormat="0" applyBorder="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2" fillId="0" borderId="2" applyNumberFormat="0" applyFill="0" applyAlignment="0" applyProtection="0"/>
    <xf numFmtId="217" fontId="170" fillId="0" borderId="0">
      <protection locked="0"/>
    </xf>
    <xf numFmtId="217" fontId="170" fillId="0" borderId="0">
      <protection locked="0"/>
    </xf>
    <xf numFmtId="217" fontId="170" fillId="0" borderId="0">
      <protection locked="0"/>
    </xf>
    <xf numFmtId="217" fontId="170" fillId="0" borderId="0">
      <protection locked="0"/>
    </xf>
    <xf numFmtId="217" fontId="25" fillId="0" borderId="4" applyNumberFormat="0" applyFill="0" applyAlignment="0" applyProtection="0"/>
    <xf numFmtId="217" fontId="171" fillId="0" borderId="104"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28" fillId="0" borderId="6" applyNumberFormat="0" applyFill="0" applyAlignment="0" applyProtection="0"/>
    <xf numFmtId="217" fontId="171"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28" fillId="0" borderId="0" applyNumberFormat="0" applyFill="0" applyBorder="0" applyAlignment="0" applyProtection="0"/>
    <xf numFmtId="217" fontId="43" fillId="34"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2" fillId="7" borderId="9" applyNumberFormat="0" applyAlignment="0" applyProtection="0"/>
    <xf numFmtId="217" fontId="43" fillId="34" borderId="9" applyNumberFormat="0" applyAlignment="0" applyProtection="0"/>
    <xf numFmtId="217" fontId="43" fillId="34" borderId="9" applyNumberFormat="0" applyAlignment="0" applyProtection="0"/>
    <xf numFmtId="217" fontId="43" fillId="34" borderId="9" applyNumberFormat="0" applyAlignment="0" applyProtection="0"/>
    <xf numFmtId="217" fontId="172"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33" fillId="0" borderId="10" applyNumberFormat="0" applyFill="0" applyAlignment="0" applyProtection="0"/>
    <xf numFmtId="217" fontId="53" fillId="49"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52" fillId="14" borderId="0" applyNumberFormat="0" applyBorder="0" applyAlignment="0" applyProtection="0"/>
    <xf numFmtId="217" fontId="1" fillId="0" borderId="0">
      <alignment vertical="top"/>
    </xf>
    <xf numFmtId="217" fontId="1" fillId="0" borderId="0">
      <alignment vertical="top"/>
    </xf>
    <xf numFmtId="217" fontId="1" fillId="0" borderId="0">
      <alignment vertical="top"/>
    </xf>
    <xf numFmtId="217" fontId="1" fillId="0" borderId="0"/>
    <xf numFmtId="217" fontId="1" fillId="0" borderId="0"/>
    <xf numFmtId="217" fontId="1" fillId="0" borderId="0"/>
    <xf numFmtId="217" fontId="75" fillId="0" borderId="0"/>
    <xf numFmtId="217" fontId="75" fillId="0" borderId="0"/>
    <xf numFmtId="217" fontId="1" fillId="0" borderId="0">
      <alignment wrapText="1"/>
    </xf>
    <xf numFmtId="217" fontId="1" fillId="0" borderId="0"/>
    <xf numFmtId="217" fontId="75" fillId="0" borderId="0"/>
    <xf numFmtId="217" fontId="156" fillId="0" borderId="0"/>
    <xf numFmtId="217" fontId="75" fillId="0" borderId="0"/>
    <xf numFmtId="217" fontId="1" fillId="0" borderId="0"/>
    <xf numFmtId="217" fontId="1" fillId="0" borderId="0"/>
    <xf numFmtId="217" fontId="1" fillId="0" borderId="0"/>
    <xf numFmtId="217" fontId="1" fillId="0" borderId="0"/>
    <xf numFmtId="217" fontId="1" fillId="0" borderId="0"/>
    <xf numFmtId="217" fontId="15" fillId="0" borderId="0">
      <alignment vertical="top"/>
    </xf>
    <xf numFmtId="217" fontId="1" fillId="0" borderId="0"/>
    <xf numFmtId="217" fontId="1" fillId="0" borderId="0"/>
    <xf numFmtId="217" fontId="1" fillId="0" borderId="0"/>
    <xf numFmtId="217" fontId="1" fillId="0" borderId="0"/>
    <xf numFmtId="217" fontId="1" fillId="0" borderId="0"/>
    <xf numFmtId="217" fontId="1" fillId="0" borderId="0"/>
    <xf numFmtId="217" fontId="1" fillId="0" borderId="0">
      <alignment vertical="top"/>
    </xf>
    <xf numFmtId="217" fontId="1" fillId="0" borderId="0">
      <alignment vertical="top"/>
    </xf>
    <xf numFmtId="217" fontId="1" fillId="0" borderId="0"/>
    <xf numFmtId="217" fontId="1" fillId="0" borderId="0">
      <alignment vertical="top"/>
    </xf>
    <xf numFmtId="217" fontId="1" fillId="24" borderId="18" applyNumberFormat="0" applyFont="0" applyAlignment="0" applyProtection="0"/>
    <xf numFmtId="217" fontId="1" fillId="24" borderId="18" applyNumberFormat="0" applyFont="0" applyAlignment="0" applyProtection="0"/>
    <xf numFmtId="217" fontId="1" fillId="24"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5"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8" borderId="18" applyNumberFormat="0" applyFont="0" applyAlignment="0" applyProtection="0"/>
    <xf numFmtId="217" fontId="1" fillId="24" borderId="18" applyNumberFormat="0" applyFon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0" fillId="41"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2" fillId="13" borderId="14" applyNumberFormat="0" applyAlignment="0" applyProtection="0"/>
    <xf numFmtId="217" fontId="63" fillId="0" borderId="0" applyNumberFormat="0" applyFill="0" applyBorder="0" applyAlignment="0" applyProtection="0"/>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16" fillId="0" borderId="0">
      <alignment vertical="top"/>
    </xf>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67" fillId="0" borderId="0" applyNumberFormat="0" applyFill="0" applyBorder="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0" fontId="78" fillId="0" borderId="25" applyNumberFormat="0" applyFill="0" applyAlignment="0" applyProtection="0"/>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170" fillId="0" borderId="105">
      <protection locked="0"/>
    </xf>
    <xf numFmtId="217" fontId="65"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64" fillId="0" borderId="0" applyNumberFormat="0" applyFill="0" applyBorder="0" applyAlignment="0" applyProtection="0"/>
    <xf numFmtId="217" fontId="75" fillId="0" borderId="0"/>
    <xf numFmtId="4" fontId="16" fillId="52" borderId="14" applyNumberFormat="0" applyProtection="0">
      <alignment horizontal="right" vertical="center"/>
    </xf>
    <xf numFmtId="9" fontId="75" fillId="0" borderId="0" applyFont="0" applyFill="0" applyBorder="0" applyAlignment="0" applyProtection="0"/>
    <xf numFmtId="217" fontId="36" fillId="0" borderId="0"/>
    <xf numFmtId="217" fontId="77" fillId="0" borderId="24" applyNumberFormat="0" applyFill="0" applyAlignment="0" applyProtection="0"/>
    <xf numFmtId="217" fontId="78" fillId="0" borderId="25" applyNumberFormat="0" applyFill="0" applyAlignment="0" applyProtection="0"/>
    <xf numFmtId="217" fontId="79" fillId="0" borderId="26" applyNumberFormat="0" applyFill="0" applyAlignment="0" applyProtection="0"/>
    <xf numFmtId="217" fontId="79" fillId="0" borderId="0" applyNumberFormat="0" applyFill="0" applyBorder="0" applyAlignment="0" applyProtection="0"/>
    <xf numFmtId="217" fontId="83" fillId="56" borderId="0" applyNumberFormat="0" applyBorder="0" applyAlignment="0" applyProtection="0"/>
    <xf numFmtId="217" fontId="144" fillId="65" borderId="0" applyNumberFormat="0" applyBorder="0" applyAlignment="0" applyProtection="0"/>
    <xf numFmtId="217" fontId="155" fillId="58" borderId="0" applyNumberFormat="0" applyBorder="0" applyAlignment="0" applyProtection="0"/>
    <xf numFmtId="217" fontId="85" fillId="57" borderId="28" applyNumberFormat="0" applyAlignment="0" applyProtection="0"/>
    <xf numFmtId="217" fontId="145" fillId="55" borderId="99" applyNumberFormat="0" applyAlignment="0" applyProtection="0"/>
    <xf numFmtId="217" fontId="146" fillId="55" borderId="28" applyNumberFormat="0" applyAlignment="0" applyProtection="0"/>
    <xf numFmtId="217" fontId="82" fillId="0" borderId="29" applyNumberFormat="0" applyFill="0" applyAlignment="0" applyProtection="0"/>
    <xf numFmtId="217" fontId="147" fillId="66" borderId="100" applyNumberFormat="0" applyAlignment="0" applyProtection="0"/>
    <xf numFmtId="217" fontId="102" fillId="0" borderId="0" applyNumberFormat="0" applyFill="0" applyBorder="0" applyAlignment="0" applyProtection="0"/>
    <xf numFmtId="217" fontId="148" fillId="0" borderId="0" applyNumberFormat="0" applyFill="0" applyBorder="0" applyAlignment="0" applyProtection="0"/>
    <xf numFmtId="217" fontId="149" fillId="0" borderId="101" applyNumberFormat="0" applyFill="0" applyAlignment="0" applyProtection="0"/>
    <xf numFmtId="217" fontId="143" fillId="67" borderId="0" applyNumberFormat="0" applyBorder="0" applyAlignment="0" applyProtection="0"/>
    <xf numFmtId="217" fontId="143" fillId="70" borderId="0" applyNumberFormat="0" applyBorder="0" applyAlignment="0" applyProtection="0"/>
    <xf numFmtId="217" fontId="143" fillId="71" borderId="0" applyNumberFormat="0" applyBorder="0" applyAlignment="0" applyProtection="0"/>
    <xf numFmtId="217" fontId="75" fillId="72" borderId="0" applyNumberFormat="0" applyBorder="0" applyAlignment="0" applyProtection="0"/>
    <xf numFmtId="217" fontId="75" fillId="73" borderId="0" applyNumberFormat="0" applyBorder="0" applyAlignment="0" applyProtection="0"/>
    <xf numFmtId="217" fontId="143" fillId="74" borderId="0" applyNumberFormat="0" applyBorder="0" applyAlignment="0" applyProtection="0"/>
    <xf numFmtId="217" fontId="143" fillId="75" borderId="0" applyNumberFormat="0" applyBorder="0" applyAlignment="0" applyProtection="0"/>
    <xf numFmtId="217" fontId="75" fillId="54" borderId="0" applyNumberFormat="0" applyBorder="0" applyAlignment="0" applyProtection="0"/>
    <xf numFmtId="217" fontId="75" fillId="76" borderId="0" applyNumberFormat="0" applyBorder="0" applyAlignment="0" applyProtection="0"/>
    <xf numFmtId="217" fontId="143" fillId="77" borderId="0" applyNumberFormat="0" applyBorder="0" applyAlignment="0" applyProtection="0"/>
    <xf numFmtId="217" fontId="143" fillId="78" borderId="0" applyNumberFormat="0" applyBorder="0" applyAlignment="0" applyProtection="0"/>
    <xf numFmtId="217" fontId="75" fillId="79" borderId="0" applyNumberFormat="0" applyBorder="0" applyAlignment="0" applyProtection="0"/>
    <xf numFmtId="217" fontId="75" fillId="80" borderId="0" applyNumberFormat="0" applyBorder="0" applyAlignment="0" applyProtection="0"/>
    <xf numFmtId="217" fontId="143" fillId="81" borderId="0" applyNumberFormat="0" applyBorder="0" applyAlignment="0" applyProtection="0"/>
    <xf numFmtId="217" fontId="143" fillId="82" borderId="0" applyNumberFormat="0" applyBorder="0" applyAlignment="0" applyProtection="0"/>
    <xf numFmtId="217" fontId="75" fillId="83" borderId="0" applyNumberFormat="0" applyBorder="0" applyAlignment="0" applyProtection="0"/>
    <xf numFmtId="217" fontId="75" fillId="84" borderId="0" applyNumberFormat="0" applyBorder="0" applyAlignment="0" applyProtection="0"/>
    <xf numFmtId="217" fontId="143" fillId="85" borderId="0" applyNumberFormat="0" applyBorder="0" applyAlignment="0" applyProtection="0"/>
    <xf numFmtId="217" fontId="143" fillId="86" borderId="0" applyNumberFormat="0" applyBorder="0" applyAlignment="0" applyProtection="0"/>
    <xf numFmtId="217" fontId="75" fillId="87" borderId="0" applyNumberFormat="0" applyBorder="0" applyAlignment="0" applyProtection="0"/>
    <xf numFmtId="217" fontId="75" fillId="88" borderId="0" applyNumberFormat="0" applyBorder="0" applyAlignment="0" applyProtection="0"/>
    <xf numFmtId="217" fontId="143" fillId="89" borderId="0" applyNumberFormat="0" applyBorder="0" applyAlignment="0" applyProtection="0"/>
    <xf numFmtId="217" fontId="1" fillId="0" borderId="0"/>
    <xf numFmtId="217" fontId="75" fillId="0" borderId="0"/>
    <xf numFmtId="217" fontId="36" fillId="0" borderId="0"/>
    <xf numFmtId="217" fontId="75" fillId="0" borderId="0"/>
    <xf numFmtId="217" fontId="1" fillId="0" borderId="0" applyFont="0" applyFill="0" applyBorder="0" applyAlignment="0" applyProtection="0"/>
    <xf numFmtId="217" fontId="36" fillId="0" borderId="0"/>
    <xf numFmtId="217" fontId="36" fillId="0" borderId="0"/>
    <xf numFmtId="217" fontId="75" fillId="0" borderId="0"/>
    <xf numFmtId="217" fontId="75" fillId="0" borderId="0"/>
    <xf numFmtId="217" fontId="75" fillId="0" borderId="0"/>
    <xf numFmtId="217" fontId="1" fillId="0" borderId="0"/>
    <xf numFmtId="217" fontId="36" fillId="0" borderId="0"/>
    <xf numFmtId="217" fontId="1"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36"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75" fillId="0" borderId="0"/>
    <xf numFmtId="217" fontId="1" fillId="0" borderId="0"/>
    <xf numFmtId="217" fontId="1" fillId="0" borderId="0"/>
    <xf numFmtId="217" fontId="1" fillId="0" borderId="0"/>
    <xf numFmtId="9" fontId="75" fillId="0" borderId="0" applyFont="0" applyFill="0" applyBorder="0" applyAlignment="0" applyProtection="0"/>
    <xf numFmtId="217" fontId="75" fillId="0" borderId="0" applyNumberFormat="0" applyFill="0" applyBorder="0" applyAlignment="0" applyProtection="0"/>
    <xf numFmtId="217" fontId="75" fillId="0" borderId="0"/>
    <xf numFmtId="217" fontId="75" fillId="0" borderId="0"/>
    <xf numFmtId="44" fontId="75" fillId="0" borderId="0" applyFont="0" applyFill="0" applyBorder="0" applyAlignment="0" applyProtection="0"/>
    <xf numFmtId="9" fontId="75" fillId="0" borderId="0" applyFont="0" applyFill="0" applyBorder="0" applyAlignment="0" applyProtection="0"/>
    <xf numFmtId="217" fontId="18" fillId="20" borderId="0" applyNumberFormat="0" applyBorder="0" applyAlignment="0" applyProtection="0"/>
    <xf numFmtId="217" fontId="18" fillId="23" borderId="0" applyNumberFormat="0" applyBorder="0" applyAlignment="0" applyProtection="0"/>
    <xf numFmtId="217" fontId="18" fillId="26" borderId="0" applyNumberFormat="0" applyBorder="0" applyAlignment="0" applyProtection="0"/>
    <xf numFmtId="217" fontId="75" fillId="0" borderId="0"/>
    <xf numFmtId="44" fontId="75" fillId="0" borderId="0" applyFont="0" applyFill="0" applyBorder="0" applyAlignment="0" applyProtection="0"/>
    <xf numFmtId="217" fontId="18" fillId="20" borderId="0" applyNumberFormat="0" applyBorder="0" applyAlignment="0" applyProtection="0"/>
    <xf numFmtId="217" fontId="75" fillId="0" borderId="0"/>
    <xf numFmtId="217" fontId="75" fillId="0" borderId="0"/>
    <xf numFmtId="217" fontId="18" fillId="31" borderId="0" applyNumberFormat="0" applyBorder="0" applyAlignment="0" applyProtection="0"/>
    <xf numFmtId="217" fontId="18" fillId="33" borderId="0" applyNumberFormat="0" applyBorder="0" applyAlignment="0" applyProtection="0"/>
    <xf numFmtId="217" fontId="75" fillId="0" borderId="0"/>
    <xf numFmtId="217" fontId="75" fillId="0" borderId="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0" borderId="0"/>
    <xf numFmtId="217" fontId="75" fillId="0" borderId="0"/>
    <xf numFmtId="217" fontId="75" fillId="0" borderId="0"/>
    <xf numFmtId="217" fontId="75" fillId="0" borderId="0"/>
    <xf numFmtId="217" fontId="75" fillId="59" borderId="30" applyNumberFormat="0" applyFont="0" applyAlignment="0" applyProtection="0"/>
    <xf numFmtId="217" fontId="75" fillId="0" borderId="0"/>
    <xf numFmtId="217" fontId="75" fillId="0" borderId="0" applyNumberFormat="0" applyFill="0" applyBorder="0" applyAlignment="0" applyProtection="0"/>
    <xf numFmtId="217" fontId="75" fillId="0" borderId="0"/>
    <xf numFmtId="217" fontId="75" fillId="0" borderId="0" applyNumberFormat="0" applyFill="0" applyBorder="0" applyAlignment="0" applyProtection="0"/>
    <xf numFmtId="217" fontId="75" fillId="0" borderId="0" applyNumberFormat="0" applyFill="0" applyBorder="0" applyAlignment="0" applyProtection="0"/>
    <xf numFmtId="217" fontId="3" fillId="0" borderId="0" applyNumberFormat="0" applyFill="0" applyBorder="0" applyAlignment="0" applyProtection="0"/>
    <xf numFmtId="217" fontId="75" fillId="83" borderId="0" applyNumberFormat="0" applyBorder="0" applyAlignment="0" applyProtection="0"/>
    <xf numFmtId="217" fontId="18" fillId="33" borderId="0" applyNumberFormat="0" applyBorder="0" applyAlignment="0" applyProtection="0"/>
    <xf numFmtId="217" fontId="36" fillId="0" borderId="0"/>
    <xf numFmtId="217" fontId="18" fillId="31" borderId="0" applyNumberFormat="0" applyBorder="0" applyAlignment="0" applyProtection="0"/>
    <xf numFmtId="217" fontId="18" fillId="20" borderId="0" applyNumberFormat="0" applyBorder="0" applyAlignment="0" applyProtection="0"/>
    <xf numFmtId="217" fontId="18" fillId="26" borderId="0" applyNumberFormat="0" applyBorder="0" applyAlignment="0" applyProtection="0"/>
    <xf numFmtId="217" fontId="18" fillId="23" borderId="0" applyNumberFormat="0" applyBorder="0" applyAlignment="0" applyProtection="0"/>
    <xf numFmtId="217" fontId="18" fillId="20" borderId="0" applyNumberFormat="0" applyBorder="0" applyAlignment="0" applyProtection="0"/>
    <xf numFmtId="217" fontId="75" fillId="0" borderId="0"/>
    <xf numFmtId="9" fontId="75" fillId="0" borderId="0" applyFont="0" applyFill="0" applyBorder="0" applyAlignment="0" applyProtection="0"/>
    <xf numFmtId="217" fontId="75" fillId="79" borderId="0" applyNumberFormat="0" applyBorder="0" applyAlignment="0" applyProtection="0"/>
    <xf numFmtId="217" fontId="75" fillId="0" borderId="0"/>
    <xf numFmtId="217" fontId="1" fillId="0" borderId="0" applyFont="0" applyFill="0" applyBorder="0" applyAlignment="0" applyProtection="0"/>
    <xf numFmtId="217" fontId="75" fillId="0" borderId="0"/>
    <xf numFmtId="217" fontId="75" fillId="0" borderId="0"/>
    <xf numFmtId="217" fontId="36" fillId="0" borderId="0"/>
    <xf numFmtId="9" fontId="75" fillId="0" borderId="0" applyFont="0" applyFill="0" applyBorder="0" applyAlignment="0" applyProtection="0"/>
    <xf numFmtId="217" fontId="75" fillId="73" borderId="0" applyNumberFormat="0" applyBorder="0" applyAlignment="0" applyProtection="0"/>
    <xf numFmtId="217" fontId="75" fillId="59" borderId="30" applyNumberFormat="0" applyFont="0" applyAlignment="0" applyProtection="0"/>
    <xf numFmtId="44" fontId="75" fillId="0" borderId="0" applyFont="0" applyFill="0" applyBorder="0" applyAlignment="0" applyProtection="0"/>
    <xf numFmtId="217" fontId="75" fillId="88" borderId="0" applyNumberFormat="0" applyBorder="0" applyAlignment="0" applyProtection="0"/>
    <xf numFmtId="217" fontId="75" fillId="0" borderId="0"/>
    <xf numFmtId="217" fontId="75" fillId="0" borderId="0"/>
    <xf numFmtId="217" fontId="75" fillId="59" borderId="30" applyNumberFormat="0" applyFont="0" applyAlignment="0" applyProtection="0"/>
    <xf numFmtId="217" fontId="75" fillId="0" borderId="0" applyNumberFormat="0" applyFill="0" applyBorder="0" applyAlignment="0" applyProtection="0"/>
    <xf numFmtId="164" fontId="75" fillId="0" borderId="0" applyFont="0" applyFill="0" applyBorder="0" applyAlignment="0" applyProtection="0"/>
    <xf numFmtId="9" fontId="75" fillId="0" borderId="0" applyFont="0" applyFill="0" applyBorder="0" applyAlignment="0" applyProtection="0"/>
    <xf numFmtId="217" fontId="36" fillId="0" borderId="0"/>
    <xf numFmtId="217" fontId="75" fillId="0" borderId="0"/>
    <xf numFmtId="9" fontId="75" fillId="0" borderId="0" applyFont="0" applyFill="0" applyBorder="0" applyAlignment="0" applyProtection="0"/>
    <xf numFmtId="217" fontId="75" fillId="0" borderId="0"/>
    <xf numFmtId="217" fontId="75" fillId="87" borderId="0" applyNumberFormat="0" applyBorder="0" applyAlignment="0" applyProtection="0"/>
    <xf numFmtId="217" fontId="75" fillId="0" borderId="0"/>
    <xf numFmtId="217" fontId="75" fillId="0" borderId="0"/>
    <xf numFmtId="217" fontId="57" fillId="0" borderId="0"/>
    <xf numFmtId="217" fontId="75" fillId="0" borderId="0"/>
    <xf numFmtId="217" fontId="75" fillId="0" borderId="0"/>
    <xf numFmtId="217" fontId="75" fillId="72" borderId="0" applyNumberFormat="0" applyBorder="0" applyAlignment="0" applyProtection="0"/>
    <xf numFmtId="217" fontId="75" fillId="0" borderId="0" applyNumberFormat="0" applyFill="0" applyBorder="0" applyAlignment="0" applyProtection="0"/>
    <xf numFmtId="217" fontId="1" fillId="0" borderId="0" applyFont="0" applyFill="0" applyBorder="0" applyAlignment="0" applyProtection="0"/>
    <xf numFmtId="217" fontId="57" fillId="0" borderId="0" applyFont="0" applyFill="0" applyBorder="0" applyAlignment="0" applyProtection="0"/>
    <xf numFmtId="217" fontId="1" fillId="0" borderId="0" applyNumberFormat="0" applyFill="0" applyBorder="0" applyAlignment="0" applyProtection="0"/>
    <xf numFmtId="217" fontId="75" fillId="76" borderId="0" applyNumberFormat="0" applyBorder="0" applyAlignment="0" applyProtection="0"/>
    <xf numFmtId="217" fontId="36" fillId="0" borderId="0"/>
    <xf numFmtId="217" fontId="75" fillId="0" borderId="0"/>
    <xf numFmtId="217" fontId="75" fillId="0" borderId="0"/>
    <xf numFmtId="9" fontId="75" fillId="0" borderId="0" applyFont="0" applyFill="0" applyBorder="0" applyAlignment="0" applyProtection="0"/>
    <xf numFmtId="217" fontId="75" fillId="0" borderId="0" applyNumberFormat="0" applyFill="0" applyBorder="0" applyAlignment="0" applyProtection="0"/>
    <xf numFmtId="217" fontId="161" fillId="0" borderId="0"/>
    <xf numFmtId="9" fontId="75" fillId="0" borderId="0" applyFont="0" applyFill="0" applyBorder="0" applyAlignment="0" applyProtection="0"/>
    <xf numFmtId="44" fontId="75" fillId="0" borderId="0" applyFont="0" applyFill="0" applyBorder="0" applyAlignment="0" applyProtection="0"/>
    <xf numFmtId="217" fontId="36" fillId="0" borderId="0"/>
    <xf numFmtId="217" fontId="75" fillId="0" borderId="0"/>
    <xf numFmtId="217" fontId="75" fillId="0" borderId="0"/>
    <xf numFmtId="217" fontId="75" fillId="59" borderId="30" applyNumberFormat="0" applyFont="0" applyAlignment="0" applyProtection="0"/>
    <xf numFmtId="217" fontId="1" fillId="0" borderId="0"/>
    <xf numFmtId="217" fontId="75" fillId="0" borderId="0"/>
    <xf numFmtId="217" fontId="75" fillId="0" borderId="0"/>
    <xf numFmtId="9" fontId="75" fillId="0" borderId="0" applyFont="0" applyFill="0" applyBorder="0" applyAlignment="0" applyProtection="0"/>
    <xf numFmtId="44" fontId="75" fillId="0" borderId="0" applyFont="0" applyFill="0" applyBorder="0" applyAlignment="0" applyProtection="0"/>
    <xf numFmtId="217" fontId="75" fillId="68" borderId="0" applyNumberFormat="0" applyBorder="0" applyAlignment="0" applyProtection="0"/>
    <xf numFmtId="217" fontId="75" fillId="80" borderId="0" applyNumberFormat="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164" fontId="75" fillId="0" borderId="0" applyFont="0" applyFill="0" applyBorder="0" applyAlignment="0" applyProtection="0"/>
    <xf numFmtId="217" fontId="75" fillId="69" borderId="0" applyNumberFormat="0" applyBorder="0" applyAlignment="0" applyProtection="0"/>
    <xf numFmtId="217" fontId="75" fillId="0" borderId="0"/>
    <xf numFmtId="217" fontId="36" fillId="0" borderId="0"/>
    <xf numFmtId="217" fontId="75" fillId="0" borderId="0"/>
    <xf numFmtId="217" fontId="75" fillId="0" borderId="0" applyNumberFormat="0" applyFill="0" applyBorder="0" applyAlignment="0" applyProtection="0"/>
    <xf numFmtId="9" fontId="75" fillId="0" borderId="0" applyFont="0" applyFill="0" applyBorder="0" applyAlignment="0" applyProtection="0"/>
    <xf numFmtId="9" fontId="75" fillId="0" borderId="0" applyFont="0" applyFill="0" applyBorder="0" applyAlignment="0" applyProtection="0"/>
    <xf numFmtId="217" fontId="75" fillId="0" borderId="0"/>
    <xf numFmtId="217" fontId="75" fillId="59" borderId="30" applyNumberFormat="0" applyFont="0" applyAlignment="0" applyProtection="0"/>
    <xf numFmtId="217" fontId="75" fillId="0" borderId="0"/>
    <xf numFmtId="217" fontId="75" fillId="0" borderId="0"/>
    <xf numFmtId="217" fontId="75" fillId="0" borderId="0"/>
    <xf numFmtId="217" fontId="75" fillId="0" borderId="0"/>
    <xf numFmtId="217" fontId="75" fillId="0" borderId="0"/>
    <xf numFmtId="217" fontId="75" fillId="84" borderId="0" applyNumberFormat="0" applyBorder="0" applyAlignment="0" applyProtection="0"/>
    <xf numFmtId="9" fontId="75" fillId="0" borderId="0" applyFont="0" applyFill="0" applyBorder="0" applyAlignment="0" applyProtection="0"/>
    <xf numFmtId="217" fontId="75" fillId="0" borderId="0"/>
    <xf numFmtId="217" fontId="75" fillId="54" borderId="0" applyNumberFormat="0" applyBorder="0" applyAlignment="0" applyProtection="0"/>
    <xf numFmtId="9" fontId="75" fillId="0" borderId="0" applyFont="0" applyFill="0" applyBorder="0" applyAlignment="0" applyProtection="0"/>
    <xf numFmtId="164" fontId="75" fillId="0" borderId="0" applyFont="0" applyFill="0" applyBorder="0" applyAlignment="0" applyProtection="0"/>
    <xf numFmtId="217" fontId="75" fillId="0" borderId="0"/>
    <xf numFmtId="217" fontId="75" fillId="0" borderId="0"/>
    <xf numFmtId="44" fontId="75" fillId="0" borderId="0" applyFont="0" applyFill="0" applyBorder="0" applyAlignment="0" applyProtection="0"/>
    <xf numFmtId="217" fontId="75" fillId="0" borderId="0"/>
    <xf numFmtId="217" fontId="75" fillId="0" borderId="0"/>
    <xf numFmtId="9" fontId="75" fillId="0" borderId="0" applyFont="0" applyFill="0" applyBorder="0" applyAlignment="0" applyProtection="0"/>
    <xf numFmtId="217" fontId="75" fillId="0" borderId="0"/>
    <xf numFmtId="0" fontId="169" fillId="0" borderId="12" applyNumberFormat="0" applyBorder="0" applyProtection="0">
      <alignment horizontal="center"/>
    </xf>
    <xf numFmtId="0" fontId="143" fillId="86" borderId="0" applyNumberFormat="0" applyBorder="0" applyAlignment="0" applyProtection="0"/>
    <xf numFmtId="0" fontId="143" fillId="78" borderId="0" applyNumberFormat="0" applyBorder="0" applyAlignment="0" applyProtection="0"/>
    <xf numFmtId="0" fontId="143" fillId="71" borderId="0" applyNumberFormat="0" applyBorder="0" applyAlignment="0" applyProtection="0"/>
    <xf numFmtId="0" fontId="1" fillId="0" borderId="0"/>
    <xf numFmtId="0" fontId="143" fillId="67" borderId="0" applyNumberFormat="0" applyBorder="0" applyAlignment="0" applyProtection="0"/>
    <xf numFmtId="217" fontId="75" fillId="0" borderId="0"/>
    <xf numFmtId="0" fontId="1" fillId="0" borderId="0" applyNumberFormat="0" applyFont="0" applyBorder="0" applyAlignment="0"/>
    <xf numFmtId="0" fontId="1" fillId="0" borderId="0" applyNumberFormat="0" applyFont="0" applyFill="0" applyBorder="0" applyAlignment="0" applyProtection="0"/>
    <xf numFmtId="0" fontId="1" fillId="0" borderId="0" applyNumberFormat="0" applyFont="0" applyBorder="0" applyAlignment="0"/>
    <xf numFmtId="0" fontId="1" fillId="0" borderId="0" applyNumberFormat="0" applyFont="0" applyBorder="0" applyAlignment="0"/>
    <xf numFmtId="0" fontId="1" fillId="7" borderId="0" applyNumberFormat="0" applyFont="0" applyBorder="0" applyAlignment="0" applyProtection="0"/>
    <xf numFmtId="184" fontId="7" fillId="0" borderId="0"/>
    <xf numFmtId="44" fontId="1" fillId="0" borderId="0" applyFont="0" applyFill="0" applyBorder="0" applyAlignment="0" applyProtection="0"/>
    <xf numFmtId="44" fontId="1" fillId="0" borderId="0" applyFont="0" applyFill="0" applyBorder="0" applyAlignment="0" applyProtection="0"/>
    <xf numFmtId="0" fontId="1" fillId="0" borderId="0" applyNumberFormat="0" applyFont="0" applyFill="0" applyBorder="0" applyAlignment="0" applyProtection="0"/>
    <xf numFmtId="0" fontId="1" fillId="14" borderId="0" applyNumberFormat="0" applyFont="0" applyBorder="0" applyAlignment="0" applyProtection="0"/>
    <xf numFmtId="0" fontId="1" fillId="104" borderId="0" applyNumberFormat="0" applyFont="0" applyBorder="0" applyAlignment="0" applyProtection="0"/>
    <xf numFmtId="226" fontId="1" fillId="0" borderId="0" applyFont="0" applyFill="0" applyBorder="0" applyAlignment="0" applyProtection="0"/>
    <xf numFmtId="227" fontId="1" fillId="0" borderId="0" applyFont="0" applyFill="0" applyBorder="0" applyAlignment="0" applyProtection="0"/>
    <xf numFmtId="228" fontId="1" fillId="0" borderId="0" applyFont="0" applyFill="0" applyBorder="0" applyAlignment="0" applyProtection="0"/>
    <xf numFmtId="229" fontId="1" fillId="0" borderId="0" applyFont="0" applyFill="0" applyBorder="0" applyAlignment="0" applyProtection="0"/>
    <xf numFmtId="0" fontId="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75" fillId="0" borderId="0" applyFont="0" applyFill="0" applyBorder="0" applyAlignment="0" applyProtection="0"/>
    <xf numFmtId="230" fontId="181" fillId="105" borderId="107">
      <alignment vertical="center"/>
    </xf>
    <xf numFmtId="4" fontId="14" fillId="93" borderId="14" applyNumberFormat="0" applyProtection="0">
      <alignment vertical="center"/>
    </xf>
    <xf numFmtId="230" fontId="182" fillId="106" borderId="107">
      <alignment vertical="center"/>
    </xf>
    <xf numFmtId="4" fontId="151" fillId="40" borderId="14" applyNumberFormat="0" applyProtection="0">
      <alignment vertical="center"/>
    </xf>
    <xf numFmtId="230" fontId="183" fillId="107" borderId="107">
      <alignment horizontal="left" vertical="center" indent="1"/>
    </xf>
    <xf numFmtId="4" fontId="16" fillId="48" borderId="14" applyNumberFormat="0" applyProtection="0">
      <alignment horizontal="left" vertical="center" indent="1"/>
    </xf>
    <xf numFmtId="230" fontId="184" fillId="105" borderId="107">
      <alignment horizontal="center" vertical="center"/>
    </xf>
    <xf numFmtId="4" fontId="150" fillId="93" borderId="14" applyNumberFormat="0" applyProtection="0">
      <alignment horizontal="center" vertical="center"/>
    </xf>
    <xf numFmtId="230" fontId="185" fillId="105" borderId="107">
      <alignment horizontal="right" vertical="center"/>
    </xf>
    <xf numFmtId="0" fontId="174" fillId="93" borderId="14" applyNumberFormat="0" applyProtection="0">
      <alignment horizontal="right" vertical="center" indent="1"/>
    </xf>
    <xf numFmtId="230" fontId="183" fillId="108" borderId="107">
      <alignment horizontal="right" vertical="center"/>
    </xf>
    <xf numFmtId="4" fontId="16" fillId="94" borderId="14" applyNumberFormat="0" applyProtection="0">
      <alignment horizontal="right" vertical="center"/>
    </xf>
    <xf numFmtId="230" fontId="183" fillId="109" borderId="107">
      <alignment horizontal="right" vertical="center"/>
    </xf>
    <xf numFmtId="4" fontId="16" fillId="95" borderId="14" applyNumberFormat="0" applyProtection="0">
      <alignment horizontal="right" vertical="center"/>
    </xf>
    <xf numFmtId="230" fontId="183" fillId="110" borderId="107">
      <alignment horizontal="right" vertical="center"/>
    </xf>
    <xf numFmtId="4" fontId="16" fillId="96" borderId="14" applyNumberFormat="0" applyProtection="0">
      <alignment horizontal="right" vertical="center"/>
    </xf>
    <xf numFmtId="230" fontId="183" fillId="111" borderId="107">
      <alignment horizontal="right" vertical="center"/>
    </xf>
    <xf numFmtId="4" fontId="16" fillId="47" borderId="14" applyNumberFormat="0" applyProtection="0">
      <alignment horizontal="right" vertical="center"/>
    </xf>
    <xf numFmtId="230" fontId="183" fillId="112" borderId="107">
      <alignment horizontal="right" vertical="center"/>
    </xf>
    <xf numFmtId="4" fontId="16" fillId="97" borderId="14" applyNumberFormat="0" applyProtection="0">
      <alignment horizontal="right" vertical="center"/>
    </xf>
    <xf numFmtId="230" fontId="183" fillId="113" borderId="107">
      <alignment horizontal="right" vertical="center"/>
    </xf>
    <xf numFmtId="4" fontId="16" fillId="98" borderId="14" applyNumberFormat="0" applyProtection="0">
      <alignment horizontal="right" vertical="center"/>
    </xf>
    <xf numFmtId="230" fontId="183" fillId="114" borderId="107">
      <alignment horizontal="right" vertical="center"/>
    </xf>
    <xf numFmtId="4" fontId="16" fillId="99" borderId="14" applyNumberFormat="0" applyProtection="0">
      <alignment horizontal="right" vertical="center"/>
    </xf>
    <xf numFmtId="230" fontId="183" fillId="115" borderId="107">
      <alignment horizontal="right" vertical="center"/>
    </xf>
    <xf numFmtId="4" fontId="16" fillId="100" borderId="14" applyNumberFormat="0" applyProtection="0">
      <alignment horizontal="right" vertical="center"/>
    </xf>
    <xf numFmtId="230" fontId="183" fillId="116" borderId="107">
      <alignment horizontal="right" vertical="center"/>
    </xf>
    <xf numFmtId="4" fontId="16" fillId="101" borderId="14" applyNumberFormat="0" applyProtection="0">
      <alignment horizontal="right" vertical="center"/>
    </xf>
    <xf numFmtId="230" fontId="186" fillId="117" borderId="107">
      <alignment horizontal="left" vertical="center" indent="1"/>
    </xf>
    <xf numFmtId="4" fontId="41" fillId="102" borderId="14" applyNumberFormat="0" applyProtection="0">
      <alignment horizontal="left" vertical="center" indent="1"/>
    </xf>
    <xf numFmtId="230" fontId="183" fillId="118" borderId="108">
      <alignment horizontal="left" vertical="center" indent="1"/>
    </xf>
    <xf numFmtId="230" fontId="187" fillId="119" borderId="0">
      <alignment horizontal="left" vertical="center" indent="1"/>
    </xf>
    <xf numFmtId="230" fontId="188" fillId="105" borderId="107">
      <alignment horizontal="left" vertical="center" indent="1"/>
    </xf>
    <xf numFmtId="0" fontId="176" fillId="93" borderId="14" applyNumberFormat="0" applyProtection="0">
      <alignment horizontal="left" vertical="center" indent="1"/>
    </xf>
    <xf numFmtId="230" fontId="189" fillId="118" borderId="107">
      <alignment horizontal="left" vertical="center" indent="1"/>
    </xf>
    <xf numFmtId="4" fontId="177" fillId="52" borderId="14" applyNumberFormat="0" applyProtection="0">
      <alignment horizontal="left" vertical="center" indent="1"/>
    </xf>
    <xf numFmtId="230" fontId="190" fillId="120" borderId="107">
      <alignment horizontal="left" vertical="center" indent="1"/>
    </xf>
    <xf numFmtId="4" fontId="178" fillId="90" borderId="14" applyNumberFormat="0" applyProtection="0">
      <alignment horizontal="left" vertical="center" indent="1"/>
    </xf>
    <xf numFmtId="230" fontId="184" fillId="120" borderId="107">
      <alignment horizontal="left" vertical="center" indent="1"/>
    </xf>
    <xf numFmtId="0" fontId="150" fillId="90" borderId="14" applyNumberFormat="0" applyProtection="0">
      <alignment horizontal="left" vertical="center" indent="1"/>
    </xf>
    <xf numFmtId="0" fontId="150" fillId="90" borderId="14" applyNumberFormat="0" applyProtection="0">
      <alignment horizontal="left" vertical="center" indent="1"/>
    </xf>
    <xf numFmtId="230" fontId="191" fillId="120" borderId="107">
      <alignment horizontal="left" vertical="center" indent="1"/>
    </xf>
    <xf numFmtId="0" fontId="1" fillId="90" borderId="14" applyNumberFormat="0" applyProtection="0">
      <alignment horizontal="left" vertical="center" indent="1"/>
    </xf>
    <xf numFmtId="230" fontId="192" fillId="121" borderId="107">
      <alignment horizontal="left" vertical="center" indent="1"/>
    </xf>
    <xf numFmtId="0" fontId="2" fillId="64" borderId="14" applyNumberFormat="0" applyProtection="0">
      <alignment horizontal="left" vertical="center" indent="1"/>
    </xf>
    <xf numFmtId="0" fontId="2" fillId="64" borderId="14" applyNumberFormat="0" applyProtection="0">
      <alignment horizontal="left" vertical="center" indent="1"/>
    </xf>
    <xf numFmtId="230" fontId="191" fillId="106" borderId="107">
      <alignment horizontal="left" vertical="center" indent="1"/>
    </xf>
    <xf numFmtId="0" fontId="1" fillId="40" borderId="14" applyNumberFormat="0" applyProtection="0">
      <alignment horizontal="left" vertical="center" indent="1"/>
    </xf>
    <xf numFmtId="230" fontId="191" fillId="105" borderId="107">
      <alignment horizontal="left" vertical="center" indent="1"/>
    </xf>
    <xf numFmtId="0" fontId="1" fillId="93" borderId="14" applyNumberFormat="0" applyProtection="0">
      <alignment horizontal="left" vertical="center" indent="1"/>
    </xf>
    <xf numFmtId="230" fontId="191" fillId="105" borderId="107">
      <alignment horizontal="left" vertical="center" indent="1"/>
    </xf>
    <xf numFmtId="0" fontId="1" fillId="93" borderId="14" applyNumberFormat="0" applyProtection="0">
      <alignment horizontal="left" vertical="center" indent="1"/>
    </xf>
    <xf numFmtId="230" fontId="183" fillId="122" borderId="107">
      <alignment vertical="center"/>
    </xf>
    <xf numFmtId="4" fontId="16" fillId="38" borderId="14" applyNumberFormat="0" applyProtection="0">
      <alignment vertical="center"/>
    </xf>
    <xf numFmtId="230" fontId="193" fillId="122" borderId="107">
      <alignment vertical="center"/>
    </xf>
    <xf numFmtId="4" fontId="179" fillId="38" borderId="14" applyNumberFormat="0" applyProtection="0">
      <alignment vertical="center"/>
    </xf>
    <xf numFmtId="230" fontId="183" fillId="122" borderId="107">
      <alignment horizontal="left" vertical="center" indent="1"/>
    </xf>
    <xf numFmtId="4" fontId="16" fillId="38" borderId="14" applyNumberFormat="0" applyProtection="0">
      <alignment horizontal="left" vertical="center" indent="1"/>
    </xf>
    <xf numFmtId="230" fontId="183" fillId="122" borderId="107">
      <alignment horizontal="left" vertical="center" indent="1"/>
    </xf>
    <xf numFmtId="4" fontId="16" fillId="38" borderId="14" applyNumberFormat="0" applyProtection="0">
      <alignment horizontal="left" vertical="center" indent="1"/>
    </xf>
    <xf numFmtId="230" fontId="182" fillId="106" borderId="107">
      <alignment horizontal="right" vertical="center"/>
    </xf>
    <xf numFmtId="4" fontId="151" fillId="40" borderId="14" applyNumberFormat="0" applyProtection="0">
      <alignment horizontal="right" vertical="center"/>
    </xf>
    <xf numFmtId="230" fontId="191" fillId="105" borderId="107">
      <alignment horizontal="left" vertical="center" indent="1"/>
    </xf>
    <xf numFmtId="0" fontId="1" fillId="93" borderId="14" applyNumberFormat="0" applyProtection="0">
      <alignment horizontal="left" vertical="center" indent="1"/>
    </xf>
    <xf numFmtId="230" fontId="185" fillId="105" borderId="107">
      <alignment horizontal="center" vertical="center"/>
    </xf>
    <xf numFmtId="0" fontId="174" fillId="93" borderId="14" applyNumberFormat="0" applyProtection="0">
      <alignment horizontal="center" vertical="center"/>
    </xf>
    <xf numFmtId="230" fontId="194" fillId="0" borderId="0">
      <alignment vertical="center"/>
    </xf>
    <xf numFmtId="230" fontId="195" fillId="118" borderId="107">
      <alignment horizontal="right" vertical="center"/>
    </xf>
    <xf numFmtId="4" fontId="65" fillId="52" borderId="14" applyNumberFormat="0" applyProtection="0">
      <alignment horizontal="right" vertical="center"/>
    </xf>
    <xf numFmtId="43" fontId="75" fillId="0" borderId="0" applyFont="0" applyFill="0" applyBorder="0" applyAlignment="0" applyProtection="0"/>
    <xf numFmtId="164" fontId="75" fillId="0" borderId="0" applyFont="0" applyFill="0" applyBorder="0" applyAlignment="0" applyProtection="0"/>
    <xf numFmtId="217" fontId="78" fillId="0" borderId="25" applyNumberFormat="0" applyFill="0" applyAlignment="0" applyProtection="0"/>
    <xf numFmtId="232" fontId="181" fillId="118" borderId="107">
      <alignment horizontal="right" vertical="center"/>
    </xf>
    <xf numFmtId="230" fontId="196" fillId="0" borderId="0">
      <alignment horizontal="center" textRotation="90"/>
    </xf>
    <xf numFmtId="230" fontId="191" fillId="0" borderId="0"/>
    <xf numFmtId="230" fontId="196" fillId="0" borderId="0">
      <alignment horizontal="center"/>
    </xf>
    <xf numFmtId="231" fontId="197" fillId="0" borderId="0"/>
    <xf numFmtId="0" fontId="130" fillId="0" borderId="0"/>
    <xf numFmtId="230" fontId="197" fillId="0" borderId="0"/>
    <xf numFmtId="164" fontId="75" fillId="0" borderId="0" applyFont="0" applyFill="0" applyBorder="0" applyAlignment="0" applyProtection="0"/>
    <xf numFmtId="0" fontId="1" fillId="0" borderId="0"/>
    <xf numFmtId="43" fontId="75" fillId="0" borderId="0" applyFont="0" applyFill="0" applyBorder="0" applyAlignment="0" applyProtection="0"/>
    <xf numFmtId="0" fontId="1" fillId="0" borderId="0"/>
    <xf numFmtId="44" fontId="1" fillId="0" borderId="0" applyFont="0" applyFill="0" applyBorder="0" applyAlignment="0" applyProtection="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0" fontId="1" fillId="0" borderId="0"/>
    <xf numFmtId="0" fontId="7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3" fontId="75" fillId="0" borderId="0" applyFont="0" applyFill="0" applyBorder="0" applyAlignment="0" applyProtection="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44"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0" fontId="1" fillId="0" borderId="0"/>
    <xf numFmtId="0" fontId="1" fillId="0" borderId="0"/>
    <xf numFmtId="0" fontId="1" fillId="0" borderId="0"/>
    <xf numFmtId="0" fontId="198" fillId="0" borderId="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 fillId="0" borderId="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60" fillId="0" borderId="0" applyFont="0" applyFill="0" applyBorder="0" applyAlignment="0" applyProtection="0"/>
    <xf numFmtId="44" fontId="1" fillId="0" borderId="0" applyFont="0" applyFill="0" applyBorder="0" applyAlignment="0" applyProtection="0"/>
    <xf numFmtId="44" fontId="57"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5" fillId="0" borderId="0" applyFont="0" applyFill="0" applyBorder="0" applyAlignment="0" applyProtection="0"/>
    <xf numFmtId="43" fontId="74" fillId="0" borderId="0" applyFont="0" applyFill="0" applyBorder="0" applyAlignment="0" applyProtection="0"/>
    <xf numFmtId="43" fontId="74" fillId="0" borderId="0" applyFont="0" applyFill="0" applyBorder="0" applyAlignment="0" applyProtection="0"/>
    <xf numFmtId="44" fontId="1"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57"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75"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75"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75" fillId="0" borderId="0"/>
    <xf numFmtId="0" fontId="75" fillId="0" borderId="0"/>
    <xf numFmtId="0" fontId="75" fillId="0" borderId="0"/>
  </cellStyleXfs>
  <cellXfs count="488">
    <xf numFmtId="0" fontId="0" fillId="0" borderId="0" xfId="0"/>
    <xf numFmtId="0" fontId="103" fillId="62" borderId="0" xfId="762" applyFont="1">
      <alignment vertical="center"/>
    </xf>
    <xf numFmtId="0" fontId="100" fillId="62" borderId="0" xfId="762">
      <alignment vertical="center"/>
    </xf>
    <xf numFmtId="0" fontId="99" fillId="62" borderId="0" xfId="764"/>
    <xf numFmtId="165" fontId="99" fillId="0" borderId="35" xfId="760" applyNumberFormat="1" applyFont="1">
      <alignment horizontal="right" vertical="center" indent="1"/>
    </xf>
    <xf numFmtId="165" fontId="0" fillId="0" borderId="0" xfId="0" applyNumberFormat="1"/>
    <xf numFmtId="0" fontId="105" fillId="61" borderId="37" xfId="756" applyFont="1" applyBorder="1">
      <alignment horizontal="left" vertical="center" wrapText="1" indent="1" readingOrder="1"/>
    </xf>
    <xf numFmtId="165" fontId="106" fillId="61" borderId="38" xfId="757" applyNumberFormat="1" applyFont="1" applyBorder="1">
      <alignment horizontal="right" vertical="center" indent="1"/>
    </xf>
    <xf numFmtId="165" fontId="106" fillId="61" borderId="38" xfId="758" applyFont="1" applyBorder="1">
      <alignment horizontal="right" vertical="center" indent="1"/>
    </xf>
    <xf numFmtId="0" fontId="99" fillId="0" borderId="0" xfId="761" applyBorder="1"/>
    <xf numFmtId="0" fontId="98" fillId="62" borderId="0" xfId="495" applyFont="1" applyFill="1"/>
    <xf numFmtId="166" fontId="80" fillId="0" borderId="0" xfId="559" applyNumberFormat="1" applyFont="1" applyAlignment="1">
      <alignment horizontal="right"/>
    </xf>
    <xf numFmtId="0" fontId="97" fillId="0" borderId="0" xfId="469" applyFont="1"/>
    <xf numFmtId="166" fontId="80" fillId="0" borderId="0" xfId="469" quotePrefix="1" applyNumberFormat="1" applyFont="1" applyAlignment="1">
      <alignment horizontal="right"/>
    </xf>
    <xf numFmtId="0" fontId="107" fillId="62" borderId="0" xfId="495" applyFont="1" applyFill="1"/>
    <xf numFmtId="0" fontId="108" fillId="62" borderId="0" xfId="495" applyFont="1" applyFill="1"/>
    <xf numFmtId="166" fontId="108" fillId="0" borderId="0" xfId="559" applyNumberFormat="1" applyFont="1" applyAlignment="1">
      <alignment horizontal="right"/>
    </xf>
    <xf numFmtId="0" fontId="109" fillId="61" borderId="32" xfId="756" applyFont="1">
      <alignment horizontal="left" vertical="center" wrapText="1" indent="1" readingOrder="1"/>
    </xf>
    <xf numFmtId="165" fontId="106" fillId="61" borderId="33" xfId="757" applyNumberFormat="1" applyFont="1">
      <alignment horizontal="right" vertical="center" indent="1"/>
    </xf>
    <xf numFmtId="165" fontId="99" fillId="0" borderId="39" xfId="760" applyNumberFormat="1" applyFont="1" applyBorder="1">
      <alignment horizontal="right" vertical="center" indent="1"/>
    </xf>
    <xf numFmtId="0" fontId="1" fillId="62" borderId="0" xfId="495" applyFill="1"/>
    <xf numFmtId="165" fontId="110" fillId="0" borderId="0" xfId="488" applyNumberFormat="1" applyFont="1" applyAlignment="1">
      <alignment vertical="center"/>
    </xf>
    <xf numFmtId="0" fontId="104" fillId="63" borderId="40" xfId="755" applyFont="1" applyFill="1" applyBorder="1">
      <alignment horizontal="center" vertical="center" wrapText="1" readingOrder="1"/>
    </xf>
    <xf numFmtId="168" fontId="2" fillId="62" borderId="0" xfId="495" applyNumberFormat="1" applyFont="1" applyFill="1"/>
    <xf numFmtId="165" fontId="106" fillId="61" borderId="41" xfId="757" applyNumberFormat="1" applyFont="1" applyBorder="1">
      <alignment horizontal="right" vertical="center" indent="1"/>
    </xf>
    <xf numFmtId="165" fontId="106" fillId="61" borderId="42" xfId="757" applyNumberFormat="1" applyFont="1" applyBorder="1">
      <alignment horizontal="right" vertical="center" indent="1"/>
    </xf>
    <xf numFmtId="0" fontId="109" fillId="61" borderId="43" xfId="756" applyFont="1" applyBorder="1">
      <alignment horizontal="left" vertical="center" wrapText="1" indent="1" readingOrder="1"/>
    </xf>
    <xf numFmtId="165" fontId="106" fillId="61" borderId="44" xfId="757" applyNumberFormat="1" applyFont="1" applyBorder="1">
      <alignment horizontal="right" vertical="center" indent="1"/>
    </xf>
    <xf numFmtId="165" fontId="108" fillId="0" borderId="0" xfId="515" applyNumberFormat="1" applyFont="1" applyAlignment="1" applyProtection="1">
      <alignment vertical="center"/>
      <protection locked="0"/>
    </xf>
    <xf numFmtId="164" fontId="108" fillId="0" borderId="0" xfId="939" applyFont="1" applyFill="1" applyAlignment="1" applyProtection="1">
      <alignment vertical="center"/>
      <protection locked="0"/>
    </xf>
    <xf numFmtId="0" fontId="105" fillId="61" borderId="32" xfId="756" applyFont="1">
      <alignment horizontal="left" vertical="center" wrapText="1" indent="1" readingOrder="1"/>
    </xf>
    <xf numFmtId="165" fontId="4" fillId="0" borderId="0" xfId="515" applyNumberFormat="1" applyFont="1" applyAlignment="1">
      <alignment vertical="center"/>
    </xf>
    <xf numFmtId="164" fontId="108" fillId="0" borderId="0" xfId="939" applyFont="1" applyFill="1" applyProtection="1">
      <protection locked="0"/>
    </xf>
    <xf numFmtId="0" fontId="75" fillId="0" borderId="0" xfId="709"/>
    <xf numFmtId="0" fontId="1" fillId="50" borderId="0" xfId="495" applyFill="1" applyAlignment="1">
      <alignment vertical="center"/>
    </xf>
    <xf numFmtId="0" fontId="113" fillId="0" borderId="0" xfId="423" applyFont="1" applyFill="1"/>
    <xf numFmtId="0" fontId="1" fillId="0" borderId="0" xfId="495" applyAlignment="1">
      <alignment vertical="center"/>
    </xf>
    <xf numFmtId="0" fontId="83" fillId="0" borderId="0" xfId="349" applyFill="1" applyAlignment="1">
      <alignment vertical="center"/>
    </xf>
    <xf numFmtId="165" fontId="114" fillId="62" borderId="48" xfId="141" applyNumberFormat="1" applyFont="1" applyFill="1" applyBorder="1" applyAlignment="1">
      <alignment horizontal="center" vertical="center" wrapText="1"/>
    </xf>
    <xf numFmtId="165" fontId="115" fillId="62" borderId="48" xfId="141" applyNumberFormat="1" applyFont="1" applyFill="1" applyBorder="1" applyAlignment="1">
      <alignment vertical="center"/>
    </xf>
    <xf numFmtId="165" fontId="5" fillId="50" borderId="0" xfId="660" applyNumberFormat="1" applyFont="1" applyFill="1" applyAlignment="1">
      <alignment vertical="center"/>
    </xf>
    <xf numFmtId="177" fontId="5" fillId="50" borderId="0" xfId="822" applyNumberFormat="1" applyFont="1" applyFill="1" applyAlignment="1">
      <alignment vertical="center"/>
    </xf>
    <xf numFmtId="177" fontId="5" fillId="50" borderId="0" xfId="822" applyNumberFormat="1" applyFont="1" applyFill="1" applyAlignment="1">
      <alignment horizontal="right" vertical="center" wrapText="1"/>
    </xf>
    <xf numFmtId="165" fontId="5" fillId="62" borderId="0" xfId="660" applyNumberFormat="1" applyFont="1" applyFill="1" applyAlignment="1">
      <alignment vertical="center"/>
    </xf>
    <xf numFmtId="0" fontId="116" fillId="0" borderId="0" xfId="763" applyFont="1">
      <alignment horizontal="center" vertical="top" wrapText="1"/>
    </xf>
    <xf numFmtId="0" fontId="76" fillId="0" borderId="0" xfId="0" applyFont="1"/>
    <xf numFmtId="3" fontId="5" fillId="50" borderId="0" xfId="660" applyNumberFormat="1" applyFont="1" applyFill="1" applyAlignment="1">
      <alignment vertical="center"/>
    </xf>
    <xf numFmtId="165" fontId="108" fillId="0" borderId="0" xfId="488" applyNumberFormat="1" applyFont="1" applyAlignment="1" applyProtection="1">
      <alignment vertical="center"/>
      <protection locked="0"/>
    </xf>
    <xf numFmtId="0" fontId="117" fillId="0" borderId="0" xfId="488" applyFont="1" applyProtection="1">
      <protection locked="0"/>
    </xf>
    <xf numFmtId="0" fontId="108" fillId="0" borderId="0" xfId="488" applyFont="1" applyProtection="1">
      <protection locked="0"/>
    </xf>
    <xf numFmtId="0" fontId="6" fillId="0" borderId="0" xfId="580" applyFont="1"/>
    <xf numFmtId="165" fontId="6" fillId="0" borderId="0" xfId="580" applyNumberFormat="1" applyFont="1"/>
    <xf numFmtId="0" fontId="118" fillId="0" borderId="0" xfId="580" applyFont="1"/>
    <xf numFmtId="165" fontId="120" fillId="0" borderId="0" xfId="515" applyNumberFormat="1" applyFont="1" applyAlignment="1">
      <alignment vertical="center"/>
    </xf>
    <xf numFmtId="0" fontId="120" fillId="0" borderId="0" xfId="580" applyFont="1"/>
    <xf numFmtId="0" fontId="4" fillId="0" borderId="0" xfId="537" applyFont="1"/>
    <xf numFmtId="0" fontId="1" fillId="0" borderId="0" xfId="471"/>
    <xf numFmtId="164" fontId="107" fillId="0" borderId="0" xfId="939" applyFont="1" applyFill="1"/>
    <xf numFmtId="2" fontId="6" fillId="0" borderId="0" xfId="580" applyNumberFormat="1" applyFont="1" applyAlignment="1">
      <alignment vertical="justify" wrapText="1"/>
    </xf>
    <xf numFmtId="165" fontId="118" fillId="0" borderId="0" xfId="580" applyNumberFormat="1" applyFont="1" applyAlignment="1">
      <alignment vertical="center" wrapText="1"/>
    </xf>
    <xf numFmtId="0" fontId="121" fillId="0" borderId="0" xfId="580" applyFont="1" applyAlignment="1">
      <alignment horizontal="left" vertical="center" wrapText="1"/>
    </xf>
    <xf numFmtId="0" fontId="119" fillId="0" borderId="0" xfId="580" applyFont="1" applyAlignment="1">
      <alignment vertical="top" wrapText="1"/>
    </xf>
    <xf numFmtId="0" fontId="121" fillId="0" borderId="0" xfId="580" applyFont="1"/>
    <xf numFmtId="165" fontId="4" fillId="0" borderId="0" xfId="471" applyNumberFormat="1" applyFont="1" applyAlignment="1">
      <alignment vertical="center"/>
    </xf>
    <xf numFmtId="0" fontId="6" fillId="0" borderId="0" xfId="593" applyFont="1"/>
    <xf numFmtId="169" fontId="4" fillId="0" borderId="0" xfId="515" applyNumberFormat="1" applyFont="1" applyAlignment="1">
      <alignment vertical="center"/>
    </xf>
    <xf numFmtId="0" fontId="99" fillId="0" borderId="0" xfId="580" applyFont="1" applyAlignment="1">
      <alignment vertical="top" wrapText="1"/>
    </xf>
    <xf numFmtId="169" fontId="120" fillId="0" borderId="0" xfId="515" applyNumberFormat="1" applyFont="1" applyAlignment="1">
      <alignment vertical="center"/>
    </xf>
    <xf numFmtId="165" fontId="4" fillId="0" borderId="0" xfId="609" applyNumberFormat="1" applyFont="1" applyAlignment="1">
      <alignment vertical="center"/>
    </xf>
    <xf numFmtId="49" fontId="4" fillId="0" borderId="0" xfId="609" applyNumberFormat="1" applyFont="1" applyAlignment="1">
      <alignment vertical="center"/>
    </xf>
    <xf numFmtId="165" fontId="120" fillId="0" borderId="0" xfId="515" applyNumberFormat="1" applyFont="1" applyAlignment="1">
      <alignment horizontal="left" vertical="center" wrapText="1"/>
    </xf>
    <xf numFmtId="0" fontId="4" fillId="0" borderId="0" xfId="471" applyFont="1"/>
    <xf numFmtId="165" fontId="4" fillId="0" borderId="0" xfId="471" applyNumberFormat="1" applyFont="1"/>
    <xf numFmtId="4" fontId="80" fillId="0" borderId="0" xfId="559" applyNumberFormat="1" applyFont="1" applyAlignment="1">
      <alignment horizontal="right"/>
    </xf>
    <xf numFmtId="0" fontId="2" fillId="0" borderId="0" xfId="471" applyFont="1"/>
    <xf numFmtId="166" fontId="75" fillId="0" borderId="0" xfId="486" applyNumberFormat="1"/>
    <xf numFmtId="166" fontId="75" fillId="62" borderId="0" xfId="486" applyNumberFormat="1" applyFill="1"/>
    <xf numFmtId="174" fontId="75" fillId="62" borderId="0" xfId="963" applyNumberFormat="1" applyFont="1" applyFill="1"/>
    <xf numFmtId="174" fontId="1" fillId="62" borderId="0" xfId="963" applyNumberFormat="1" applyFont="1" applyFill="1"/>
    <xf numFmtId="0" fontId="1" fillId="62" borderId="0" xfId="471" applyFill="1"/>
    <xf numFmtId="0" fontId="10" fillId="0" borderId="0" xfId="471" applyFont="1"/>
    <xf numFmtId="0" fontId="10" fillId="62" borderId="0" xfId="471" applyFont="1" applyFill="1"/>
    <xf numFmtId="165" fontId="123" fillId="0" borderId="0" xfId="495" applyNumberFormat="1" applyFont="1" applyAlignment="1">
      <alignment horizontal="right" vertical="center"/>
    </xf>
    <xf numFmtId="0" fontId="99" fillId="0" borderId="0" xfId="0" applyFont="1"/>
    <xf numFmtId="165" fontId="4" fillId="0" borderId="0" xfId="495" applyNumberFormat="1" applyFont="1" applyAlignment="1">
      <alignment horizontal="left" vertical="center"/>
    </xf>
    <xf numFmtId="0" fontId="108" fillId="0" borderId="0" xfId="495" applyFont="1" applyAlignment="1">
      <alignment vertical="top"/>
    </xf>
    <xf numFmtId="0" fontId="11" fillId="0" borderId="0" xfId="515" applyFont="1" applyAlignment="1">
      <alignment horizontal="left" vertical="center"/>
    </xf>
    <xf numFmtId="0" fontId="12" fillId="0" borderId="0" xfId="471" applyFont="1"/>
    <xf numFmtId="0" fontId="6" fillId="0" borderId="0" xfId="580" applyFont="1" applyAlignment="1">
      <alignment horizontal="left" vertical="center"/>
    </xf>
    <xf numFmtId="0" fontId="9" fillId="0" borderId="0" xfId="580" applyFont="1" applyAlignment="1">
      <alignment horizontal="left" indent="1"/>
    </xf>
    <xf numFmtId="0" fontId="2" fillId="0" borderId="0" xfId="495" applyFont="1"/>
    <xf numFmtId="0" fontId="94" fillId="62" borderId="0" xfId="679" applyFill="1"/>
    <xf numFmtId="0" fontId="105" fillId="61" borderId="43" xfId="756" applyFont="1" applyBorder="1">
      <alignment horizontal="left" vertical="center" wrapText="1" indent="1" readingOrder="1"/>
    </xf>
    <xf numFmtId="165" fontId="13" fillId="62" borderId="0" xfId="711" applyNumberFormat="1" applyFont="1" applyFill="1" applyAlignment="1">
      <alignment vertical="center"/>
    </xf>
    <xf numFmtId="0" fontId="126" fillId="0" borderId="0" xfId="471" applyFont="1"/>
    <xf numFmtId="165" fontId="127" fillId="62" borderId="0" xfId="538" quotePrefix="1" applyNumberFormat="1" applyFont="1" applyFill="1" applyAlignment="1">
      <alignment vertical="top"/>
    </xf>
    <xf numFmtId="0" fontId="128" fillId="62" borderId="0" xfId="762" applyFont="1">
      <alignment vertical="center"/>
    </xf>
    <xf numFmtId="165" fontId="5" fillId="0" borderId="0" xfId="660" applyNumberFormat="1" applyFont="1" applyAlignment="1">
      <alignment vertical="center"/>
    </xf>
    <xf numFmtId="170" fontId="4" fillId="0" borderId="0" xfId="471" applyNumberFormat="1" applyFont="1" applyAlignment="1">
      <alignment vertical="center"/>
    </xf>
    <xf numFmtId="169" fontId="4" fillId="0" borderId="0" xfId="471" applyNumberFormat="1" applyFont="1" applyAlignment="1">
      <alignment vertical="center"/>
    </xf>
    <xf numFmtId="165" fontId="127" fillId="0" borderId="0" xfId="471" applyNumberFormat="1" applyFont="1" applyAlignment="1">
      <alignment vertical="center"/>
    </xf>
    <xf numFmtId="165" fontId="127" fillId="0" borderId="0" xfId="471" quotePrefix="1" applyNumberFormat="1" applyFont="1" applyAlignment="1">
      <alignment vertical="center"/>
    </xf>
    <xf numFmtId="165" fontId="4" fillId="0" borderId="0" xfId="488" applyNumberFormat="1" applyFont="1" applyAlignment="1">
      <alignment vertical="center"/>
    </xf>
    <xf numFmtId="165" fontId="129" fillId="0" borderId="0" xfId="488" applyNumberFormat="1" applyFont="1" applyAlignment="1">
      <alignment horizontal="left" vertical="center"/>
    </xf>
    <xf numFmtId="0" fontId="130" fillId="0" borderId="0" xfId="471" applyFont="1"/>
    <xf numFmtId="165" fontId="131" fillId="0" borderId="0" xfId="488" applyNumberFormat="1" applyFont="1" applyAlignment="1">
      <alignment vertical="center"/>
    </xf>
    <xf numFmtId="165" fontId="124" fillId="0" borderId="0" xfId="488" applyNumberFormat="1" applyFont="1" applyAlignment="1">
      <alignment horizontal="right" vertical="center"/>
    </xf>
    <xf numFmtId="165" fontId="108" fillId="61" borderId="50" xfId="757" applyNumberFormat="1" applyFont="1" applyBorder="1">
      <alignment horizontal="right" vertical="center" indent="1"/>
    </xf>
    <xf numFmtId="165" fontId="106" fillId="61" borderId="50" xfId="757" applyNumberFormat="1" applyFont="1" applyBorder="1">
      <alignment horizontal="right" vertical="center" indent="1"/>
    </xf>
    <xf numFmtId="0" fontId="104" fillId="63" borderId="51" xfId="755" applyFont="1" applyFill="1" applyBorder="1" applyAlignment="1">
      <alignment vertical="center" wrapText="1" readingOrder="1"/>
    </xf>
    <xf numFmtId="0" fontId="4" fillId="0" borderId="0" xfId="488" applyFont="1" applyAlignment="1">
      <alignment vertical="center"/>
    </xf>
    <xf numFmtId="0" fontId="125" fillId="0" borderId="0" xfId="471" applyFont="1"/>
    <xf numFmtId="0" fontId="120" fillId="0" borderId="0" xfId="930" applyNumberFormat="1" applyFont="1" applyFill="1" applyAlignment="1">
      <alignment vertical="center"/>
    </xf>
    <xf numFmtId="165" fontId="13" fillId="0" borderId="0" xfId="711" applyNumberFormat="1" applyFont="1" applyAlignment="1">
      <alignment vertical="center"/>
    </xf>
    <xf numFmtId="165" fontId="4" fillId="0" borderId="0" xfId="711" applyNumberFormat="1" applyFont="1" applyAlignment="1">
      <alignment vertical="center"/>
    </xf>
    <xf numFmtId="0" fontId="99" fillId="0" borderId="0" xfId="761" applyBorder="1" applyAlignment="1">
      <alignment wrapText="1"/>
    </xf>
    <xf numFmtId="0" fontId="103" fillId="0" borderId="0" xfId="762" applyFont="1" applyFill="1">
      <alignment vertical="center"/>
    </xf>
    <xf numFmtId="0" fontId="100" fillId="0" borderId="0" xfId="762" applyFill="1">
      <alignment vertical="center"/>
    </xf>
    <xf numFmtId="0" fontId="99" fillId="0" borderId="0" xfId="764" applyFill="1"/>
    <xf numFmtId="0" fontId="104" fillId="63" borderId="52" xfId="755" applyFont="1" applyFill="1" applyBorder="1">
      <alignment horizontal="center" vertical="center" wrapText="1" readingOrder="1"/>
    </xf>
    <xf numFmtId="0" fontId="104" fillId="63" borderId="53" xfId="755" applyFont="1" applyFill="1" applyBorder="1">
      <alignment horizontal="center" vertical="center" wrapText="1" readingOrder="1"/>
    </xf>
    <xf numFmtId="0" fontId="132" fillId="0" borderId="0" xfId="0" applyFont="1"/>
    <xf numFmtId="178" fontId="99" fillId="62" borderId="0" xfId="764" applyNumberFormat="1"/>
    <xf numFmtId="0" fontId="0" fillId="0" borderId="0" xfId="0" applyAlignment="1">
      <alignment horizontal="left" indent="1"/>
    </xf>
    <xf numFmtId="0" fontId="104" fillId="63" borderId="31" xfId="755" applyFont="1" applyFill="1">
      <alignment horizontal="center" vertical="center" wrapText="1" readingOrder="1"/>
    </xf>
    <xf numFmtId="0" fontId="99" fillId="0" borderId="34" xfId="759" applyFont="1" applyAlignment="1">
      <alignment horizontal="left" vertical="center" indent="2"/>
    </xf>
    <xf numFmtId="0" fontId="104" fillId="63" borderId="54" xfId="755" applyFont="1" applyFill="1" applyBorder="1">
      <alignment horizontal="center" vertical="center" wrapText="1" readingOrder="1"/>
    </xf>
    <xf numFmtId="0" fontId="133" fillId="63" borderId="40" xfId="755" applyFont="1" applyFill="1" applyBorder="1">
      <alignment horizontal="center" vertical="center" wrapText="1" readingOrder="1"/>
    </xf>
    <xf numFmtId="0" fontId="104" fillId="63" borderId="56" xfId="755" applyFont="1" applyFill="1" applyBorder="1">
      <alignment horizontal="center" vertical="center" wrapText="1" readingOrder="1"/>
    </xf>
    <xf numFmtId="0" fontId="111"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164" fontId="4" fillId="0" borderId="0" xfId="930" applyFont="1" applyFill="1" applyAlignment="1">
      <alignment vertical="center"/>
    </xf>
    <xf numFmtId="165" fontId="106" fillId="61" borderId="44" xfId="757" applyNumberFormat="1" applyFont="1" applyBorder="1" applyAlignment="1">
      <alignment horizontal="center" vertical="center" wrapText="1"/>
    </xf>
    <xf numFmtId="165" fontId="134" fillId="0" borderId="35" xfId="760" applyNumberFormat="1" applyFont="1">
      <alignment horizontal="right" vertical="center" indent="1"/>
    </xf>
    <xf numFmtId="165" fontId="4" fillId="0" borderId="0" xfId="537" applyNumberFormat="1" applyFont="1" applyAlignment="1">
      <alignment vertical="top"/>
    </xf>
    <xf numFmtId="165" fontId="108" fillId="61" borderId="34" xfId="757" applyNumberFormat="1" applyFont="1" applyBorder="1">
      <alignment horizontal="right" vertical="center" indent="1"/>
    </xf>
    <xf numFmtId="0" fontId="98" fillId="62" borderId="0" xfId="536" applyFont="1" applyFill="1"/>
    <xf numFmtId="0" fontId="10" fillId="0" borderId="0" xfId="708" applyFont="1" applyAlignment="1">
      <alignment vertical="center"/>
    </xf>
    <xf numFmtId="0" fontId="99" fillId="62" borderId="0" xfId="536" applyFont="1" applyFill="1"/>
    <xf numFmtId="0" fontId="99" fillId="0" borderId="0" xfId="536" applyFont="1"/>
    <xf numFmtId="165" fontId="106" fillId="61" borderId="33" xfId="758" applyFont="1">
      <alignment horizontal="right" vertical="center" indent="1"/>
    </xf>
    <xf numFmtId="165" fontId="4" fillId="0" borderId="0" xfId="488" applyNumberFormat="1" applyFont="1" applyAlignment="1">
      <alignment horizontal="left" vertical="center" wrapText="1" indent="1"/>
    </xf>
    <xf numFmtId="165" fontId="4" fillId="0" borderId="0" xfId="628" applyNumberFormat="1" applyFont="1" applyAlignment="1">
      <alignment vertical="center"/>
    </xf>
    <xf numFmtId="0" fontId="129" fillId="0" borderId="0" xfId="488" applyFont="1" applyAlignment="1">
      <alignment horizontal="left" vertical="center"/>
    </xf>
    <xf numFmtId="0" fontId="99" fillId="0" borderId="0" xfId="0" applyFont="1" applyAlignment="1">
      <alignment horizontal="justify" vertical="center"/>
    </xf>
    <xf numFmtId="173" fontId="108" fillId="0" borderId="0" xfId="939" applyNumberFormat="1" applyFont="1" applyFill="1" applyProtection="1">
      <protection locked="0"/>
    </xf>
    <xf numFmtId="165" fontId="4" fillId="0" borderId="0" xfId="537" applyNumberFormat="1" applyFont="1" applyAlignment="1">
      <alignment vertical="center"/>
    </xf>
    <xf numFmtId="165" fontId="118" fillId="0" borderId="0" xfId="537" applyNumberFormat="1" applyFont="1" applyAlignment="1">
      <alignment vertical="center"/>
    </xf>
    <xf numFmtId="172" fontId="118" fillId="0" borderId="0" xfId="580" applyNumberFormat="1" applyFont="1"/>
    <xf numFmtId="165" fontId="80" fillId="0" borderId="0" xfId="538" applyNumberFormat="1" applyFont="1" applyAlignment="1">
      <alignment horizontal="left" vertical="top"/>
    </xf>
    <xf numFmtId="0" fontId="136" fillId="0" borderId="0" xfId="471" applyFont="1"/>
    <xf numFmtId="165" fontId="4" fillId="0" borderId="0" xfId="515" applyNumberFormat="1" applyFont="1" applyAlignment="1" applyProtection="1">
      <alignment vertical="center"/>
      <protection locked="0"/>
    </xf>
    <xf numFmtId="165" fontId="108" fillId="0" borderId="0" xfId="495" applyNumberFormat="1" applyFont="1" applyAlignment="1" applyProtection="1">
      <alignment vertical="center"/>
      <protection locked="0"/>
    </xf>
    <xf numFmtId="165" fontId="99" fillId="0" borderId="0" xfId="761" applyNumberFormat="1" applyBorder="1"/>
    <xf numFmtId="178" fontId="118" fillId="0" borderId="0" xfId="580" applyNumberFormat="1" applyFont="1" applyAlignment="1">
      <alignment vertical="center" wrapText="1"/>
    </xf>
    <xf numFmtId="178" fontId="118" fillId="0" borderId="0" xfId="580" applyNumberFormat="1" applyFont="1"/>
    <xf numFmtId="167" fontId="107" fillId="0" borderId="0" xfId="495" applyNumberFormat="1" applyFont="1"/>
    <xf numFmtId="167" fontId="99" fillId="0" borderId="0" xfId="495" applyNumberFormat="1" applyFont="1"/>
    <xf numFmtId="168" fontId="2" fillId="0" borderId="0" xfId="495" applyNumberFormat="1" applyFont="1"/>
    <xf numFmtId="165" fontId="2" fillId="0" borderId="0" xfId="471" applyNumberFormat="1" applyFont="1"/>
    <xf numFmtId="0" fontId="99" fillId="62" borderId="0" xfId="761" applyFill="1" applyBorder="1"/>
    <xf numFmtId="0" fontId="120" fillId="0" borderId="0" xfId="471" quotePrefix="1" applyFont="1" applyAlignment="1">
      <alignment wrapText="1"/>
    </xf>
    <xf numFmtId="179" fontId="2" fillId="0" borderId="0" xfId="471" applyNumberFormat="1" applyFont="1"/>
    <xf numFmtId="165" fontId="4" fillId="0" borderId="0" xfId="537" applyNumberFormat="1" applyFont="1" applyAlignment="1">
      <alignment horizontal="left" vertical="center" wrapText="1"/>
    </xf>
    <xf numFmtId="0" fontId="99" fillId="0" borderId="0" xfId="0" applyFont="1" applyAlignment="1">
      <alignment vertical="center" wrapText="1"/>
    </xf>
    <xf numFmtId="165" fontId="108" fillId="0" borderId="0" xfId="538" quotePrefix="1" applyNumberFormat="1" applyFont="1" applyAlignment="1">
      <alignment vertical="top"/>
    </xf>
    <xf numFmtId="0" fontId="104" fillId="63" borderId="60" xfId="755" applyFont="1" applyFill="1" applyBorder="1">
      <alignment horizontal="center" vertical="center" wrapText="1" readingOrder="1"/>
    </xf>
    <xf numFmtId="4" fontId="99" fillId="0" borderId="0" xfId="761" applyNumberFormat="1" applyBorder="1"/>
    <xf numFmtId="165" fontId="4" fillId="0" borderId="0" xfId="495" applyNumberFormat="1" applyFont="1"/>
    <xf numFmtId="165" fontId="106" fillId="61" borderId="63" xfId="757" applyNumberFormat="1" applyFont="1" applyBorder="1">
      <alignment horizontal="right" vertical="center" indent="1"/>
    </xf>
    <xf numFmtId="165" fontId="106" fillId="61" borderId="64" xfId="757" applyNumberFormat="1" applyFont="1" applyBorder="1" applyAlignment="1">
      <alignment vertical="center"/>
    </xf>
    <xf numFmtId="0" fontId="99" fillId="0" borderId="34" xfId="759" applyFont="1" applyAlignment="1">
      <alignment horizontal="left" vertical="center" indent="3"/>
    </xf>
    <xf numFmtId="0" fontId="99" fillId="0" borderId="57" xfId="759" applyFont="1" applyBorder="1" applyAlignment="1">
      <alignment horizontal="left" vertical="center" indent="2"/>
    </xf>
    <xf numFmtId="0" fontId="134" fillId="0" borderId="34" xfId="759" applyFont="1">
      <alignment horizontal="left" vertical="center" indent="1"/>
    </xf>
    <xf numFmtId="0" fontId="104" fillId="63" borderId="55" xfId="755" applyFont="1" applyFill="1" applyBorder="1">
      <alignment horizontal="center" vertical="center" wrapText="1" readingOrder="1"/>
    </xf>
    <xf numFmtId="0" fontId="104" fillId="63" borderId="33" xfId="755" applyFont="1" applyFill="1" applyBorder="1">
      <alignment horizontal="center" vertical="center" wrapText="1" readingOrder="1"/>
    </xf>
    <xf numFmtId="3" fontId="4" fillId="62" borderId="0" xfId="0" applyNumberFormat="1" applyFont="1" applyFill="1" applyAlignment="1">
      <alignment vertical="center"/>
    </xf>
    <xf numFmtId="3" fontId="4" fillId="0" borderId="0" xfId="0" applyNumberFormat="1" applyFont="1" applyAlignment="1">
      <alignment vertical="center"/>
    </xf>
    <xf numFmtId="165" fontId="134" fillId="0" borderId="0" xfId="760" applyNumberFormat="1" applyFont="1" applyBorder="1">
      <alignment horizontal="right" vertical="center" indent="1"/>
    </xf>
    <xf numFmtId="0" fontId="99" fillId="0" borderId="0" xfId="764" applyFill="1" applyAlignment="1">
      <alignment horizontal="right"/>
    </xf>
    <xf numFmtId="0" fontId="104" fillId="0" borderId="0" xfId="755" applyFont="1" applyFill="1" applyBorder="1">
      <alignment horizontal="center" vertical="center" wrapText="1" readingOrder="1"/>
    </xf>
    <xf numFmtId="165" fontId="99" fillId="0" borderId="0" xfId="760" applyNumberFormat="1" applyFont="1" applyBorder="1">
      <alignment horizontal="right" vertical="center" indent="1"/>
    </xf>
    <xf numFmtId="165" fontId="106" fillId="0" borderId="0" xfId="757" applyNumberFormat="1" applyFont="1" applyFill="1" applyBorder="1">
      <alignment horizontal="right" vertical="center" indent="1"/>
    </xf>
    <xf numFmtId="165" fontId="106" fillId="0" borderId="0" xfId="757" applyNumberFormat="1" applyFont="1" applyFill="1" applyBorder="1" applyAlignment="1">
      <alignment horizontal="center" vertical="center" wrapText="1"/>
    </xf>
    <xf numFmtId="0" fontId="141" fillId="0" borderId="0" xfId="0" applyFont="1" applyAlignment="1">
      <alignment horizontal="left" vertical="center" indent="4"/>
    </xf>
    <xf numFmtId="0" fontId="75" fillId="0" borderId="0" xfId="709" applyAlignment="1">
      <alignment horizontal="left" vertical="center" indent="4"/>
    </xf>
    <xf numFmtId="0" fontId="142" fillId="0" borderId="0" xfId="0" applyFont="1" applyAlignment="1">
      <alignment horizontal="left" indent="4"/>
    </xf>
    <xf numFmtId="0" fontId="75" fillId="0" borderId="0" xfId="709" applyAlignment="1">
      <alignment horizontal="left" indent="4"/>
    </xf>
    <xf numFmtId="171" fontId="108" fillId="0" borderId="0" xfId="939" applyNumberFormat="1" applyFont="1" applyFill="1" applyAlignment="1" applyProtection="1">
      <alignment vertical="center"/>
      <protection locked="0"/>
    </xf>
    <xf numFmtId="165" fontId="108" fillId="61" borderId="96" xfId="757" applyNumberFormat="1" applyFont="1" applyBorder="1">
      <alignment horizontal="right" vertical="center" indent="1"/>
    </xf>
    <xf numFmtId="165" fontId="106" fillId="61" borderId="96" xfId="757" applyNumberFormat="1" applyFont="1" applyBorder="1">
      <alignment horizontal="right" vertical="center" indent="1"/>
    </xf>
    <xf numFmtId="0" fontId="143" fillId="0" borderId="0" xfId="0" applyFont="1"/>
    <xf numFmtId="0" fontId="0" fillId="62" borderId="0" xfId="0" applyFill="1"/>
    <xf numFmtId="0" fontId="108" fillId="62" borderId="0" xfId="471" applyFont="1" applyFill="1" applyAlignment="1">
      <alignment vertical="center" wrapText="1"/>
    </xf>
    <xf numFmtId="0" fontId="127" fillId="62" borderId="0" xfId="471" applyFont="1" applyFill="1" applyAlignment="1">
      <alignment vertical="center"/>
    </xf>
    <xf numFmtId="3" fontId="4" fillId="0" borderId="0" xfId="471" applyNumberFormat="1" applyFont="1" applyAlignment="1">
      <alignment vertical="center"/>
    </xf>
    <xf numFmtId="165" fontId="124" fillId="0" borderId="0" xfId="471" quotePrefix="1" applyNumberFormat="1" applyFont="1" applyAlignment="1">
      <alignment vertical="center"/>
    </xf>
    <xf numFmtId="0" fontId="99" fillId="0" borderId="34" xfId="759" applyFont="1" applyAlignment="1">
      <alignment horizontal="left" vertical="center"/>
    </xf>
    <xf numFmtId="3" fontId="99" fillId="0" borderId="35" xfId="760" applyFont="1">
      <alignment horizontal="right" vertical="center" indent="1"/>
    </xf>
    <xf numFmtId="165" fontId="112" fillId="0" borderId="0" xfId="471" applyNumberFormat="1" applyFont="1" applyAlignment="1">
      <alignment vertical="center"/>
    </xf>
    <xf numFmtId="0" fontId="124" fillId="0" borderId="0" xfId="471" quotePrefix="1" applyFont="1" applyAlignment="1">
      <alignment vertical="center"/>
    </xf>
    <xf numFmtId="0" fontId="124" fillId="0" borderId="0" xfId="471" applyFont="1" applyAlignment="1">
      <alignment vertical="center"/>
    </xf>
    <xf numFmtId="165" fontId="4" fillId="0" borderId="0" xfId="609" applyNumberFormat="1" applyFont="1" applyAlignment="1">
      <alignment horizontal="left" vertical="center" wrapText="1"/>
    </xf>
    <xf numFmtId="0" fontId="122" fillId="0" borderId="0" xfId="471" applyFont="1"/>
    <xf numFmtId="0" fontId="200" fillId="0" borderId="47" xfId="423" applyFont="1" applyBorder="1" applyAlignment="1">
      <alignment horizontal="justify"/>
    </xf>
    <xf numFmtId="0" fontId="99" fillId="0" borderId="0" xfId="0" applyFont="1" applyAlignment="1">
      <alignment wrapText="1"/>
    </xf>
    <xf numFmtId="0" fontId="135" fillId="0" borderId="0" xfId="0" applyFont="1" applyAlignment="1">
      <alignment horizontal="left" vertical="center" indent="1"/>
    </xf>
    <xf numFmtId="0" fontId="199" fillId="0" borderId="0" xfId="0" applyFont="1" applyAlignment="1">
      <alignment horizontal="left" vertical="center" indent="2"/>
    </xf>
    <xf numFmtId="0" fontId="99" fillId="0" borderId="0" xfId="0" applyFont="1" applyAlignment="1">
      <alignment horizontal="left" vertical="center" indent="2"/>
    </xf>
    <xf numFmtId="0" fontId="99" fillId="0" borderId="48" xfId="0" applyFont="1" applyBorder="1" applyAlignment="1">
      <alignment horizontal="left" vertical="center" indent="2"/>
    </xf>
    <xf numFmtId="172" fontId="6" fillId="0" borderId="0" xfId="580" applyNumberFormat="1" applyFont="1"/>
    <xf numFmtId="2" fontId="6" fillId="0" borderId="0" xfId="583" applyNumberFormat="1" applyFont="1" applyAlignment="1">
      <alignment vertical="center" wrapText="1"/>
    </xf>
    <xf numFmtId="164" fontId="94" fillId="62" borderId="0" xfId="930" applyFont="1" applyFill="1"/>
    <xf numFmtId="165" fontId="10" fillId="0" borderId="0" xfId="471" applyNumberFormat="1" applyFont="1"/>
    <xf numFmtId="165" fontId="118" fillId="0" borderId="0" xfId="537" applyNumberFormat="1" applyFont="1" applyAlignment="1">
      <alignment vertical="top"/>
    </xf>
    <xf numFmtId="0" fontId="202" fillId="0" borderId="0" xfId="471" applyFont="1" applyAlignment="1">
      <alignment vertical="center"/>
    </xf>
    <xf numFmtId="0" fontId="202" fillId="0" borderId="0" xfId="471" applyFont="1" applyAlignment="1">
      <alignment horizontal="left" vertical="center"/>
    </xf>
    <xf numFmtId="165" fontId="118" fillId="0" borderId="0" xfId="515" applyNumberFormat="1" applyFont="1" applyAlignment="1">
      <alignment vertical="center"/>
    </xf>
    <xf numFmtId="165" fontId="118" fillId="0" borderId="0" xfId="488" applyNumberFormat="1" applyFont="1" applyAlignment="1">
      <alignment vertical="center"/>
    </xf>
    <xf numFmtId="164" fontId="118" fillId="0" borderId="0" xfId="930" applyFont="1" applyFill="1" applyAlignment="1">
      <alignment vertical="center"/>
    </xf>
    <xf numFmtId="0" fontId="102" fillId="0" borderId="0" xfId="0" applyFont="1"/>
    <xf numFmtId="0" fontId="203" fillId="0" borderId="0" xfId="580" applyFont="1"/>
    <xf numFmtId="164" fontId="203" fillId="0" borderId="0" xfId="930" applyFont="1" applyFill="1" applyAlignment="1">
      <alignment vertical="center"/>
    </xf>
    <xf numFmtId="164" fontId="204" fillId="0" borderId="0" xfId="930" applyFont="1" applyFill="1" applyAlignment="1">
      <alignment vertical="center"/>
    </xf>
    <xf numFmtId="164" fontId="204" fillId="0" borderId="0" xfId="930" applyFont="1" applyFill="1" applyAlignment="1">
      <alignment horizontal="left" vertical="center"/>
    </xf>
    <xf numFmtId="164" fontId="203" fillId="0" borderId="0" xfId="930" applyFont="1" applyFill="1" applyBorder="1" applyAlignment="1">
      <alignment vertical="center"/>
    </xf>
    <xf numFmtId="165" fontId="203" fillId="0" borderId="0" xfId="488" applyNumberFormat="1" applyFont="1" applyAlignment="1">
      <alignment vertical="center"/>
    </xf>
    <xf numFmtId="0" fontId="205" fillId="0" borderId="0" xfId="0" applyFont="1"/>
    <xf numFmtId="164" fontId="203" fillId="0" borderId="0" xfId="930" applyFont="1" applyFill="1" applyAlignment="1">
      <alignment horizontal="left" vertical="center"/>
    </xf>
    <xf numFmtId="0" fontId="203" fillId="0" borderId="0" xfId="488" applyFont="1" applyAlignment="1">
      <alignment vertical="center"/>
    </xf>
    <xf numFmtId="0" fontId="203" fillId="0" borderId="0" xfId="488" applyFont="1" applyAlignment="1">
      <alignment horizontal="left" vertical="center"/>
    </xf>
    <xf numFmtId="0" fontId="203" fillId="0" borderId="0" xfId="488" applyFont="1" applyAlignment="1">
      <alignment horizontal="right" vertical="center"/>
    </xf>
    <xf numFmtId="164" fontId="203" fillId="0" borderId="0" xfId="939" applyFont="1" applyFill="1" applyAlignment="1">
      <alignment vertical="center"/>
    </xf>
    <xf numFmtId="175" fontId="203" fillId="0" borderId="0" xfId="939" applyNumberFormat="1" applyFont="1" applyFill="1" applyAlignment="1">
      <alignment vertical="center"/>
    </xf>
    <xf numFmtId="165" fontId="203" fillId="0" borderId="0" xfId="488" applyNumberFormat="1" applyFont="1" applyAlignment="1">
      <alignment horizontal="left" vertical="center"/>
    </xf>
    <xf numFmtId="0" fontId="203" fillId="0" borderId="0" xfId="930" applyNumberFormat="1" applyFont="1" applyFill="1" applyAlignment="1">
      <alignment vertical="center"/>
    </xf>
    <xf numFmtId="0" fontId="105" fillId="61" borderId="112" xfId="756" applyFont="1" applyBorder="1">
      <alignment horizontal="left" vertical="center" wrapText="1" indent="1" readingOrder="1"/>
    </xf>
    <xf numFmtId="0" fontId="105" fillId="61" borderId="42" xfId="756" applyFont="1" applyBorder="1">
      <alignment horizontal="left" vertical="center" wrapText="1" indent="1" readingOrder="1"/>
    </xf>
    <xf numFmtId="165" fontId="4" fillId="0" borderId="0" xfId="515" applyNumberFormat="1" applyFont="1" applyAlignment="1">
      <alignment vertical="center" wrapText="1"/>
    </xf>
    <xf numFmtId="0" fontId="99" fillId="0" borderId="0" xfId="759" applyFont="1" applyBorder="1" applyAlignment="1">
      <alignment horizontal="left" vertical="center" indent="2"/>
    </xf>
    <xf numFmtId="0" fontId="109" fillId="61" borderId="113" xfId="756" applyFont="1" applyBorder="1" applyAlignment="1">
      <alignment horizontal="center" vertical="center" wrapText="1" readingOrder="1"/>
    </xf>
    <xf numFmtId="165" fontId="106" fillId="61" borderId="114" xfId="758" applyFont="1" applyBorder="1">
      <alignment horizontal="right" vertical="center" indent="1"/>
    </xf>
    <xf numFmtId="0" fontId="109" fillId="61" borderId="43" xfId="756" applyFont="1" applyBorder="1" applyAlignment="1">
      <alignment horizontal="center" vertical="center" wrapText="1" readingOrder="1"/>
    </xf>
    <xf numFmtId="165" fontId="106" fillId="61" borderId="44" xfId="758" applyFont="1" applyBorder="1">
      <alignment horizontal="right" vertical="center" indent="1"/>
    </xf>
    <xf numFmtId="0" fontId="105" fillId="0" borderId="0" xfId="756" applyFont="1" applyFill="1" applyBorder="1">
      <alignment horizontal="left" vertical="center" wrapText="1" indent="1" readingOrder="1"/>
    </xf>
    <xf numFmtId="0" fontId="99" fillId="0" borderId="0" xfId="759" applyFont="1" applyBorder="1" applyAlignment="1">
      <alignment horizontal="left" vertical="center" wrapText="1" indent="2"/>
    </xf>
    <xf numFmtId="0" fontId="133" fillId="63" borderId="31" xfId="755" quotePrefix="1" applyFont="1" applyFill="1">
      <alignment horizontal="center" vertical="center" wrapText="1" readingOrder="1"/>
    </xf>
    <xf numFmtId="0" fontId="133" fillId="63" borderId="31" xfId="755" applyFont="1" applyFill="1">
      <alignment horizontal="center" vertical="center" wrapText="1" readingOrder="1"/>
    </xf>
    <xf numFmtId="165" fontId="4" fillId="0" borderId="0" xfId="609" applyNumberFormat="1" applyFont="1" applyAlignment="1">
      <alignment vertical="center" wrapText="1"/>
    </xf>
    <xf numFmtId="0" fontId="99" fillId="0" borderId="0" xfId="761" applyBorder="1" applyAlignment="1">
      <alignment vertical="center" wrapText="1"/>
    </xf>
    <xf numFmtId="213" fontId="104" fillId="63" borderId="40" xfId="755" applyNumberFormat="1" applyFont="1" applyFill="1" applyBorder="1">
      <alignment horizontal="center" vertical="center" wrapText="1" readingOrder="1"/>
    </xf>
    <xf numFmtId="3" fontId="106" fillId="61" borderId="114" xfId="758" applyNumberFormat="1" applyFont="1" applyBorder="1" applyAlignment="1">
      <alignment horizontal="right" vertical="center"/>
    </xf>
    <xf numFmtId="3" fontId="106" fillId="61" borderId="44" xfId="758" applyNumberFormat="1" applyFont="1" applyBorder="1" applyAlignment="1">
      <alignment horizontal="right" vertical="center"/>
    </xf>
    <xf numFmtId="175" fontId="99" fillId="62" borderId="0" xfId="930" applyNumberFormat="1" applyFont="1" applyFill="1"/>
    <xf numFmtId="165" fontId="13" fillId="124" borderId="0" xfId="711" applyNumberFormat="1" applyFont="1" applyFill="1" applyAlignment="1">
      <alignment vertical="center"/>
    </xf>
    <xf numFmtId="0" fontId="9" fillId="0" borderId="0" xfId="580" applyFont="1" applyAlignment="1">
      <alignment horizontal="left" wrapText="1"/>
    </xf>
    <xf numFmtId="0" fontId="4" fillId="0" borderId="0" xfId="471" applyFont="1" applyAlignment="1">
      <alignment vertical="center"/>
    </xf>
    <xf numFmtId="0" fontId="129" fillId="0" borderId="0" xfId="471" applyFont="1" applyAlignment="1">
      <alignment horizontal="left" vertical="center"/>
    </xf>
    <xf numFmtId="0" fontId="4" fillId="0" borderId="0" xfId="488" applyFont="1" applyAlignment="1">
      <alignment horizontal="left" vertical="center"/>
    </xf>
    <xf numFmtId="169" fontId="4" fillId="0" borderId="0" xfId="488" applyNumberFormat="1" applyFont="1" applyAlignment="1">
      <alignment vertical="center"/>
    </xf>
    <xf numFmtId="170" fontId="4" fillId="0" borderId="0" xfId="488" applyNumberFormat="1" applyFont="1" applyAlignment="1">
      <alignment vertical="center"/>
    </xf>
    <xf numFmtId="0" fontId="8" fillId="0" borderId="0" xfId="580" quotePrefix="1" applyFont="1" applyAlignment="1">
      <alignment horizontal="left" indent="1"/>
    </xf>
    <xf numFmtId="0" fontId="4" fillId="0" borderId="0" xfId="580" applyFont="1" applyAlignment="1">
      <alignment horizontal="left" indent="1"/>
    </xf>
    <xf numFmtId="165" fontId="108" fillId="0" borderId="0" xfId="628" quotePrefix="1" applyNumberFormat="1" applyFont="1" applyAlignment="1">
      <alignment horizontal="left" vertical="top" wrapText="1" indent="1"/>
    </xf>
    <xf numFmtId="0" fontId="206" fillId="0" borderId="0" xfId="471" applyFont="1"/>
    <xf numFmtId="165" fontId="206" fillId="0" borderId="0" xfId="471" applyNumberFormat="1" applyFont="1"/>
    <xf numFmtId="0" fontId="206" fillId="62" borderId="0" xfId="471" applyFont="1" applyFill="1"/>
    <xf numFmtId="165" fontId="206" fillId="62" borderId="0" xfId="471" applyNumberFormat="1" applyFont="1" applyFill="1"/>
    <xf numFmtId="0" fontId="6" fillId="0" borderId="0" xfId="580" applyFont="1" applyAlignment="1">
      <alignment horizontal="left" wrapText="1"/>
    </xf>
    <xf numFmtId="0" fontId="207" fillId="0" borderId="0" xfId="0" applyFont="1" applyAlignment="1">
      <alignment horizontal="left"/>
    </xf>
    <xf numFmtId="0" fontId="208" fillId="0" borderId="0" xfId="423" applyFont="1" applyFill="1" applyAlignment="1"/>
    <xf numFmtId="0" fontId="99" fillId="62" borderId="0" xfId="0" applyFont="1" applyFill="1"/>
    <xf numFmtId="0" fontId="99" fillId="0" borderId="0" xfId="0" applyFont="1" applyAlignment="1">
      <alignment horizontal="left" wrapText="1"/>
    </xf>
    <xf numFmtId="0" fontId="104" fillId="63" borderId="0" xfId="755" applyFont="1" applyFill="1" applyBorder="1">
      <alignment horizontal="center" vertical="center" wrapText="1" readingOrder="1"/>
    </xf>
    <xf numFmtId="0" fontId="104" fillId="63" borderId="109" xfId="755" applyFont="1" applyFill="1" applyBorder="1">
      <alignment horizontal="center" vertical="center" wrapText="1" readingOrder="1"/>
    </xf>
    <xf numFmtId="0" fontId="104" fillId="63" borderId="53" xfId="755" quotePrefix="1" applyFont="1" applyFill="1" applyBorder="1">
      <alignment horizontal="center" vertical="center" wrapText="1" readingOrder="1"/>
    </xf>
    <xf numFmtId="0" fontId="104" fillId="63" borderId="0" xfId="755" quotePrefix="1" applyFont="1" applyFill="1" applyBorder="1">
      <alignment horizontal="center" vertical="center" wrapText="1" readingOrder="1"/>
    </xf>
    <xf numFmtId="0" fontId="134" fillId="0" borderId="0" xfId="759" applyFont="1" applyBorder="1">
      <alignment horizontal="left" vertical="center" indent="1"/>
    </xf>
    <xf numFmtId="0" fontId="99" fillId="0" borderId="0" xfId="759" applyFont="1" applyBorder="1" applyAlignment="1">
      <alignment horizontal="left" vertical="center" indent="3"/>
    </xf>
    <xf numFmtId="0" fontId="99" fillId="0" borderId="36" xfId="761"/>
    <xf numFmtId="0" fontId="137" fillId="0" borderId="0" xfId="759" applyFont="1" applyBorder="1" applyAlignment="1">
      <alignment horizontal="left" vertical="center" indent="3"/>
    </xf>
    <xf numFmtId="0" fontId="109" fillId="0" borderId="0" xfId="756" applyFont="1" applyFill="1" applyBorder="1">
      <alignment horizontal="left" vertical="center" wrapText="1" indent="1" readingOrder="1"/>
    </xf>
    <xf numFmtId="165" fontId="134" fillId="123" borderId="35" xfId="760" applyNumberFormat="1" applyFont="1" applyFill="1">
      <alignment horizontal="right" vertical="center" indent="1"/>
    </xf>
    <xf numFmtId="0" fontId="99" fillId="0" borderId="34" xfId="759" applyFont="1" applyAlignment="1">
      <alignment horizontal="left" vertical="center" indent="4"/>
    </xf>
    <xf numFmtId="0" fontId="137" fillId="0" borderId="34" xfId="759" applyFont="1">
      <alignment horizontal="left" vertical="center" indent="1"/>
    </xf>
    <xf numFmtId="0" fontId="99" fillId="0" borderId="57" xfId="759" applyFont="1" applyBorder="1" applyAlignment="1">
      <alignment horizontal="left" vertical="center" indent="3"/>
    </xf>
    <xf numFmtId="165" fontId="4" fillId="0" borderId="0" xfId="515" applyNumberFormat="1" applyFont="1" applyAlignment="1">
      <alignment horizontal="right" vertical="center" indent="1"/>
    </xf>
    <xf numFmtId="165" fontId="4" fillId="0" borderId="0" xfId="488" applyNumberFormat="1" applyFont="1" applyAlignment="1">
      <alignment horizontal="right" vertical="center" indent="1"/>
    </xf>
    <xf numFmtId="165" fontId="4" fillId="0" borderId="0" xfId="488" applyNumberFormat="1" applyFont="1" applyAlignment="1">
      <alignment horizontal="left" vertical="center" indent="1"/>
    </xf>
    <xf numFmtId="165" fontId="4" fillId="0" borderId="47" xfId="515" applyNumberFormat="1" applyFont="1" applyBorder="1" applyAlignment="1">
      <alignment horizontal="right" vertical="center" indent="1"/>
    </xf>
    <xf numFmtId="165" fontId="4" fillId="0" borderId="47" xfId="488" applyNumberFormat="1" applyFont="1" applyBorder="1" applyAlignment="1">
      <alignment horizontal="right" vertical="center" indent="1"/>
    </xf>
    <xf numFmtId="165" fontId="4" fillId="0" borderId="47" xfId="488" applyNumberFormat="1" applyFont="1" applyBorder="1" applyAlignment="1">
      <alignment horizontal="left" vertical="center" wrapText="1" indent="1"/>
    </xf>
    <xf numFmtId="165" fontId="4" fillId="0" borderId="47" xfId="488" applyNumberFormat="1" applyFont="1" applyBorder="1" applyAlignment="1">
      <alignment vertical="center"/>
    </xf>
    <xf numFmtId="165" fontId="4" fillId="0" borderId="0" xfId="487" applyNumberFormat="1" applyFont="1" applyAlignment="1">
      <alignment horizontal="right" vertical="center" indent="1"/>
    </xf>
    <xf numFmtId="165" fontId="108" fillId="0" borderId="35" xfId="760" applyNumberFormat="1" applyFont="1">
      <alignment horizontal="right" vertical="center" indent="1"/>
    </xf>
    <xf numFmtId="165" fontId="108" fillId="0" borderId="39" xfId="760" applyNumberFormat="1" applyFont="1" applyBorder="1">
      <alignment horizontal="right" vertical="center" indent="1"/>
    </xf>
    <xf numFmtId="0" fontId="137" fillId="0" borderId="34" xfId="759" applyFont="1" applyAlignment="1">
      <alignment horizontal="left" vertical="center" indent="3"/>
    </xf>
    <xf numFmtId="165" fontId="4" fillId="0" borderId="35" xfId="0" applyNumberFormat="1" applyFont="1" applyBorder="1" applyAlignment="1">
      <alignment horizontal="right" vertical="center" indent="1"/>
    </xf>
    <xf numFmtId="0" fontId="99" fillId="0" borderId="34" xfId="759" applyFont="1">
      <alignment horizontal="left" vertical="center" indent="1"/>
    </xf>
    <xf numFmtId="0" fontId="99" fillId="0" borderId="34" xfId="759" applyFont="1" applyAlignment="1">
      <alignment horizontal="left" vertical="center" indent="5"/>
    </xf>
    <xf numFmtId="0" fontId="99" fillId="0" borderId="34" xfId="759" applyFont="1" applyAlignment="1">
      <alignment horizontal="left" vertical="center" wrapText="1" indent="5"/>
    </xf>
    <xf numFmtId="0" fontId="99" fillId="0" borderId="0" xfId="759" applyFont="1" applyBorder="1" applyAlignment="1">
      <alignment horizontal="left" vertical="center"/>
    </xf>
    <xf numFmtId="165" fontId="112" fillId="0" borderId="48" xfId="471" applyNumberFormat="1" applyFont="1" applyBorder="1" applyAlignment="1">
      <alignment vertical="center"/>
    </xf>
    <xf numFmtId="0" fontId="99" fillId="0" borderId="97" xfId="759" applyFont="1" applyBorder="1" applyAlignment="1">
      <alignment horizontal="left" vertical="center"/>
    </xf>
    <xf numFmtId="3" fontId="99" fillId="0" borderId="49" xfId="760" applyFont="1" applyBorder="1">
      <alignment horizontal="right" vertical="center" indent="1"/>
    </xf>
    <xf numFmtId="0" fontId="137" fillId="0" borderId="34" xfId="759" applyFont="1" applyAlignment="1">
      <alignment horizontal="left" vertical="center" indent="4"/>
    </xf>
    <xf numFmtId="0" fontId="99" fillId="0" borderId="57" xfId="760" applyNumberFormat="1" applyFont="1" applyBorder="1" applyAlignment="1">
      <alignment horizontal="left" vertical="center" indent="1"/>
    </xf>
    <xf numFmtId="165" fontId="201" fillId="0" borderId="35" xfId="760" applyNumberFormat="1" applyFont="1">
      <alignment horizontal="right" vertical="center" indent="1"/>
    </xf>
    <xf numFmtId="165" fontId="111" fillId="0" borderId="35" xfId="760" applyNumberFormat="1" applyFont="1">
      <alignment horizontal="right" vertical="center" indent="1"/>
    </xf>
    <xf numFmtId="165" fontId="99" fillId="0" borderId="61" xfId="760" applyNumberFormat="1" applyFont="1" applyBorder="1">
      <alignment horizontal="right" vertical="center" indent="1"/>
    </xf>
    <xf numFmtId="165" fontId="99" fillId="0" borderId="65" xfId="760" applyNumberFormat="1" applyFont="1" applyBorder="1">
      <alignment horizontal="right" vertical="center" indent="1"/>
    </xf>
    <xf numFmtId="165" fontId="99" fillId="0" borderId="50" xfId="760" applyNumberFormat="1" applyFont="1" applyBorder="1">
      <alignment horizontal="right" vertical="center" indent="1"/>
    </xf>
    <xf numFmtId="0" fontId="99" fillId="62" borderId="34" xfId="759" applyFont="1" applyFill="1">
      <alignment horizontal="left" vertical="center" indent="1"/>
    </xf>
    <xf numFmtId="165" fontId="99" fillId="62" borderId="35" xfId="760" applyNumberFormat="1" applyFont="1" applyFill="1">
      <alignment horizontal="right" vertical="center" indent="1"/>
    </xf>
    <xf numFmtId="165" fontId="99" fillId="62" borderId="95" xfId="760" applyNumberFormat="1" applyFont="1" applyFill="1" applyBorder="1">
      <alignment horizontal="right" vertical="center" indent="1"/>
    </xf>
    <xf numFmtId="165" fontId="99" fillId="62" borderId="91" xfId="760" applyNumberFormat="1" applyFont="1" applyFill="1" applyBorder="1">
      <alignment horizontal="right" vertical="center" indent="1"/>
    </xf>
    <xf numFmtId="165" fontId="99" fillId="62" borderId="90" xfId="760" applyNumberFormat="1" applyFont="1" applyFill="1" applyBorder="1">
      <alignment horizontal="right" vertical="center" indent="1"/>
    </xf>
    <xf numFmtId="165" fontId="99" fillId="62" borderId="92" xfId="760" applyNumberFormat="1" applyFont="1" applyFill="1" applyBorder="1" applyAlignment="1">
      <alignment horizontal="left" vertical="center" indent="1"/>
    </xf>
    <xf numFmtId="165" fontId="99" fillId="62" borderId="50" xfId="760" applyNumberFormat="1" applyFont="1" applyFill="1" applyBorder="1">
      <alignment horizontal="right" vertical="center" indent="1"/>
    </xf>
    <xf numFmtId="165" fontId="99" fillId="62" borderId="93" xfId="760" applyNumberFormat="1" applyFont="1" applyFill="1" applyBorder="1" applyAlignment="1">
      <alignment horizontal="left" vertical="center" indent="1"/>
    </xf>
    <xf numFmtId="165" fontId="99" fillId="62" borderId="94" xfId="760" applyNumberFormat="1" applyFont="1" applyFill="1" applyBorder="1" applyAlignment="1">
      <alignment horizontal="left" vertical="center" indent="1"/>
    </xf>
    <xf numFmtId="165" fontId="99" fillId="62" borderId="96" xfId="760" applyNumberFormat="1" applyFont="1" applyFill="1" applyBorder="1">
      <alignment horizontal="right" vertical="center" indent="1"/>
    </xf>
    <xf numFmtId="0" fontId="134" fillId="62" borderId="34" xfId="759" applyFont="1" applyFill="1">
      <alignment horizontal="left" vertical="center" indent="1"/>
    </xf>
    <xf numFmtId="165" fontId="134" fillId="62" borderId="35" xfId="760" applyNumberFormat="1" applyFont="1" applyFill="1">
      <alignment horizontal="right" vertical="center" indent="1"/>
    </xf>
    <xf numFmtId="0" fontId="99" fillId="62" borderId="34" xfId="759" applyFont="1" applyFill="1" applyAlignment="1">
      <alignment horizontal="left" vertical="center" indent="2"/>
    </xf>
    <xf numFmtId="0" fontId="99" fillId="0" borderId="34" xfId="759" applyFont="1" applyAlignment="1">
      <alignment horizontal="left" vertical="center" indent="6"/>
    </xf>
    <xf numFmtId="177" fontId="99" fillId="0" borderId="39" xfId="804" applyNumberFormat="1" applyFont="1" applyFill="1" applyBorder="1" applyAlignment="1">
      <alignment horizontal="right" vertical="center" indent="1"/>
    </xf>
    <xf numFmtId="0" fontId="99" fillId="0" borderId="50" xfId="759" applyFont="1" applyBorder="1" applyAlignment="1">
      <alignment vertical="center"/>
    </xf>
    <xf numFmtId="165" fontId="134" fillId="0" borderId="50" xfId="760" applyNumberFormat="1" applyFont="1" applyBorder="1">
      <alignment horizontal="right" vertical="center" indent="1"/>
    </xf>
    <xf numFmtId="165" fontId="4" fillId="0" borderId="50" xfId="515" applyNumberFormat="1" applyFont="1" applyBorder="1" applyAlignment="1">
      <alignment vertical="center"/>
    </xf>
    <xf numFmtId="165" fontId="124" fillId="0" borderId="50" xfId="515" applyNumberFormat="1" applyFont="1" applyBorder="1" applyAlignment="1">
      <alignment vertical="center"/>
    </xf>
    <xf numFmtId="165" fontId="4" fillId="0" borderId="0" xfId="488" applyNumberFormat="1" applyFont="1" applyAlignment="1">
      <alignment horizontal="left" vertical="center" indent="2"/>
    </xf>
    <xf numFmtId="165" fontId="4" fillId="0" borderId="58" xfId="515" applyNumberFormat="1" applyFont="1" applyBorder="1" applyAlignment="1">
      <alignment vertical="center"/>
    </xf>
    <xf numFmtId="165" fontId="99" fillId="0" borderId="58" xfId="760" applyNumberFormat="1" applyFont="1" applyBorder="1">
      <alignment horizontal="right" vertical="center" indent="1"/>
    </xf>
    <xf numFmtId="165" fontId="106" fillId="0" borderId="35" xfId="760" applyNumberFormat="1" applyFont="1">
      <alignment horizontal="right" vertical="center" indent="1"/>
    </xf>
    <xf numFmtId="165" fontId="4" fillId="0" borderId="47" xfId="628" applyNumberFormat="1" applyFont="1" applyBorder="1" applyAlignment="1">
      <alignment vertical="center"/>
    </xf>
    <xf numFmtId="165" fontId="4" fillId="0" borderId="47" xfId="515" applyNumberFormat="1" applyFont="1" applyBorder="1" applyAlignment="1">
      <alignment vertical="center"/>
    </xf>
    <xf numFmtId="0" fontId="99" fillId="0" borderId="34" xfId="759" applyFont="1" applyAlignment="1">
      <alignment horizontal="left" vertical="center" wrapText="1" indent="3"/>
    </xf>
    <xf numFmtId="0" fontId="134" fillId="0" borderId="0" xfId="759" applyFont="1" applyBorder="1" applyAlignment="1">
      <alignment horizontal="center" vertical="center"/>
    </xf>
    <xf numFmtId="0" fontId="134" fillId="0" borderId="0" xfId="759" applyFont="1" applyBorder="1" applyAlignment="1">
      <alignment horizontal="left" vertical="center" indent="2"/>
    </xf>
    <xf numFmtId="0" fontId="134" fillId="0" borderId="0" xfId="0" applyFont="1"/>
    <xf numFmtId="0" fontId="108" fillId="0" borderId="0" xfId="759" applyFont="1" applyBorder="1" applyAlignment="1">
      <alignment horizontal="left" vertical="center" indent="3"/>
    </xf>
    <xf numFmtId="0" fontId="99" fillId="0" borderId="0" xfId="759" applyFont="1" applyBorder="1">
      <alignment horizontal="left" vertical="center" indent="1"/>
    </xf>
    <xf numFmtId="0" fontId="99" fillId="0" borderId="34" xfId="759" applyFont="1" applyAlignment="1">
      <alignment horizontal="center" vertical="center"/>
    </xf>
    <xf numFmtId="3" fontId="99" fillId="0" borderId="35" xfId="760" applyFont="1" applyAlignment="1">
      <alignment horizontal="right" vertical="center"/>
    </xf>
    <xf numFmtId="0" fontId="99" fillId="0" borderId="34" xfId="759" quotePrefix="1" applyFont="1" applyAlignment="1">
      <alignment horizontal="left" vertical="center" wrapText="1"/>
    </xf>
    <xf numFmtId="0" fontId="99" fillId="62" borderId="34" xfId="759" applyFont="1" applyFill="1" applyAlignment="1">
      <alignment horizontal="left" vertical="center" wrapText="1"/>
    </xf>
    <xf numFmtId="0" fontId="99" fillId="62" borderId="34" xfId="759" quotePrefix="1" applyFont="1" applyFill="1" applyAlignment="1">
      <alignment horizontal="left" vertical="center" wrapText="1"/>
    </xf>
    <xf numFmtId="165" fontId="138" fillId="62" borderId="0" xfId="660" applyNumberFormat="1" applyFont="1" applyFill="1" applyAlignment="1">
      <alignment horizontal="left" wrapText="1"/>
    </xf>
    <xf numFmtId="176" fontId="113" fillId="0" borderId="0" xfId="495" applyNumberFormat="1" applyFont="1" applyAlignment="1">
      <alignment horizontal="center" vertical="center"/>
    </xf>
    <xf numFmtId="176" fontId="113" fillId="0" borderId="0" xfId="495" applyNumberFormat="1" applyFont="1" applyAlignment="1">
      <alignment horizontal="center" vertical="center" wrapText="1"/>
    </xf>
    <xf numFmtId="0" fontId="209" fillId="0" borderId="0" xfId="0" applyFont="1" applyAlignment="1">
      <alignment horizontal="center" vertical="center"/>
    </xf>
    <xf numFmtId="0" fontId="210" fillId="0" borderId="0" xfId="423" applyFont="1" applyFill="1" applyAlignment="1">
      <alignment horizontal="center" vertical="top"/>
    </xf>
    <xf numFmtId="0" fontId="99" fillId="0" borderId="0" xfId="761" applyBorder="1" applyAlignment="1">
      <alignment horizontal="left" wrapText="1"/>
    </xf>
    <xf numFmtId="0" fontId="99" fillId="62" borderId="0" xfId="764"/>
    <xf numFmtId="0" fontId="104" fillId="63" borderId="31" xfId="755" applyFont="1" applyFill="1">
      <alignment horizontal="center" vertical="center" wrapText="1" readingOrder="1"/>
    </xf>
    <xf numFmtId="0" fontId="99" fillId="0" borderId="0" xfId="759" applyFont="1" applyBorder="1" applyAlignment="1">
      <alignment horizontal="left" vertical="center" indent="2"/>
    </xf>
    <xf numFmtId="0" fontId="99" fillId="0" borderId="34" xfId="759" applyFont="1" applyAlignment="1">
      <alignment horizontal="left" vertical="center" indent="2"/>
    </xf>
    <xf numFmtId="0" fontId="99" fillId="0" borderId="0" xfId="759" applyFont="1" applyBorder="1" applyAlignment="1">
      <alignment horizontal="left" vertical="center" indent="3"/>
    </xf>
    <xf numFmtId="0" fontId="99" fillId="0" borderId="34" xfId="759" applyFont="1" applyAlignment="1">
      <alignment horizontal="left" vertical="center" indent="3"/>
    </xf>
    <xf numFmtId="0" fontId="99" fillId="0" borderId="47" xfId="759" applyFont="1" applyBorder="1" applyAlignment="1">
      <alignment horizontal="left" vertical="center" indent="2"/>
    </xf>
    <xf numFmtId="0" fontId="99" fillId="0" borderId="57" xfId="759" applyFont="1" applyBorder="1" applyAlignment="1">
      <alignment horizontal="left" vertical="center" indent="2"/>
    </xf>
    <xf numFmtId="0" fontId="134" fillId="0" borderId="0" xfId="759" applyFont="1" applyBorder="1">
      <alignment horizontal="left" vertical="center" indent="1"/>
    </xf>
    <xf numFmtId="0" fontId="134" fillId="0" borderId="34" xfId="759" applyFont="1">
      <alignment horizontal="left" vertical="center" indent="1"/>
    </xf>
    <xf numFmtId="0" fontId="105" fillId="61" borderId="66" xfId="756" applyFont="1" applyBorder="1">
      <alignment horizontal="left" vertical="center" wrapText="1" indent="1" readingOrder="1"/>
    </xf>
    <xf numFmtId="0" fontId="105" fillId="61" borderId="41" xfId="756" applyFont="1" applyBorder="1">
      <alignment horizontal="left" vertical="center" wrapText="1" indent="1" readingOrder="1"/>
    </xf>
    <xf numFmtId="0" fontId="99" fillId="0" borderId="67" xfId="759" applyFont="1" applyBorder="1" applyAlignment="1">
      <alignment horizontal="left" vertical="center" indent="2"/>
    </xf>
    <xf numFmtId="0" fontId="99" fillId="0" borderId="68" xfId="759" applyFont="1" applyBorder="1" applyAlignment="1">
      <alignment horizontal="left" vertical="center" indent="2"/>
    </xf>
    <xf numFmtId="0" fontId="104" fillId="63" borderId="55" xfId="755" applyFont="1" applyFill="1" applyBorder="1">
      <alignment horizontal="center" vertical="center" wrapText="1" readingOrder="1"/>
    </xf>
    <xf numFmtId="0" fontId="104" fillId="63" borderId="69" xfId="755" applyFont="1" applyFill="1" applyBorder="1">
      <alignment horizontal="center" vertical="center" wrapText="1" readingOrder="1"/>
    </xf>
    <xf numFmtId="0" fontId="104" fillId="63" borderId="70" xfId="755" applyFont="1" applyFill="1" applyBorder="1">
      <alignment horizontal="center" vertical="center" wrapText="1" readingOrder="1"/>
    </xf>
    <xf numFmtId="0" fontId="99" fillId="0" borderId="0" xfId="764" applyFill="1" applyAlignment="1">
      <alignment horizontal="left" vertical="center" wrapText="1"/>
    </xf>
    <xf numFmtId="0" fontId="104" fillId="63" borderId="54" xfId="755" applyFont="1" applyFill="1" applyBorder="1">
      <alignment horizontal="center" vertical="center" wrapText="1" readingOrder="1"/>
    </xf>
    <xf numFmtId="0" fontId="104" fillId="63" borderId="0" xfId="755" applyFont="1" applyFill="1" applyBorder="1">
      <alignment horizontal="center" vertical="center" wrapText="1" readingOrder="1"/>
    </xf>
    <xf numFmtId="0" fontId="133" fillId="63" borderId="40" xfId="755" applyFont="1" applyFill="1" applyBorder="1">
      <alignment horizontal="center" vertical="center" wrapText="1" readingOrder="1"/>
    </xf>
    <xf numFmtId="0" fontId="133" fillId="63" borderId="51" xfId="755" applyFont="1" applyFill="1" applyBorder="1">
      <alignment horizontal="center" vertical="center" wrapText="1" readingOrder="1"/>
    </xf>
    <xf numFmtId="0" fontId="133" fillId="63" borderId="71" xfId="755" applyFont="1" applyFill="1" applyBorder="1">
      <alignment horizontal="center" vertical="center" wrapText="1" readingOrder="1"/>
    </xf>
    <xf numFmtId="0" fontId="133" fillId="63" borderId="59" xfId="755" applyFont="1" applyFill="1" applyBorder="1">
      <alignment horizontal="center" vertical="center" wrapText="1" readingOrder="1"/>
    </xf>
    <xf numFmtId="0" fontId="133" fillId="63" borderId="45" xfId="755" applyFont="1" applyFill="1" applyBorder="1">
      <alignment horizontal="center" vertical="center" wrapText="1" readingOrder="1"/>
    </xf>
    <xf numFmtId="0" fontId="133" fillId="63" borderId="46" xfId="755" applyFont="1" applyFill="1" applyBorder="1">
      <alignment horizontal="center" vertical="center" wrapText="1" readingOrder="1"/>
    </xf>
    <xf numFmtId="165" fontId="111" fillId="0" borderId="0" xfId="488" applyNumberFormat="1" applyFont="1" applyAlignment="1">
      <alignment horizontal="left" vertical="center" wrapText="1"/>
    </xf>
    <xf numFmtId="165" fontId="111" fillId="0" borderId="0" xfId="488" applyNumberFormat="1" applyFont="1" applyAlignment="1">
      <alignment horizontal="left" vertical="top" wrapText="1"/>
    </xf>
    <xf numFmtId="0" fontId="139" fillId="62" borderId="0" xfId="762" applyFont="1" applyAlignment="1">
      <alignment horizontal="center" vertical="center"/>
    </xf>
    <xf numFmtId="0" fontId="104" fillId="63" borderId="72" xfId="755" applyFont="1" applyFill="1" applyBorder="1">
      <alignment horizontal="center" vertical="center" wrapText="1" readingOrder="1"/>
    </xf>
    <xf numFmtId="0" fontId="104" fillId="63" borderId="73" xfId="755" applyFont="1" applyFill="1" applyBorder="1">
      <alignment horizontal="center" vertical="center" wrapText="1" readingOrder="1"/>
    </xf>
    <xf numFmtId="0" fontId="104" fillId="63" borderId="74" xfId="755" applyFont="1" applyFill="1" applyBorder="1">
      <alignment horizontal="center" vertical="center" wrapText="1" readingOrder="1"/>
    </xf>
    <xf numFmtId="0" fontId="104" fillId="63" borderId="45" xfId="755" applyFont="1" applyFill="1" applyBorder="1">
      <alignment horizontal="center" vertical="center" wrapText="1" readingOrder="1"/>
    </xf>
    <xf numFmtId="0" fontId="104" fillId="63" borderId="46" xfId="755" applyFont="1" applyFill="1" applyBorder="1">
      <alignment horizontal="center" vertical="center" wrapText="1" readingOrder="1"/>
    </xf>
    <xf numFmtId="0" fontId="104" fillId="63" borderId="51" xfId="755" applyFont="1" applyFill="1" applyBorder="1">
      <alignment horizontal="center" vertical="center" wrapText="1" readingOrder="1"/>
    </xf>
    <xf numFmtId="0" fontId="104" fillId="63" borderId="40" xfId="755" applyFont="1" applyFill="1" applyBorder="1">
      <alignment horizontal="center" vertical="center" wrapText="1" readingOrder="1"/>
    </xf>
    <xf numFmtId="0" fontId="104" fillId="63" borderId="59" xfId="755" applyFont="1" applyFill="1" applyBorder="1">
      <alignment horizontal="center" vertical="center" wrapText="1" readingOrder="1"/>
    </xf>
    <xf numFmtId="165" fontId="4" fillId="0" borderId="0" xfId="515" applyNumberFormat="1" applyFont="1" applyAlignment="1">
      <alignment horizontal="left" vertical="center"/>
    </xf>
    <xf numFmtId="165" fontId="4" fillId="0" borderId="0" xfId="609" applyNumberFormat="1" applyFont="1" applyAlignment="1">
      <alignment vertical="center" wrapText="1"/>
    </xf>
    <xf numFmtId="165" fontId="4" fillId="123" borderId="0" xfId="515" applyNumberFormat="1" applyFont="1" applyFill="1" applyAlignment="1">
      <alignment horizontal="left" vertical="center" wrapText="1"/>
    </xf>
    <xf numFmtId="0" fontId="4" fillId="0" borderId="0" xfId="537" applyFont="1" applyAlignment="1">
      <alignment horizontal="left" vertical="center" wrapText="1"/>
    </xf>
    <xf numFmtId="0" fontId="4" fillId="0" borderId="0" xfId="580" applyFont="1" applyAlignment="1">
      <alignment horizontal="left" wrapText="1"/>
    </xf>
    <xf numFmtId="165" fontId="120" fillId="0" borderId="0" xfId="515" applyNumberFormat="1" applyFont="1" applyAlignment="1">
      <alignment horizontal="left" vertical="center" wrapText="1"/>
    </xf>
    <xf numFmtId="165" fontId="118" fillId="0" borderId="0" xfId="515" applyNumberFormat="1" applyFont="1" applyAlignment="1">
      <alignment horizontal="left" vertical="center" wrapText="1"/>
    </xf>
    <xf numFmtId="2" fontId="6" fillId="0" borderId="0" xfId="580" applyNumberFormat="1" applyFont="1" applyAlignment="1">
      <alignment horizontal="left" vertical="center" wrapText="1"/>
    </xf>
    <xf numFmtId="2" fontId="6" fillId="0" borderId="0" xfId="583" applyNumberFormat="1" applyFont="1" applyAlignment="1">
      <alignment horizontal="left" vertical="center" wrapText="1" indent="1"/>
    </xf>
    <xf numFmtId="0" fontId="103" fillId="62" borderId="0" xfId="762" applyFont="1" applyAlignment="1">
      <alignment horizontal="left" vertical="center" wrapText="1"/>
    </xf>
    <xf numFmtId="0" fontId="120" fillId="0" borderId="0" xfId="593" quotePrefix="1" applyFont="1" applyAlignment="1">
      <alignment horizontal="left" vertical="top" wrapText="1"/>
    </xf>
    <xf numFmtId="0" fontId="120" fillId="0" borderId="0" xfId="593" applyFont="1" applyAlignment="1">
      <alignment horizontal="left" vertical="top" wrapText="1"/>
    </xf>
    <xf numFmtId="0" fontId="4" fillId="0" borderId="0" xfId="580" applyFont="1" applyAlignment="1">
      <alignment horizontal="left" vertical="center" wrapText="1"/>
    </xf>
    <xf numFmtId="0" fontId="118" fillId="0" borderId="0" xfId="593" applyFont="1" applyAlignment="1">
      <alignment horizontal="left" wrapText="1"/>
    </xf>
    <xf numFmtId="0" fontId="118" fillId="0" borderId="0" xfId="593" quotePrefix="1" applyFont="1" applyAlignment="1">
      <alignment horizontal="left" vertical="top" wrapText="1"/>
    </xf>
    <xf numFmtId="0" fontId="118" fillId="0" borderId="0" xfId="593" applyFont="1" applyAlignment="1">
      <alignment horizontal="left" vertical="top" wrapText="1"/>
    </xf>
    <xf numFmtId="165" fontId="108" fillId="0" borderId="0" xfId="488" applyNumberFormat="1" applyFont="1" applyAlignment="1" applyProtection="1">
      <alignment vertical="center" wrapText="1"/>
      <protection locked="0"/>
    </xf>
    <xf numFmtId="165" fontId="108" fillId="0" borderId="0" xfId="488" applyNumberFormat="1" applyFont="1" applyAlignment="1" applyProtection="1">
      <alignment horizontal="left" vertical="center" wrapText="1"/>
      <protection locked="0"/>
    </xf>
    <xf numFmtId="0" fontId="104" fillId="63" borderId="56" xfId="755" applyFont="1" applyFill="1" applyBorder="1">
      <alignment horizontal="center" vertical="center" wrapText="1" readingOrder="1"/>
    </xf>
    <xf numFmtId="0" fontId="104" fillId="63" borderId="75" xfId="755" applyFont="1" applyFill="1" applyBorder="1">
      <alignment horizontal="center" vertical="center" wrapText="1" readingOrder="1"/>
    </xf>
    <xf numFmtId="0" fontId="104" fillId="63" borderId="76" xfId="755" applyFont="1" applyFill="1" applyBorder="1">
      <alignment horizontal="center" vertical="center" wrapText="1" readingOrder="1"/>
    </xf>
    <xf numFmtId="0" fontId="104" fillId="63" borderId="62" xfId="755" applyFont="1" applyFill="1" applyBorder="1">
      <alignment horizontal="center" vertical="center" wrapText="1" readingOrder="1"/>
    </xf>
    <xf numFmtId="0" fontId="104" fillId="63" borderId="77" xfId="755" applyFont="1" applyFill="1" applyBorder="1">
      <alignment horizontal="center" vertical="center" wrapText="1" readingOrder="1"/>
    </xf>
    <xf numFmtId="0" fontId="104" fillId="63" borderId="78" xfId="755" applyFont="1" applyFill="1" applyBorder="1">
      <alignment horizontal="center" vertical="center" wrapText="1" readingOrder="1"/>
    </xf>
    <xf numFmtId="0" fontId="104" fillId="63" borderId="79" xfId="755" applyFont="1" applyFill="1" applyBorder="1">
      <alignment horizontal="center" vertical="center" wrapText="1" readingOrder="1"/>
    </xf>
    <xf numFmtId="0" fontId="6" fillId="0" borderId="0" xfId="580" applyFont="1" applyAlignment="1">
      <alignment horizontal="left" vertical="center" wrapText="1" indent="1"/>
    </xf>
    <xf numFmtId="0" fontId="99" fillId="0" borderId="0" xfId="471" applyFont="1" applyAlignment="1">
      <alignment wrapText="1"/>
    </xf>
    <xf numFmtId="0" fontId="1" fillId="0" borderId="0" xfId="471" applyAlignment="1">
      <alignment wrapText="1"/>
    </xf>
    <xf numFmtId="0" fontId="108" fillId="0" borderId="0" xfId="471" applyFont="1" applyAlignment="1">
      <alignment horizontal="left" vertical="top" wrapText="1"/>
    </xf>
    <xf numFmtId="0" fontId="6" fillId="0" borderId="0" xfId="580" applyFont="1" applyAlignment="1">
      <alignment horizontal="left" vertical="top" wrapText="1"/>
    </xf>
    <xf numFmtId="0" fontId="9" fillId="0" borderId="0" xfId="580" applyFont="1" applyAlignment="1">
      <alignment horizontal="left" wrapText="1"/>
    </xf>
    <xf numFmtId="0" fontId="111" fillId="0" borderId="0" xfId="580" applyFont="1" applyAlignment="1">
      <alignment horizontal="left" vertical="top" wrapText="1"/>
    </xf>
    <xf numFmtId="0" fontId="140" fillId="0" borderId="0" xfId="580" applyFont="1" applyAlignment="1">
      <alignment horizontal="left" vertical="top" wrapText="1"/>
    </xf>
    <xf numFmtId="0" fontId="6" fillId="0" borderId="0" xfId="580" applyFont="1" applyAlignment="1">
      <alignment horizontal="left" vertical="justify" wrapText="1"/>
    </xf>
    <xf numFmtId="0" fontId="1" fillId="0" borderId="0" xfId="471" applyAlignment="1">
      <alignment horizontal="left" vertical="justify" wrapText="1"/>
    </xf>
    <xf numFmtId="0" fontId="111" fillId="123" borderId="0" xfId="580" applyFont="1" applyFill="1" applyAlignment="1">
      <alignment horizontal="left" wrapText="1"/>
    </xf>
    <xf numFmtId="0" fontId="111" fillId="0" borderId="0" xfId="580" applyFont="1" applyAlignment="1">
      <alignment horizontal="left" wrapText="1"/>
    </xf>
    <xf numFmtId="0" fontId="140" fillId="0" borderId="0" xfId="580" applyFont="1" applyAlignment="1">
      <alignment horizontal="left" wrapText="1"/>
    </xf>
    <xf numFmtId="0" fontId="104" fillId="63" borderId="60" xfId="755" applyFont="1" applyFill="1" applyBorder="1">
      <alignment horizontal="center" vertical="center" wrapText="1" readingOrder="1"/>
    </xf>
    <xf numFmtId="0" fontId="104" fillId="63" borderId="82" xfId="755" applyFont="1" applyFill="1" applyBorder="1">
      <alignment horizontal="center" vertical="center" wrapText="1" readingOrder="1"/>
    </xf>
    <xf numFmtId="0" fontId="104" fillId="63" borderId="115" xfId="755" applyFont="1" applyFill="1" applyBorder="1">
      <alignment horizontal="center" vertical="center" wrapText="1" readingOrder="1"/>
    </xf>
    <xf numFmtId="0" fontId="104" fillId="63" borderId="85" xfId="755" applyFont="1" applyFill="1" applyBorder="1">
      <alignment horizontal="center" vertical="center" wrapText="1" readingOrder="1"/>
    </xf>
    <xf numFmtId="0" fontId="132" fillId="62" borderId="0" xfId="756" applyFont="1" applyFill="1" applyBorder="1" applyAlignment="1">
      <alignment horizontal="left" vertical="center" wrapText="1" readingOrder="1"/>
    </xf>
    <xf numFmtId="165" fontId="108" fillId="0" borderId="0" xfId="538" applyNumberFormat="1" applyFont="1" applyAlignment="1">
      <alignment horizontal="left" vertical="top" wrapText="1"/>
    </xf>
    <xf numFmtId="0" fontId="104" fillId="63" borderId="109" xfId="755" applyFont="1" applyFill="1" applyBorder="1">
      <alignment horizontal="center" vertical="center" wrapText="1" readingOrder="1"/>
    </xf>
    <xf numFmtId="165" fontId="106" fillId="61" borderId="80" xfId="757" applyNumberFormat="1" applyFont="1" applyBorder="1" applyAlignment="1">
      <alignment horizontal="left" vertical="center" indent="1"/>
    </xf>
    <xf numFmtId="165" fontId="106" fillId="61" borderId="81" xfId="757" applyNumberFormat="1" applyFont="1" applyBorder="1" applyAlignment="1">
      <alignment horizontal="left" vertical="center" indent="1"/>
    </xf>
    <xf numFmtId="0" fontId="99" fillId="62" borderId="34" xfId="759" applyFont="1" applyFill="1" applyAlignment="1">
      <alignment horizontal="center" vertical="center" textRotation="90"/>
    </xf>
    <xf numFmtId="165" fontId="106" fillId="61" borderId="83" xfId="757" applyNumberFormat="1" applyFont="1" applyBorder="1" applyAlignment="1">
      <alignment horizontal="left" vertical="center" indent="1"/>
    </xf>
    <xf numFmtId="165" fontId="106" fillId="61" borderId="84" xfId="757" applyNumberFormat="1" applyFont="1" applyBorder="1" applyAlignment="1">
      <alignment horizontal="left" vertical="center" indent="1"/>
    </xf>
    <xf numFmtId="0" fontId="99" fillId="62" borderId="98" xfId="759" applyFont="1" applyFill="1" applyBorder="1" applyAlignment="1">
      <alignment horizontal="center" vertical="center" textRotation="90"/>
    </xf>
    <xf numFmtId="0" fontId="108" fillId="0" borderId="0" xfId="0" applyFont="1" applyAlignment="1">
      <alignment horizontal="left" vertical="center" wrapText="1"/>
    </xf>
    <xf numFmtId="165" fontId="108" fillId="0" borderId="0" xfId="538" quotePrefix="1" applyNumberFormat="1" applyFont="1" applyAlignment="1">
      <alignment horizontal="left" vertical="top" wrapText="1"/>
    </xf>
    <xf numFmtId="165" fontId="4" fillId="0" borderId="0" xfId="515" applyNumberFormat="1" applyFont="1" applyAlignment="1">
      <alignment horizontal="left" vertical="center" wrapText="1"/>
    </xf>
    <xf numFmtId="0" fontId="108" fillId="0" borderId="0" xfId="0" applyFont="1" applyAlignment="1">
      <alignment horizontal="left" vertical="top" wrapText="1"/>
    </xf>
    <xf numFmtId="165" fontId="108" fillId="0" borderId="0" xfId="538" applyNumberFormat="1" applyFont="1" applyAlignment="1">
      <alignment horizontal="left" vertical="top"/>
    </xf>
    <xf numFmtId="165" fontId="108" fillId="0" borderId="0" xfId="538" quotePrefix="1" applyNumberFormat="1" applyFont="1" applyAlignment="1">
      <alignment horizontal="left" vertical="top"/>
    </xf>
    <xf numFmtId="0" fontId="104" fillId="63" borderId="33" xfId="755" applyFont="1" applyFill="1" applyBorder="1">
      <alignment horizontal="center" vertical="center" wrapText="1" readingOrder="1"/>
    </xf>
    <xf numFmtId="165" fontId="127" fillId="0" borderId="0" xfId="471" applyNumberFormat="1" applyFont="1" applyAlignment="1">
      <alignment horizontal="left" vertical="top" wrapText="1"/>
    </xf>
    <xf numFmtId="165" fontId="108" fillId="0" borderId="0" xfId="471" applyNumberFormat="1" applyFont="1" applyAlignment="1">
      <alignment horizontal="left" vertical="center" wrapText="1"/>
    </xf>
    <xf numFmtId="165" fontId="108" fillId="0" borderId="0" xfId="471" applyNumberFormat="1" applyFont="1" applyAlignment="1">
      <alignment horizontal="left" vertical="center"/>
    </xf>
    <xf numFmtId="0" fontId="104" fillId="63" borderId="110" xfId="755" applyFont="1" applyFill="1" applyBorder="1">
      <alignment horizontal="center" vertical="center" wrapText="1" readingOrder="1"/>
    </xf>
    <xf numFmtId="0" fontId="104" fillId="63" borderId="111" xfId="755" applyFont="1" applyFill="1" applyBorder="1">
      <alignment horizontal="center" vertical="center" wrapText="1" readingOrder="1"/>
    </xf>
    <xf numFmtId="0" fontId="105" fillId="61" borderId="55" xfId="756" applyFont="1" applyBorder="1">
      <alignment horizontal="left" vertical="center" wrapText="1" indent="1" readingOrder="1"/>
    </xf>
    <xf numFmtId="0" fontId="105" fillId="61" borderId="69" xfId="756" applyFont="1" applyBorder="1">
      <alignment horizontal="left" vertical="center" wrapText="1" indent="1" readingOrder="1"/>
    </xf>
    <xf numFmtId="0" fontId="137" fillId="0" borderId="0" xfId="759" applyFont="1" applyBorder="1">
      <alignment horizontal="left" vertical="center" indent="1"/>
    </xf>
    <xf numFmtId="0" fontId="4" fillId="0" borderId="0" xfId="471" quotePrefix="1" applyFont="1" applyAlignment="1">
      <alignment horizontal="left" vertical="center" wrapText="1"/>
    </xf>
    <xf numFmtId="0" fontId="99" fillId="0" borderId="47" xfId="759" applyFont="1" applyBorder="1" applyAlignment="1">
      <alignment horizontal="left" vertical="center" indent="3"/>
    </xf>
    <xf numFmtId="0" fontId="104" fillId="63" borderId="83" xfId="755" applyFont="1" applyFill="1" applyBorder="1">
      <alignment horizontal="center" vertical="center" wrapText="1" readingOrder="1"/>
    </xf>
    <xf numFmtId="0" fontId="104" fillId="63" borderId="67" xfId="755" applyFont="1" applyFill="1" applyBorder="1">
      <alignment horizontal="center" vertical="center" wrapText="1" readingOrder="1"/>
    </xf>
    <xf numFmtId="0" fontId="105" fillId="61" borderId="0" xfId="756" applyFont="1" applyBorder="1">
      <alignment horizontal="left" vertical="center" wrapText="1" indent="1" readingOrder="1"/>
    </xf>
    <xf numFmtId="165" fontId="4" fillId="0" borderId="0" xfId="609" applyNumberFormat="1" applyFont="1" applyAlignment="1">
      <alignment horizontal="left" vertical="center" wrapText="1"/>
    </xf>
    <xf numFmtId="0" fontId="99" fillId="0" borderId="0" xfId="761" applyBorder="1" applyAlignment="1">
      <alignment horizontal="left" vertical="center" wrapText="1"/>
    </xf>
    <xf numFmtId="165" fontId="4" fillId="0" borderId="0" xfId="537" applyNumberFormat="1" applyFont="1" applyAlignment="1">
      <alignment horizontal="left" vertical="center" wrapText="1"/>
    </xf>
    <xf numFmtId="0" fontId="99" fillId="0" borderId="0" xfId="0" quotePrefix="1" applyFont="1" applyAlignment="1">
      <alignment horizontal="left" vertical="center" wrapText="1"/>
    </xf>
    <xf numFmtId="0" fontId="0" fillId="0" borderId="0" xfId="0" applyAlignment="1">
      <alignment horizontal="left" vertical="center" wrapText="1"/>
    </xf>
    <xf numFmtId="0" fontId="109" fillId="61" borderId="85" xfId="756" applyFont="1" applyBorder="1">
      <alignment horizontal="left" vertical="center" wrapText="1" indent="1" readingOrder="1"/>
    </xf>
    <xf numFmtId="0" fontId="109" fillId="61" borderId="67" xfId="756" applyFont="1" applyBorder="1">
      <alignment horizontal="left" vertical="center" wrapText="1" indent="1" readingOrder="1"/>
    </xf>
    <xf numFmtId="0" fontId="109" fillId="61" borderId="84" xfId="756" applyFont="1" applyBorder="1">
      <alignment horizontal="left" vertical="center" wrapText="1" indent="1" readingOrder="1"/>
    </xf>
    <xf numFmtId="0" fontId="109" fillId="61" borderId="86" xfId="756" applyFont="1" applyBorder="1">
      <alignment horizontal="left" vertical="center" wrapText="1" indent="1" readingOrder="1"/>
    </xf>
    <xf numFmtId="0" fontId="109" fillId="61" borderId="76" xfId="756" applyFont="1" applyBorder="1">
      <alignment horizontal="left" vertical="center" wrapText="1" indent="1" readingOrder="1"/>
    </xf>
    <xf numFmtId="0" fontId="109" fillId="61" borderId="62" xfId="756" applyFont="1" applyBorder="1">
      <alignment horizontal="left" vertical="center" wrapText="1" indent="1" readingOrder="1"/>
    </xf>
    <xf numFmtId="0" fontId="4" fillId="0" borderId="0" xfId="0" quotePrefix="1" applyFont="1" applyAlignment="1">
      <alignment horizontal="left" vertical="center" wrapText="1"/>
    </xf>
    <xf numFmtId="0" fontId="99" fillId="0" borderId="0" xfId="0" applyFont="1" applyAlignment="1">
      <alignment horizontal="left" vertical="center" wrapText="1"/>
    </xf>
    <xf numFmtId="0" fontId="6" fillId="0" borderId="0" xfId="0" quotePrefix="1" applyFont="1" applyAlignment="1">
      <alignment horizontal="left" vertical="center" wrapText="1"/>
    </xf>
    <xf numFmtId="0" fontId="105" fillId="61" borderId="87" xfId="756" applyFont="1" applyBorder="1">
      <alignment horizontal="left" vertical="center" wrapText="1" indent="1" readingOrder="1"/>
    </xf>
    <xf numFmtId="0" fontId="105" fillId="61" borderId="88" xfId="756" applyFont="1" applyBorder="1">
      <alignment horizontal="left" vertical="center" wrapText="1" indent="1" readingOrder="1"/>
    </xf>
    <xf numFmtId="0" fontId="105" fillId="61" borderId="89" xfId="756" applyFont="1" applyBorder="1">
      <alignment horizontal="left" vertical="center" wrapText="1" indent="1" readingOrder="1"/>
    </xf>
    <xf numFmtId="0" fontId="133" fillId="63" borderId="59" xfId="755" quotePrefix="1" applyFont="1" applyFill="1" applyBorder="1">
      <alignment horizontal="center" vertical="center" wrapText="1" readingOrder="1"/>
    </xf>
    <xf numFmtId="0" fontId="133" fillId="63" borderId="45" xfId="755" quotePrefix="1" applyFont="1" applyFill="1" applyBorder="1">
      <alignment horizontal="center" vertical="center" wrapText="1" readingOrder="1"/>
    </xf>
    <xf numFmtId="0" fontId="133" fillId="63" borderId="46" xfId="755" quotePrefix="1" applyFont="1" applyFill="1" applyBorder="1">
      <alignment horizontal="center" vertical="center" wrapText="1" readingOrder="1"/>
    </xf>
    <xf numFmtId="0" fontId="133" fillId="63" borderId="40" xfId="755" quotePrefix="1" applyFont="1" applyFill="1" applyBorder="1">
      <alignment horizontal="center" vertical="center" wrapText="1" readingOrder="1"/>
    </xf>
    <xf numFmtId="0" fontId="133" fillId="63" borderId="115" xfId="755" quotePrefix="1" applyFont="1" applyFill="1" applyBorder="1">
      <alignment horizontal="center" vertical="center" wrapText="1" readingOrder="1"/>
    </xf>
    <xf numFmtId="0" fontId="133" fillId="63" borderId="51" xfId="755" quotePrefix="1" applyFont="1" applyFill="1" applyBorder="1">
      <alignment horizontal="center" vertical="center" wrapText="1" readingOrder="1"/>
    </xf>
    <xf numFmtId="0" fontId="133" fillId="63" borderId="71" xfId="755" quotePrefix="1" applyFont="1" applyFill="1" applyBorder="1">
      <alignment horizontal="center" vertical="center" wrapText="1" readingOrder="1"/>
    </xf>
    <xf numFmtId="165" fontId="4" fillId="0" borderId="0" xfId="515" applyNumberFormat="1" applyFont="1" applyAlignment="1">
      <alignment horizontal="left" wrapText="1"/>
    </xf>
  </cellXfs>
  <cellStyles count="9847">
    <cellStyle name=" 1" xfId="3075" xr:uid="{00000000-0005-0000-0000-000000000000}"/>
    <cellStyle name=" 1 2" xfId="4726" xr:uid="{00000000-0005-0000-0000-000001000000}"/>
    <cellStyle name=" 1 3" xfId="8131" xr:uid="{00000000-0005-0000-0000-000002000000}"/>
    <cellStyle name="%" xfId="1" xr:uid="{00000000-0005-0000-0000-000003000000}"/>
    <cellStyle name="% 10" xfId="2" xr:uid="{00000000-0005-0000-0000-000004000000}"/>
    <cellStyle name="% 11" xfId="3" xr:uid="{00000000-0005-0000-0000-000005000000}"/>
    <cellStyle name="% 12" xfId="4" xr:uid="{00000000-0005-0000-0000-000006000000}"/>
    <cellStyle name="% 13" xfId="5" xr:uid="{00000000-0005-0000-0000-000007000000}"/>
    <cellStyle name="% 14" xfId="1157" xr:uid="{00000000-0005-0000-0000-000008000000}"/>
    <cellStyle name="% 2" xfId="6" xr:uid="{00000000-0005-0000-0000-000009000000}"/>
    <cellStyle name="% 2 10" xfId="7" xr:uid="{00000000-0005-0000-0000-00000A000000}"/>
    <cellStyle name="% 2 11" xfId="8" xr:uid="{00000000-0005-0000-0000-00000B000000}"/>
    <cellStyle name="% 2 12" xfId="9" xr:uid="{00000000-0005-0000-0000-00000C000000}"/>
    <cellStyle name="% 2 13" xfId="1197" xr:uid="{00000000-0005-0000-0000-00000D000000}"/>
    <cellStyle name="% 2 2" xfId="10" xr:uid="{00000000-0005-0000-0000-00000E000000}"/>
    <cellStyle name="% 2 2 2" xfId="3889" xr:uid="{00000000-0005-0000-0000-00000F000000}"/>
    <cellStyle name="% 2 2 3" xfId="7837" xr:uid="{00000000-0005-0000-0000-000010000000}"/>
    <cellStyle name="% 2 2 4" xfId="2620" xr:uid="{00000000-0005-0000-0000-000011000000}"/>
    <cellStyle name="% 2 3" xfId="11" xr:uid="{00000000-0005-0000-0000-000012000000}"/>
    <cellStyle name="% 2 3 2" xfId="3614" xr:uid="{00000000-0005-0000-0000-000013000000}"/>
    <cellStyle name="% 2 3 3" xfId="5239" xr:uid="{00000000-0005-0000-0000-000014000000}"/>
    <cellStyle name="% 2 3 4" xfId="7838" xr:uid="{00000000-0005-0000-0000-000015000000}"/>
    <cellStyle name="% 2 3 5" xfId="2621" xr:uid="{00000000-0005-0000-0000-000016000000}"/>
    <cellStyle name="% 2 4" xfId="12" xr:uid="{00000000-0005-0000-0000-000017000000}"/>
    <cellStyle name="% 2 4 2" xfId="3888" xr:uid="{00000000-0005-0000-0000-000018000000}"/>
    <cellStyle name="% 2 5" xfId="13" xr:uid="{00000000-0005-0000-0000-000019000000}"/>
    <cellStyle name="% 2 5 2" xfId="6449" xr:uid="{00000000-0005-0000-0000-00001A000000}"/>
    <cellStyle name="% 2 6" xfId="14" xr:uid="{00000000-0005-0000-0000-00001B000000}"/>
    <cellStyle name="% 2 7" xfId="15" xr:uid="{00000000-0005-0000-0000-00001C000000}"/>
    <cellStyle name="% 2 8" xfId="16" xr:uid="{00000000-0005-0000-0000-00001D000000}"/>
    <cellStyle name="% 2 9" xfId="17" xr:uid="{00000000-0005-0000-0000-00001E000000}"/>
    <cellStyle name="% 3" xfId="18" xr:uid="{00000000-0005-0000-0000-00001F000000}"/>
    <cellStyle name="% 3 2" xfId="3890" xr:uid="{00000000-0005-0000-0000-000020000000}"/>
    <cellStyle name="% 3 3" xfId="6493" xr:uid="{00000000-0005-0000-0000-000021000000}"/>
    <cellStyle name="% 3 4" xfId="1241" xr:uid="{00000000-0005-0000-0000-000022000000}"/>
    <cellStyle name="% 4" xfId="19" xr:uid="{00000000-0005-0000-0000-000023000000}"/>
    <cellStyle name="% 4 2" xfId="2619" xr:uid="{00000000-0005-0000-0000-000024000000}"/>
    <cellStyle name="% 4 2 2" xfId="3654" xr:uid="{00000000-0005-0000-0000-000025000000}"/>
    <cellStyle name="% 4 2 3" xfId="5328" xr:uid="{00000000-0005-0000-0000-000026000000}"/>
    <cellStyle name="% 4 2 4" xfId="7836" xr:uid="{00000000-0005-0000-0000-000027000000}"/>
    <cellStyle name="% 4 3" xfId="3891" xr:uid="{00000000-0005-0000-0000-000028000000}"/>
    <cellStyle name="% 4 4" xfId="6544" xr:uid="{00000000-0005-0000-0000-000029000000}"/>
    <cellStyle name="% 4 5" xfId="1292" xr:uid="{00000000-0005-0000-0000-00002A000000}"/>
    <cellStyle name="% 5" xfId="20" xr:uid="{00000000-0005-0000-0000-00002B000000}"/>
    <cellStyle name="% 5 2" xfId="5469" xr:uid="{00000000-0005-0000-0000-00002C000000}"/>
    <cellStyle name="% 5 3" xfId="6692" xr:uid="{00000000-0005-0000-0000-00002D000000}"/>
    <cellStyle name="% 5 4" xfId="1440" xr:uid="{00000000-0005-0000-0000-00002E000000}"/>
    <cellStyle name="% 6" xfId="21" xr:uid="{00000000-0005-0000-0000-00002F000000}"/>
    <cellStyle name="% 6 2" xfId="5585" xr:uid="{00000000-0005-0000-0000-000030000000}"/>
    <cellStyle name="% 6 3" xfId="6810" xr:uid="{00000000-0005-0000-0000-000031000000}"/>
    <cellStyle name="% 6 4" xfId="1559" xr:uid="{00000000-0005-0000-0000-000032000000}"/>
    <cellStyle name="% 7" xfId="22" xr:uid="{00000000-0005-0000-0000-000033000000}"/>
    <cellStyle name="% 7 2" xfId="5973" xr:uid="{00000000-0005-0000-0000-000034000000}"/>
    <cellStyle name="% 7 3" xfId="7200" xr:uid="{00000000-0005-0000-0000-000035000000}"/>
    <cellStyle name="% 7 4" xfId="1953" xr:uid="{00000000-0005-0000-0000-000036000000}"/>
    <cellStyle name="% 8" xfId="23" xr:uid="{00000000-0005-0000-0000-000037000000}"/>
    <cellStyle name="% 8 2" xfId="3887" xr:uid="{00000000-0005-0000-0000-000038000000}"/>
    <cellStyle name="% 9" xfId="24" xr:uid="{00000000-0005-0000-0000-000039000000}"/>
    <cellStyle name="% 9 2" xfId="6412" xr:uid="{00000000-0005-0000-0000-00003A000000}"/>
    <cellStyle name="_06.0223-r1" xfId="25" xr:uid="{00000000-0005-0000-0000-00003B000000}"/>
    <cellStyle name="_06.0223-r1 10" xfId="26" xr:uid="{00000000-0005-0000-0000-00003C000000}"/>
    <cellStyle name="_06.0223-r1 11" xfId="27" xr:uid="{00000000-0005-0000-0000-00003D000000}"/>
    <cellStyle name="_06.0223-r1 12" xfId="28" xr:uid="{00000000-0005-0000-0000-00003E000000}"/>
    <cellStyle name="_06.0223-r1 2" xfId="29" xr:uid="{00000000-0005-0000-0000-00003F000000}"/>
    <cellStyle name="_06.0223-r1 3" xfId="30" xr:uid="{00000000-0005-0000-0000-000040000000}"/>
    <cellStyle name="_06.0223-r1 4" xfId="31" xr:uid="{00000000-0005-0000-0000-000041000000}"/>
    <cellStyle name="_06.0223-r1 5" xfId="32" xr:uid="{00000000-0005-0000-0000-000042000000}"/>
    <cellStyle name="_06.0223-r1 6" xfId="33" xr:uid="{00000000-0005-0000-0000-000043000000}"/>
    <cellStyle name="_06.0223-r1 7" xfId="34" xr:uid="{00000000-0005-0000-0000-000044000000}"/>
    <cellStyle name="_06.0223-r1 8" xfId="35" xr:uid="{00000000-0005-0000-0000-000045000000}"/>
    <cellStyle name="_06.0223-r1 9" xfId="36" xr:uid="{00000000-0005-0000-0000-000046000000}"/>
    <cellStyle name="{{PerformancePoint Annotation}}" xfId="8770" xr:uid="{00000000-0005-0000-0000-000047000000}"/>
    <cellStyle name="{{PerformancePoint DataCell}}" xfId="8771" xr:uid="{00000000-0005-0000-0000-000048000000}"/>
    <cellStyle name="{{PerformancePoint DataEntry}}" xfId="8772" xr:uid="{00000000-0005-0000-0000-000049000000}"/>
    <cellStyle name="{{PerformancePoint Locked Data Entry}}" xfId="8773" xr:uid="{00000000-0005-0000-0000-00004A000000}"/>
    <cellStyle name="=C:\WINNT\SYSTEM32\COMMAND.COM" xfId="1038" xr:uid="{00000000-0005-0000-0000-00004B000000}"/>
    <cellStyle name="=C:\WINNT\SYSTEM32\COMMAND.COM 2" xfId="1039" xr:uid="{00000000-0005-0000-0000-00004C000000}"/>
    <cellStyle name="=C:\WINNT\SYSTEM32\COMMAND.COM 2 2" xfId="1045" xr:uid="{00000000-0005-0000-0000-00004D000000}"/>
    <cellStyle name="=C:\WINNT\SYSTEM32\COMMAND.COM 2 2 2" xfId="2123" xr:uid="{00000000-0005-0000-0000-00004E000000}"/>
    <cellStyle name="=C:\WINNT\SYSTEM32\COMMAND.COM 2 2 2 2" xfId="3894" xr:uid="{00000000-0005-0000-0000-00004F000000}"/>
    <cellStyle name="=C:\WINNT\SYSTEM32\COMMAND.COM 2 2 2 3" xfId="7364" xr:uid="{00000000-0005-0000-0000-000050000000}"/>
    <cellStyle name="=C:\WINNT\SYSTEM32\COMMAND.COM 2 2 3" xfId="2618" xr:uid="{00000000-0005-0000-0000-000051000000}"/>
    <cellStyle name="=C:\WINNT\SYSTEM32\COMMAND.COM 2 2 3 2" xfId="3799" xr:uid="{00000000-0005-0000-0000-000052000000}"/>
    <cellStyle name="=C:\WINNT\SYSTEM32\COMMAND.COM 2 2 3 2 2" xfId="6189" xr:uid="{00000000-0005-0000-0000-000053000000}"/>
    <cellStyle name="=C:\WINNT\SYSTEM32\COMMAND.COM 2 2 3 2 3" xfId="8710" xr:uid="{00000000-0005-0000-0000-000054000000}"/>
    <cellStyle name="=C:\WINNT\SYSTEM32\COMMAND.COM 2 2 3 3" xfId="4581" xr:uid="{00000000-0005-0000-0000-000055000000}"/>
    <cellStyle name="=C:\WINNT\SYSTEM32\COMMAND.COM 2 2 3 4" xfId="7835" xr:uid="{00000000-0005-0000-0000-000056000000}"/>
    <cellStyle name="=C:\WINNT\SYSTEM32\COMMAND.COM 2 2 4" xfId="3003" xr:uid="{00000000-0005-0000-0000-000057000000}"/>
    <cellStyle name="=C:\WINNT\SYSTEM32\COMMAND.COM 2 2 4 2" xfId="4665" xr:uid="{00000000-0005-0000-0000-000058000000}"/>
    <cellStyle name="=C:\WINNT\SYSTEM32\COMMAND.COM 2 2 4 3" xfId="8059" xr:uid="{00000000-0005-0000-0000-000059000000}"/>
    <cellStyle name="=C:\WINNT\SYSTEM32\COMMAND.COM 2 2 5" xfId="3782" xr:uid="{00000000-0005-0000-0000-00005A000000}"/>
    <cellStyle name="=C:\WINNT\SYSTEM32\COMMAND.COM 2 2 5 2" xfId="6175" xr:uid="{00000000-0005-0000-0000-00005B000000}"/>
    <cellStyle name="=C:\WINNT\SYSTEM32\COMMAND.COM 2 2 5 3" xfId="8693" xr:uid="{00000000-0005-0000-0000-00005C000000}"/>
    <cellStyle name="=C:\WINNT\SYSTEM32\COMMAND.COM 2 2 6" xfId="2802" xr:uid="{00000000-0005-0000-0000-00005D000000}"/>
    <cellStyle name="=C:\WINNT\SYSTEM32\COMMAND.COM 2 2 7" xfId="3893" xr:uid="{00000000-0005-0000-0000-00005E000000}"/>
    <cellStyle name="=C:\WINNT\SYSTEM32\COMMAND.COM 2 2 8" xfId="6326" xr:uid="{00000000-0005-0000-0000-00005F000000}"/>
    <cellStyle name="=C:\WINNT\SYSTEM32\COMMAND.COM 2 3" xfId="2124" xr:uid="{00000000-0005-0000-0000-000060000000}"/>
    <cellStyle name="=C:\WINNT\SYSTEM32\COMMAND.COM 2 3 2" xfId="3895" xr:uid="{00000000-0005-0000-0000-000061000000}"/>
    <cellStyle name="=C:\WINNT\SYSTEM32\COMMAND.COM 2 3 3" xfId="7365" xr:uid="{00000000-0005-0000-0000-000062000000}"/>
    <cellStyle name="=C:\WINNT\SYSTEM32\COMMAND.COM 2 4" xfId="2125" xr:uid="{00000000-0005-0000-0000-000063000000}"/>
    <cellStyle name="=C:\WINNT\SYSTEM32\COMMAND.COM 2 4 2" xfId="3896" xr:uid="{00000000-0005-0000-0000-000064000000}"/>
    <cellStyle name="=C:\WINNT\SYSTEM32\COMMAND.COM 2 4 3" xfId="7366" xr:uid="{00000000-0005-0000-0000-000065000000}"/>
    <cellStyle name="=C:\WINNT\SYSTEM32\COMMAND.COM 2 5" xfId="2122" xr:uid="{00000000-0005-0000-0000-000066000000}"/>
    <cellStyle name="=C:\WINNT\SYSTEM32\COMMAND.COM 2 5 2" xfId="3897" xr:uid="{00000000-0005-0000-0000-000067000000}"/>
    <cellStyle name="=C:\WINNT\SYSTEM32\COMMAND.COM 2 5 3" xfId="7363" xr:uid="{00000000-0005-0000-0000-000068000000}"/>
    <cellStyle name="=C:\WINNT\SYSTEM32\COMMAND.COM 2 6" xfId="2617" xr:uid="{00000000-0005-0000-0000-000069000000}"/>
    <cellStyle name="=C:\WINNT\SYSTEM32\COMMAND.COM 2 6 2" xfId="2925" xr:uid="{00000000-0005-0000-0000-00006A000000}"/>
    <cellStyle name="=C:\WINNT\SYSTEM32\COMMAND.COM 2 6 2 2" xfId="4594" xr:uid="{00000000-0005-0000-0000-00006B000000}"/>
    <cellStyle name="=C:\WINNT\SYSTEM32\COMMAND.COM 2 6 2 3" xfId="7982" xr:uid="{00000000-0005-0000-0000-00006C000000}"/>
    <cellStyle name="=C:\WINNT\SYSTEM32\COMMAND.COM 2 6 3" xfId="3018" xr:uid="{00000000-0005-0000-0000-00006D000000}"/>
    <cellStyle name="=C:\WINNT\SYSTEM32\COMMAND.COM 2 6 3 2" xfId="4678" xr:uid="{00000000-0005-0000-0000-00006E000000}"/>
    <cellStyle name="=C:\WINNT\SYSTEM32\COMMAND.COM 2 6 3 3" xfId="8074" xr:uid="{00000000-0005-0000-0000-00006F000000}"/>
    <cellStyle name="=C:\WINNT\SYSTEM32\COMMAND.COM 2 6 4" xfId="3805" xr:uid="{00000000-0005-0000-0000-000070000000}"/>
    <cellStyle name="=C:\WINNT\SYSTEM32\COMMAND.COM 2 6 4 2" xfId="6194" xr:uid="{00000000-0005-0000-0000-000071000000}"/>
    <cellStyle name="=C:\WINNT\SYSTEM32\COMMAND.COM 2 6 4 3" xfId="8716" xr:uid="{00000000-0005-0000-0000-000072000000}"/>
    <cellStyle name="=C:\WINNT\SYSTEM32\COMMAND.COM 2 6 5" xfId="2819" xr:uid="{00000000-0005-0000-0000-000073000000}"/>
    <cellStyle name="=C:\WINNT\SYSTEM32\COMMAND.COM 2 6 6" xfId="3898" xr:uid="{00000000-0005-0000-0000-000074000000}"/>
    <cellStyle name="=C:\WINNT\SYSTEM32\COMMAND.COM 2 6 7" xfId="7834" xr:uid="{00000000-0005-0000-0000-000075000000}"/>
    <cellStyle name="=C:\WINNT\SYSTEM32\COMMAND.COM 2 7" xfId="3754" xr:uid="{00000000-0005-0000-0000-000076000000}"/>
    <cellStyle name="=C:\WINNT\SYSTEM32\COMMAND.COM 2 7 2" xfId="6150" xr:uid="{00000000-0005-0000-0000-000077000000}"/>
    <cellStyle name="=C:\WINNT\SYSTEM32\COMMAND.COM 2 7 3" xfId="8667" xr:uid="{00000000-0005-0000-0000-000078000000}"/>
    <cellStyle name="=C:\WINNT\SYSTEM32\COMMAND.COM 2 8" xfId="3892" xr:uid="{00000000-0005-0000-0000-000079000000}"/>
    <cellStyle name="=C:\WINNT\SYSTEM32\COMMAND.COM 2 9" xfId="6321" xr:uid="{00000000-0005-0000-0000-00007A000000}"/>
    <cellStyle name="=C:\WINNT\SYSTEM32\COMMAND.COM 3" xfId="1046" xr:uid="{00000000-0005-0000-0000-00007B000000}"/>
    <cellStyle name="=C:\WINNT\SYSTEM32\COMMAND.COM 3 2" xfId="1158" xr:uid="{00000000-0005-0000-0000-00007C000000}"/>
    <cellStyle name="=C:\WINNT\SYSTEM32\COMMAND.COM 3 2 2" xfId="2127" xr:uid="{00000000-0005-0000-0000-00007D000000}"/>
    <cellStyle name="=C:\WINNT\SYSTEM32\COMMAND.COM 3 2 3" xfId="3900" xr:uid="{00000000-0005-0000-0000-00007E000000}"/>
    <cellStyle name="=C:\WINNT\SYSTEM32\COMMAND.COM 3 2 4" xfId="6413" xr:uid="{00000000-0005-0000-0000-00007F000000}"/>
    <cellStyle name="=C:\WINNT\SYSTEM32\COMMAND.COM 3 3" xfId="2616" xr:uid="{00000000-0005-0000-0000-000080000000}"/>
    <cellStyle name="=C:\WINNT\SYSTEM32\COMMAND.COM 3 3 2" xfId="3901" xr:uid="{00000000-0005-0000-0000-000081000000}"/>
    <cellStyle name="=C:\WINNT\SYSTEM32\COMMAND.COM 3 3 3" xfId="7833" xr:uid="{00000000-0005-0000-0000-000082000000}"/>
    <cellStyle name="=C:\WINNT\SYSTEM32\COMMAND.COM 3 4" xfId="3076" xr:uid="{00000000-0005-0000-0000-000083000000}"/>
    <cellStyle name="=C:\WINNT\SYSTEM32\COMMAND.COM 3 4 2" xfId="4727" xr:uid="{00000000-0005-0000-0000-000084000000}"/>
    <cellStyle name="=C:\WINNT\SYSTEM32\COMMAND.COM 3 4 3" xfId="8132" xr:uid="{00000000-0005-0000-0000-000085000000}"/>
    <cellStyle name="=C:\WINNT\SYSTEM32\COMMAND.COM 3 5" xfId="3899" xr:uid="{00000000-0005-0000-0000-000086000000}"/>
    <cellStyle name="=C:\WINNT\SYSTEM32\COMMAND.COM 3 6" xfId="6327" xr:uid="{00000000-0005-0000-0000-000087000000}"/>
    <cellStyle name="=C:\WINNT\SYSTEM32\COMMAND.COM 4" xfId="1044" xr:uid="{00000000-0005-0000-0000-000088000000}"/>
    <cellStyle name="=C:\WINNT\SYSTEM32\COMMAND.COM 4 2" xfId="2128" xr:uid="{00000000-0005-0000-0000-000089000000}"/>
    <cellStyle name="=C:\WINNT\SYSTEM32\COMMAND.COM 4 2 2" xfId="3903" xr:uid="{00000000-0005-0000-0000-00008A000000}"/>
    <cellStyle name="=C:\WINNT\SYSTEM32\COMMAND.COM 4 2 3" xfId="7368" xr:uid="{00000000-0005-0000-0000-00008B000000}"/>
    <cellStyle name="=C:\WINNT\SYSTEM32\COMMAND.COM 4 3" xfId="2615" xr:uid="{00000000-0005-0000-0000-00008C000000}"/>
    <cellStyle name="=C:\WINNT\SYSTEM32\COMMAND.COM 4 3 2" xfId="3755" xr:uid="{00000000-0005-0000-0000-00008D000000}"/>
    <cellStyle name="=C:\WINNT\SYSTEM32\COMMAND.COM 4 3 2 2" xfId="6151" xr:uid="{00000000-0005-0000-0000-00008E000000}"/>
    <cellStyle name="=C:\WINNT\SYSTEM32\COMMAND.COM 4 3 2 3" xfId="8668" xr:uid="{00000000-0005-0000-0000-00008F000000}"/>
    <cellStyle name="=C:\WINNT\SYSTEM32\COMMAND.COM 4 3 3" xfId="4580" xr:uid="{00000000-0005-0000-0000-000090000000}"/>
    <cellStyle name="=C:\WINNT\SYSTEM32\COMMAND.COM 4 3 4" xfId="7832" xr:uid="{00000000-0005-0000-0000-000091000000}"/>
    <cellStyle name="=C:\WINNT\SYSTEM32\COMMAND.COM 4 4" xfId="3002" xr:uid="{00000000-0005-0000-0000-000092000000}"/>
    <cellStyle name="=C:\WINNT\SYSTEM32\COMMAND.COM 4 4 2" xfId="4664" xr:uid="{00000000-0005-0000-0000-000093000000}"/>
    <cellStyle name="=C:\WINNT\SYSTEM32\COMMAND.COM 4 4 3" xfId="8058" xr:uid="{00000000-0005-0000-0000-000094000000}"/>
    <cellStyle name="=C:\WINNT\SYSTEM32\COMMAND.COM 4 5" xfId="3751" xr:uid="{00000000-0005-0000-0000-000095000000}"/>
    <cellStyle name="=C:\WINNT\SYSTEM32\COMMAND.COM 4 5 2" xfId="6148" xr:uid="{00000000-0005-0000-0000-000096000000}"/>
    <cellStyle name="=C:\WINNT\SYSTEM32\COMMAND.COM 4 5 3" xfId="8664" xr:uid="{00000000-0005-0000-0000-000097000000}"/>
    <cellStyle name="=C:\WINNT\SYSTEM32\COMMAND.COM 4 6" xfId="2801" xr:uid="{00000000-0005-0000-0000-000098000000}"/>
    <cellStyle name="=C:\WINNT\SYSTEM32\COMMAND.COM 4 7" xfId="3902" xr:uid="{00000000-0005-0000-0000-000099000000}"/>
    <cellStyle name="=C:\WINNT\SYSTEM32\COMMAND.COM 4 8" xfId="6325" xr:uid="{00000000-0005-0000-0000-00009A000000}"/>
    <cellStyle name="=C:\WINNT\SYSTEM32\COMMAND.COM 5" xfId="2121" xr:uid="{00000000-0005-0000-0000-00009B000000}"/>
    <cellStyle name="=C:\WINNT\SYSTEM32\COMMAND.COM 5 2" xfId="3904" xr:uid="{00000000-0005-0000-0000-00009C000000}"/>
    <cellStyle name="=C:\WINNT\SYSTEM32\COMMAND.COM 5 3" xfId="7362" xr:uid="{00000000-0005-0000-0000-00009D000000}"/>
    <cellStyle name="=C:\WINNT\SYSTEM32\COMMAND.COM 6" xfId="2614" xr:uid="{00000000-0005-0000-0000-00009E000000}"/>
    <cellStyle name="=C:\WINNT\SYSTEM32\COMMAND.COM 6 2" xfId="2924" xr:uid="{00000000-0005-0000-0000-00009F000000}"/>
    <cellStyle name="=C:\WINNT\SYSTEM32\COMMAND.COM 6 2 2" xfId="4593" xr:uid="{00000000-0005-0000-0000-0000A0000000}"/>
    <cellStyle name="=C:\WINNT\SYSTEM32\COMMAND.COM 6 2 3" xfId="7981" xr:uid="{00000000-0005-0000-0000-0000A1000000}"/>
    <cellStyle name="=C:\WINNT\SYSTEM32\COMMAND.COM 6 3" xfId="3017" xr:uid="{00000000-0005-0000-0000-0000A2000000}"/>
    <cellStyle name="=C:\WINNT\SYSTEM32\COMMAND.COM 6 3 2" xfId="4677" xr:uid="{00000000-0005-0000-0000-0000A3000000}"/>
    <cellStyle name="=C:\WINNT\SYSTEM32\COMMAND.COM 6 3 3" xfId="8073" xr:uid="{00000000-0005-0000-0000-0000A4000000}"/>
    <cellStyle name="=C:\WINNT\SYSTEM32\COMMAND.COM 6 4" xfId="3796" xr:uid="{00000000-0005-0000-0000-0000A5000000}"/>
    <cellStyle name="=C:\WINNT\SYSTEM32\COMMAND.COM 6 4 2" xfId="6186" xr:uid="{00000000-0005-0000-0000-0000A6000000}"/>
    <cellStyle name="=C:\WINNT\SYSTEM32\COMMAND.COM 6 4 3" xfId="8707" xr:uid="{00000000-0005-0000-0000-0000A7000000}"/>
    <cellStyle name="=C:\WINNT\SYSTEM32\COMMAND.COM 6 5" xfId="2818" xr:uid="{00000000-0005-0000-0000-0000A8000000}"/>
    <cellStyle name="=C:\WINNT\SYSTEM32\COMMAND.COM 6 6" xfId="3905" xr:uid="{00000000-0005-0000-0000-0000A9000000}"/>
    <cellStyle name="=C:\WINNT\SYSTEM32\COMMAND.COM 6 7" xfId="7831" xr:uid="{00000000-0005-0000-0000-0000AA000000}"/>
    <cellStyle name="=C:\WINNT\SYSTEM32\COMMAND.COM 7" xfId="3753" xr:uid="{00000000-0005-0000-0000-0000AB000000}"/>
    <cellStyle name="=C:\WINNT\SYSTEM32\COMMAND.COM 7 2" xfId="6149" xr:uid="{00000000-0005-0000-0000-0000AC000000}"/>
    <cellStyle name="=C:\WINNT\SYSTEM32\COMMAND.COM 7 3" xfId="8666" xr:uid="{00000000-0005-0000-0000-0000AD000000}"/>
    <cellStyle name="=C:\WINNT\SYSTEM32\COMMAND.COM 8" xfId="3859" xr:uid="{00000000-0005-0000-0000-0000AE000000}"/>
    <cellStyle name="=C:\WINNT\SYSTEM32\COMMAND.COM 9" xfId="6320" xr:uid="{00000000-0005-0000-0000-0000AF000000}"/>
    <cellStyle name="=C:\WINNT\SYSTEM32\COMMAND.COM_IEAG 2009 Versão base_1_IEAG 2009 Versão base" xfId="2610" xr:uid="{00000000-0005-0000-0000-0000B0000000}"/>
    <cellStyle name="20% - Accent1" xfId="37" xr:uid="{00000000-0005-0000-0000-0000B1000000}"/>
    <cellStyle name="20% - Accent1 10" xfId="2609" xr:uid="{00000000-0005-0000-0000-0000B2000000}"/>
    <cellStyle name="20% - Accent1 2" xfId="1047" xr:uid="{00000000-0005-0000-0000-0000B3000000}"/>
    <cellStyle name="20% - Accent1 2 2" xfId="2884" xr:uid="{00000000-0005-0000-0000-0000B4000000}"/>
    <cellStyle name="20% - Accent1 2 2 2" xfId="3818" xr:uid="{00000000-0005-0000-0000-0000B5000000}"/>
    <cellStyle name="20% - Accent1 2 2 2 2" xfId="6203" xr:uid="{00000000-0005-0000-0000-0000B6000000}"/>
    <cellStyle name="20% - Accent1 2 2 2 3" xfId="8729" xr:uid="{00000000-0005-0000-0000-0000B7000000}"/>
    <cellStyle name="20% - Accent1 2 2 3" xfId="4551" xr:uid="{00000000-0005-0000-0000-0000B8000000}"/>
    <cellStyle name="20% - Accent1 2 2 4" xfId="7943" xr:uid="{00000000-0005-0000-0000-0000B9000000}"/>
    <cellStyle name="20% - Accent1 2 3" xfId="2974" xr:uid="{00000000-0005-0000-0000-0000BA000000}"/>
    <cellStyle name="20% - Accent1 2 3 2" xfId="4636" xr:uid="{00000000-0005-0000-0000-0000BB000000}"/>
    <cellStyle name="20% - Accent1 2 3 3" xfId="8030" xr:uid="{00000000-0005-0000-0000-0000BC000000}"/>
    <cellStyle name="20% - Accent1 2 4" xfId="3077" xr:uid="{00000000-0005-0000-0000-0000BD000000}"/>
    <cellStyle name="20% - Accent1 2 4 2" xfId="4728" xr:uid="{00000000-0005-0000-0000-0000BE000000}"/>
    <cellStyle name="20% - Accent1 2 4 3" xfId="8133" xr:uid="{00000000-0005-0000-0000-0000BF000000}"/>
    <cellStyle name="20% - Accent1 2 5" xfId="2770" xr:uid="{00000000-0005-0000-0000-0000C0000000}"/>
    <cellStyle name="20% - Accent1 2 6" xfId="3907" xr:uid="{00000000-0005-0000-0000-0000C1000000}"/>
    <cellStyle name="20% - Accent1 2 7" xfId="6328" xr:uid="{00000000-0005-0000-0000-0000C2000000}"/>
    <cellStyle name="20% - Accent1 3" xfId="2883" xr:uid="{00000000-0005-0000-0000-0000C3000000}"/>
    <cellStyle name="20% - Accent1 3 2" xfId="3078" xr:uid="{00000000-0005-0000-0000-0000C4000000}"/>
    <cellStyle name="20% - Accent1 3 2 2" xfId="4729" xr:uid="{00000000-0005-0000-0000-0000C5000000}"/>
    <cellStyle name="20% - Accent1 3 2 3" xfId="8134" xr:uid="{00000000-0005-0000-0000-0000C6000000}"/>
    <cellStyle name="20% - Accent1 3 3" xfId="4550" xr:uid="{00000000-0005-0000-0000-0000C7000000}"/>
    <cellStyle name="20% - Accent1 3 4" xfId="7942" xr:uid="{00000000-0005-0000-0000-0000C8000000}"/>
    <cellStyle name="20% - Accent1 4" xfId="2973" xr:uid="{00000000-0005-0000-0000-0000C9000000}"/>
    <cellStyle name="20% - Accent1 4 2" xfId="3079" xr:uid="{00000000-0005-0000-0000-0000CA000000}"/>
    <cellStyle name="20% - Accent1 4 2 2" xfId="4730" xr:uid="{00000000-0005-0000-0000-0000CB000000}"/>
    <cellStyle name="20% - Accent1 4 2 3" xfId="8135" xr:uid="{00000000-0005-0000-0000-0000CC000000}"/>
    <cellStyle name="20% - Accent1 4 3" xfId="4635" xr:uid="{00000000-0005-0000-0000-0000CD000000}"/>
    <cellStyle name="20% - Accent1 4 4" xfId="8029" xr:uid="{00000000-0005-0000-0000-0000CE000000}"/>
    <cellStyle name="20% - Accent1 5" xfId="3080" xr:uid="{00000000-0005-0000-0000-0000CF000000}"/>
    <cellStyle name="20% - Accent1 5 2" xfId="4731" xr:uid="{00000000-0005-0000-0000-0000D0000000}"/>
    <cellStyle name="20% - Accent1 5 3" xfId="8136" xr:uid="{00000000-0005-0000-0000-0000D1000000}"/>
    <cellStyle name="20% - Accent1 6" xfId="3081" xr:uid="{00000000-0005-0000-0000-0000D2000000}"/>
    <cellStyle name="20% - Accent1 6 2" xfId="4732" xr:uid="{00000000-0005-0000-0000-0000D3000000}"/>
    <cellStyle name="20% - Accent1 6 3" xfId="8137" xr:uid="{00000000-0005-0000-0000-0000D4000000}"/>
    <cellStyle name="20% - Accent1 7" xfId="2769" xr:uid="{00000000-0005-0000-0000-0000D5000000}"/>
    <cellStyle name="20% - Accent1 8" xfId="3906" xr:uid="{00000000-0005-0000-0000-0000D6000000}"/>
    <cellStyle name="20% - Accent1 9" xfId="7827" xr:uid="{00000000-0005-0000-0000-0000D7000000}"/>
    <cellStyle name="20% - Accent2" xfId="38" xr:uid="{00000000-0005-0000-0000-0000D8000000}"/>
    <cellStyle name="20% - Accent2 10" xfId="2608" xr:uid="{00000000-0005-0000-0000-0000D9000000}"/>
    <cellStyle name="20% - Accent2 2" xfId="1048" xr:uid="{00000000-0005-0000-0000-0000DA000000}"/>
    <cellStyle name="20% - Accent2 2 2" xfId="2886" xr:uid="{00000000-0005-0000-0000-0000DB000000}"/>
    <cellStyle name="20% - Accent2 2 2 2" xfId="3588" xr:uid="{00000000-0005-0000-0000-0000DC000000}"/>
    <cellStyle name="20% - Accent2 2 2 2 2" xfId="5200" xr:uid="{00000000-0005-0000-0000-0000DD000000}"/>
    <cellStyle name="20% - Accent2 2 2 2 3" xfId="8572" xr:uid="{00000000-0005-0000-0000-0000DE000000}"/>
    <cellStyle name="20% - Accent2 2 2 3" xfId="4553" xr:uid="{00000000-0005-0000-0000-0000DF000000}"/>
    <cellStyle name="20% - Accent2 2 2 4" xfId="7945" xr:uid="{00000000-0005-0000-0000-0000E0000000}"/>
    <cellStyle name="20% - Accent2 2 3" xfId="2976" xr:uid="{00000000-0005-0000-0000-0000E1000000}"/>
    <cellStyle name="20% - Accent2 2 3 2" xfId="4638" xr:uid="{00000000-0005-0000-0000-0000E2000000}"/>
    <cellStyle name="20% - Accent2 2 3 3" xfId="8032" xr:uid="{00000000-0005-0000-0000-0000E3000000}"/>
    <cellStyle name="20% - Accent2 2 4" xfId="3082" xr:uid="{00000000-0005-0000-0000-0000E4000000}"/>
    <cellStyle name="20% - Accent2 2 4 2" xfId="4733" xr:uid="{00000000-0005-0000-0000-0000E5000000}"/>
    <cellStyle name="20% - Accent2 2 4 3" xfId="8138" xr:uid="{00000000-0005-0000-0000-0000E6000000}"/>
    <cellStyle name="20% - Accent2 2 5" xfId="2772" xr:uid="{00000000-0005-0000-0000-0000E7000000}"/>
    <cellStyle name="20% - Accent2 2 6" xfId="3909" xr:uid="{00000000-0005-0000-0000-0000E8000000}"/>
    <cellStyle name="20% - Accent2 2 7" xfId="6329" xr:uid="{00000000-0005-0000-0000-0000E9000000}"/>
    <cellStyle name="20% - Accent2 3" xfId="2885" xr:uid="{00000000-0005-0000-0000-0000EA000000}"/>
    <cellStyle name="20% - Accent2 3 2" xfId="3083" xr:uid="{00000000-0005-0000-0000-0000EB000000}"/>
    <cellStyle name="20% - Accent2 3 2 2" xfId="4734" xr:uid="{00000000-0005-0000-0000-0000EC000000}"/>
    <cellStyle name="20% - Accent2 3 2 3" xfId="8139" xr:uid="{00000000-0005-0000-0000-0000ED000000}"/>
    <cellStyle name="20% - Accent2 3 3" xfId="3795" xr:uid="{00000000-0005-0000-0000-0000EE000000}"/>
    <cellStyle name="20% - Accent2 3 3 2" xfId="6185" xr:uid="{00000000-0005-0000-0000-0000EF000000}"/>
    <cellStyle name="20% - Accent2 3 3 3" xfId="8706" xr:uid="{00000000-0005-0000-0000-0000F0000000}"/>
    <cellStyle name="20% - Accent2 3 4" xfId="4552" xr:uid="{00000000-0005-0000-0000-0000F1000000}"/>
    <cellStyle name="20% - Accent2 3 5" xfId="7944" xr:uid="{00000000-0005-0000-0000-0000F2000000}"/>
    <cellStyle name="20% - Accent2 4" xfId="2975" xr:uid="{00000000-0005-0000-0000-0000F3000000}"/>
    <cellStyle name="20% - Accent2 4 2" xfId="3084" xr:uid="{00000000-0005-0000-0000-0000F4000000}"/>
    <cellStyle name="20% - Accent2 4 2 2" xfId="4735" xr:uid="{00000000-0005-0000-0000-0000F5000000}"/>
    <cellStyle name="20% - Accent2 4 2 3" xfId="8140" xr:uid="{00000000-0005-0000-0000-0000F6000000}"/>
    <cellStyle name="20% - Accent2 4 3" xfId="4637" xr:uid="{00000000-0005-0000-0000-0000F7000000}"/>
    <cellStyle name="20% - Accent2 4 4" xfId="8031" xr:uid="{00000000-0005-0000-0000-0000F8000000}"/>
    <cellStyle name="20% - Accent2 5" xfId="3085" xr:uid="{00000000-0005-0000-0000-0000F9000000}"/>
    <cellStyle name="20% - Accent2 5 2" xfId="4736" xr:uid="{00000000-0005-0000-0000-0000FA000000}"/>
    <cellStyle name="20% - Accent2 5 3" xfId="8141" xr:uid="{00000000-0005-0000-0000-0000FB000000}"/>
    <cellStyle name="20% - Accent2 6" xfId="3086" xr:uid="{00000000-0005-0000-0000-0000FC000000}"/>
    <cellStyle name="20% - Accent2 6 2" xfId="4737" xr:uid="{00000000-0005-0000-0000-0000FD000000}"/>
    <cellStyle name="20% - Accent2 6 3" xfId="8142" xr:uid="{00000000-0005-0000-0000-0000FE000000}"/>
    <cellStyle name="20% - Accent2 7" xfId="2771" xr:uid="{00000000-0005-0000-0000-0000FF000000}"/>
    <cellStyle name="20% - Accent2 8" xfId="3908" xr:uid="{00000000-0005-0000-0000-000000010000}"/>
    <cellStyle name="20% - Accent2 9" xfId="7826" xr:uid="{00000000-0005-0000-0000-000001010000}"/>
    <cellStyle name="20% - Accent3" xfId="39" xr:uid="{00000000-0005-0000-0000-000002010000}"/>
    <cellStyle name="20% - Accent3 10" xfId="2607" xr:uid="{00000000-0005-0000-0000-000003010000}"/>
    <cellStyle name="20% - Accent3 2" xfId="1049" xr:uid="{00000000-0005-0000-0000-000004010000}"/>
    <cellStyle name="20% - Accent3 2 2" xfId="2888" xr:uid="{00000000-0005-0000-0000-000005010000}"/>
    <cellStyle name="20% - Accent3 2 2 2" xfId="3592" xr:uid="{00000000-0005-0000-0000-000006010000}"/>
    <cellStyle name="20% - Accent3 2 2 2 2" xfId="5204" xr:uid="{00000000-0005-0000-0000-000007010000}"/>
    <cellStyle name="20% - Accent3 2 2 2 3" xfId="8576" xr:uid="{00000000-0005-0000-0000-000008010000}"/>
    <cellStyle name="20% - Accent3 2 2 3" xfId="4555" xr:uid="{00000000-0005-0000-0000-000009010000}"/>
    <cellStyle name="20% - Accent3 2 2 4" xfId="7947" xr:uid="{00000000-0005-0000-0000-00000A010000}"/>
    <cellStyle name="20% - Accent3 2 3" xfId="2978" xr:uid="{00000000-0005-0000-0000-00000B010000}"/>
    <cellStyle name="20% - Accent3 2 3 2" xfId="4640" xr:uid="{00000000-0005-0000-0000-00000C010000}"/>
    <cellStyle name="20% - Accent3 2 3 3" xfId="8034" xr:uid="{00000000-0005-0000-0000-00000D010000}"/>
    <cellStyle name="20% - Accent3 2 4" xfId="3087" xr:uid="{00000000-0005-0000-0000-00000E010000}"/>
    <cellStyle name="20% - Accent3 2 4 2" xfId="4738" xr:uid="{00000000-0005-0000-0000-00000F010000}"/>
    <cellStyle name="20% - Accent3 2 4 3" xfId="8143" xr:uid="{00000000-0005-0000-0000-000010010000}"/>
    <cellStyle name="20% - Accent3 2 5" xfId="2774" xr:uid="{00000000-0005-0000-0000-000011010000}"/>
    <cellStyle name="20% - Accent3 2 6" xfId="3911" xr:uid="{00000000-0005-0000-0000-000012010000}"/>
    <cellStyle name="20% - Accent3 2 7" xfId="6330" xr:uid="{00000000-0005-0000-0000-000013010000}"/>
    <cellStyle name="20% - Accent3 3" xfId="2887" xr:uid="{00000000-0005-0000-0000-000014010000}"/>
    <cellStyle name="20% - Accent3 3 2" xfId="3088" xr:uid="{00000000-0005-0000-0000-000015010000}"/>
    <cellStyle name="20% - Accent3 3 2 2" xfId="4739" xr:uid="{00000000-0005-0000-0000-000016010000}"/>
    <cellStyle name="20% - Accent3 3 2 3" xfId="8144" xr:uid="{00000000-0005-0000-0000-000017010000}"/>
    <cellStyle name="20% - Accent3 3 3" xfId="3842" xr:uid="{00000000-0005-0000-0000-000018010000}"/>
    <cellStyle name="20% - Accent3 3 3 2" xfId="6222" xr:uid="{00000000-0005-0000-0000-000019010000}"/>
    <cellStyle name="20% - Accent3 3 3 3" xfId="8753" xr:uid="{00000000-0005-0000-0000-00001A010000}"/>
    <cellStyle name="20% - Accent3 3 4" xfId="4554" xr:uid="{00000000-0005-0000-0000-00001B010000}"/>
    <cellStyle name="20% - Accent3 3 5" xfId="7946" xr:uid="{00000000-0005-0000-0000-00001C010000}"/>
    <cellStyle name="20% - Accent3 4" xfId="2977" xr:uid="{00000000-0005-0000-0000-00001D010000}"/>
    <cellStyle name="20% - Accent3 4 2" xfId="3089" xr:uid="{00000000-0005-0000-0000-00001E010000}"/>
    <cellStyle name="20% - Accent3 4 2 2" xfId="4740" xr:uid="{00000000-0005-0000-0000-00001F010000}"/>
    <cellStyle name="20% - Accent3 4 2 3" xfId="8145" xr:uid="{00000000-0005-0000-0000-000020010000}"/>
    <cellStyle name="20% - Accent3 4 3" xfId="4639" xr:uid="{00000000-0005-0000-0000-000021010000}"/>
    <cellStyle name="20% - Accent3 4 4" xfId="8033" xr:uid="{00000000-0005-0000-0000-000022010000}"/>
    <cellStyle name="20% - Accent3 5" xfId="3090" xr:uid="{00000000-0005-0000-0000-000023010000}"/>
    <cellStyle name="20% - Accent3 5 2" xfId="4741" xr:uid="{00000000-0005-0000-0000-000024010000}"/>
    <cellStyle name="20% - Accent3 5 3" xfId="8146" xr:uid="{00000000-0005-0000-0000-000025010000}"/>
    <cellStyle name="20% - Accent3 6" xfId="3091" xr:uid="{00000000-0005-0000-0000-000026010000}"/>
    <cellStyle name="20% - Accent3 6 2" xfId="4742" xr:uid="{00000000-0005-0000-0000-000027010000}"/>
    <cellStyle name="20% - Accent3 6 3" xfId="8147" xr:uid="{00000000-0005-0000-0000-000028010000}"/>
    <cellStyle name="20% - Accent3 7" xfId="2773" xr:uid="{00000000-0005-0000-0000-000029010000}"/>
    <cellStyle name="20% - Accent3 8" xfId="3910" xr:uid="{00000000-0005-0000-0000-00002A010000}"/>
    <cellStyle name="20% - Accent3 9" xfId="7825" xr:uid="{00000000-0005-0000-0000-00002B010000}"/>
    <cellStyle name="20% - Accent4" xfId="40" xr:uid="{00000000-0005-0000-0000-00002C010000}"/>
    <cellStyle name="20% - Accent4 10" xfId="2606" xr:uid="{00000000-0005-0000-0000-00002D010000}"/>
    <cellStyle name="20% - Accent4 2" xfId="1050" xr:uid="{00000000-0005-0000-0000-00002E010000}"/>
    <cellStyle name="20% - Accent4 2 2" xfId="2890" xr:uid="{00000000-0005-0000-0000-00002F010000}"/>
    <cellStyle name="20% - Accent4 2 2 2" xfId="3596" xr:uid="{00000000-0005-0000-0000-000030010000}"/>
    <cellStyle name="20% - Accent4 2 2 2 2" xfId="5208" xr:uid="{00000000-0005-0000-0000-000031010000}"/>
    <cellStyle name="20% - Accent4 2 2 2 3" xfId="8580" xr:uid="{00000000-0005-0000-0000-000032010000}"/>
    <cellStyle name="20% - Accent4 2 2 3" xfId="4557" xr:uid="{00000000-0005-0000-0000-000033010000}"/>
    <cellStyle name="20% - Accent4 2 2 4" xfId="7949" xr:uid="{00000000-0005-0000-0000-000034010000}"/>
    <cellStyle name="20% - Accent4 2 3" xfId="2980" xr:uid="{00000000-0005-0000-0000-000035010000}"/>
    <cellStyle name="20% - Accent4 2 3 2" xfId="4642" xr:uid="{00000000-0005-0000-0000-000036010000}"/>
    <cellStyle name="20% - Accent4 2 3 3" xfId="8036" xr:uid="{00000000-0005-0000-0000-000037010000}"/>
    <cellStyle name="20% - Accent4 2 4" xfId="3092" xr:uid="{00000000-0005-0000-0000-000038010000}"/>
    <cellStyle name="20% - Accent4 2 4 2" xfId="4743" xr:uid="{00000000-0005-0000-0000-000039010000}"/>
    <cellStyle name="20% - Accent4 2 4 3" xfId="8148" xr:uid="{00000000-0005-0000-0000-00003A010000}"/>
    <cellStyle name="20% - Accent4 2 5" xfId="2776" xr:uid="{00000000-0005-0000-0000-00003B010000}"/>
    <cellStyle name="20% - Accent4 2 6" xfId="3913" xr:uid="{00000000-0005-0000-0000-00003C010000}"/>
    <cellStyle name="20% - Accent4 2 7" xfId="6331" xr:uid="{00000000-0005-0000-0000-00003D010000}"/>
    <cellStyle name="20% - Accent4 3" xfId="2889" xr:uid="{00000000-0005-0000-0000-00003E010000}"/>
    <cellStyle name="20% - Accent4 3 2" xfId="3093" xr:uid="{00000000-0005-0000-0000-00003F010000}"/>
    <cellStyle name="20% - Accent4 3 2 2" xfId="4744" xr:uid="{00000000-0005-0000-0000-000040010000}"/>
    <cellStyle name="20% - Accent4 3 2 3" xfId="8149" xr:uid="{00000000-0005-0000-0000-000041010000}"/>
    <cellStyle name="20% - Accent4 3 3" xfId="3767" xr:uid="{00000000-0005-0000-0000-000042010000}"/>
    <cellStyle name="20% - Accent4 3 3 2" xfId="6161" xr:uid="{00000000-0005-0000-0000-000043010000}"/>
    <cellStyle name="20% - Accent4 3 3 3" xfId="8679" xr:uid="{00000000-0005-0000-0000-000044010000}"/>
    <cellStyle name="20% - Accent4 3 4" xfId="4556" xr:uid="{00000000-0005-0000-0000-000045010000}"/>
    <cellStyle name="20% - Accent4 3 5" xfId="7948" xr:uid="{00000000-0005-0000-0000-000046010000}"/>
    <cellStyle name="20% - Accent4 4" xfId="2979" xr:uid="{00000000-0005-0000-0000-000047010000}"/>
    <cellStyle name="20% - Accent4 4 2" xfId="3094" xr:uid="{00000000-0005-0000-0000-000048010000}"/>
    <cellStyle name="20% - Accent4 4 2 2" xfId="4745" xr:uid="{00000000-0005-0000-0000-000049010000}"/>
    <cellStyle name="20% - Accent4 4 2 3" xfId="8150" xr:uid="{00000000-0005-0000-0000-00004A010000}"/>
    <cellStyle name="20% - Accent4 4 3" xfId="4641" xr:uid="{00000000-0005-0000-0000-00004B010000}"/>
    <cellStyle name="20% - Accent4 4 4" xfId="8035" xr:uid="{00000000-0005-0000-0000-00004C010000}"/>
    <cellStyle name="20% - Accent4 5" xfId="3095" xr:uid="{00000000-0005-0000-0000-00004D010000}"/>
    <cellStyle name="20% - Accent4 5 2" xfId="4746" xr:uid="{00000000-0005-0000-0000-00004E010000}"/>
    <cellStyle name="20% - Accent4 5 3" xfId="8151" xr:uid="{00000000-0005-0000-0000-00004F010000}"/>
    <cellStyle name="20% - Accent4 6" xfId="3096" xr:uid="{00000000-0005-0000-0000-000050010000}"/>
    <cellStyle name="20% - Accent4 6 2" xfId="4747" xr:uid="{00000000-0005-0000-0000-000051010000}"/>
    <cellStyle name="20% - Accent4 6 3" xfId="8152" xr:uid="{00000000-0005-0000-0000-000052010000}"/>
    <cellStyle name="20% - Accent4 7" xfId="2775" xr:uid="{00000000-0005-0000-0000-000053010000}"/>
    <cellStyle name="20% - Accent4 8" xfId="3912" xr:uid="{00000000-0005-0000-0000-000054010000}"/>
    <cellStyle name="20% - Accent4 9" xfId="7824" xr:uid="{00000000-0005-0000-0000-000055010000}"/>
    <cellStyle name="20% - Accent5" xfId="41" xr:uid="{00000000-0005-0000-0000-000056010000}"/>
    <cellStyle name="20% - Accent5 10" xfId="2605" xr:uid="{00000000-0005-0000-0000-000057010000}"/>
    <cellStyle name="20% - Accent5 2" xfId="1051" xr:uid="{00000000-0005-0000-0000-000058010000}"/>
    <cellStyle name="20% - Accent5 2 2" xfId="2892" xr:uid="{00000000-0005-0000-0000-000059010000}"/>
    <cellStyle name="20% - Accent5 2 2 2" xfId="3600" xr:uid="{00000000-0005-0000-0000-00005A010000}"/>
    <cellStyle name="20% - Accent5 2 2 2 2" xfId="5212" xr:uid="{00000000-0005-0000-0000-00005B010000}"/>
    <cellStyle name="20% - Accent5 2 2 2 3" xfId="8584" xr:uid="{00000000-0005-0000-0000-00005C010000}"/>
    <cellStyle name="20% - Accent5 2 2 3" xfId="4559" xr:uid="{00000000-0005-0000-0000-00005D010000}"/>
    <cellStyle name="20% - Accent5 2 2 4" xfId="7951" xr:uid="{00000000-0005-0000-0000-00005E010000}"/>
    <cellStyle name="20% - Accent5 2 3" xfId="2982" xr:uid="{00000000-0005-0000-0000-00005F010000}"/>
    <cellStyle name="20% - Accent5 2 3 2" xfId="4644" xr:uid="{00000000-0005-0000-0000-000060010000}"/>
    <cellStyle name="20% - Accent5 2 3 3" xfId="8038" xr:uid="{00000000-0005-0000-0000-000061010000}"/>
    <cellStyle name="20% - Accent5 2 4" xfId="3097" xr:uid="{00000000-0005-0000-0000-000062010000}"/>
    <cellStyle name="20% - Accent5 2 4 2" xfId="4748" xr:uid="{00000000-0005-0000-0000-000063010000}"/>
    <cellStyle name="20% - Accent5 2 4 3" xfId="8153" xr:uid="{00000000-0005-0000-0000-000064010000}"/>
    <cellStyle name="20% - Accent5 2 5" xfId="2778" xr:uid="{00000000-0005-0000-0000-000065010000}"/>
    <cellStyle name="20% - Accent5 2 6" xfId="3915" xr:uid="{00000000-0005-0000-0000-000066010000}"/>
    <cellStyle name="20% - Accent5 2 7" xfId="6332" xr:uid="{00000000-0005-0000-0000-000067010000}"/>
    <cellStyle name="20% - Accent5 3" xfId="2891" xr:uid="{00000000-0005-0000-0000-000068010000}"/>
    <cellStyle name="20% - Accent5 3 2" xfId="3098" xr:uid="{00000000-0005-0000-0000-000069010000}"/>
    <cellStyle name="20% - Accent5 3 2 2" xfId="4749" xr:uid="{00000000-0005-0000-0000-00006A010000}"/>
    <cellStyle name="20% - Accent5 3 2 3" xfId="8154" xr:uid="{00000000-0005-0000-0000-00006B010000}"/>
    <cellStyle name="20% - Accent5 3 3" xfId="3756" xr:uid="{00000000-0005-0000-0000-00006C010000}"/>
    <cellStyle name="20% - Accent5 3 3 2" xfId="6152" xr:uid="{00000000-0005-0000-0000-00006D010000}"/>
    <cellStyle name="20% - Accent5 3 3 3" xfId="8669" xr:uid="{00000000-0005-0000-0000-00006E010000}"/>
    <cellStyle name="20% - Accent5 3 4" xfId="4558" xr:uid="{00000000-0005-0000-0000-00006F010000}"/>
    <cellStyle name="20% - Accent5 3 5" xfId="7950" xr:uid="{00000000-0005-0000-0000-000070010000}"/>
    <cellStyle name="20% - Accent5 4" xfId="2981" xr:uid="{00000000-0005-0000-0000-000071010000}"/>
    <cellStyle name="20% - Accent5 4 2" xfId="3099" xr:uid="{00000000-0005-0000-0000-000072010000}"/>
    <cellStyle name="20% - Accent5 4 2 2" xfId="4750" xr:uid="{00000000-0005-0000-0000-000073010000}"/>
    <cellStyle name="20% - Accent5 4 2 3" xfId="8155" xr:uid="{00000000-0005-0000-0000-000074010000}"/>
    <cellStyle name="20% - Accent5 4 3" xfId="4643" xr:uid="{00000000-0005-0000-0000-000075010000}"/>
    <cellStyle name="20% - Accent5 4 4" xfId="8037" xr:uid="{00000000-0005-0000-0000-000076010000}"/>
    <cellStyle name="20% - Accent5 5" xfId="3100" xr:uid="{00000000-0005-0000-0000-000077010000}"/>
    <cellStyle name="20% - Accent5 5 2" xfId="4751" xr:uid="{00000000-0005-0000-0000-000078010000}"/>
    <cellStyle name="20% - Accent5 5 3" xfId="8156" xr:uid="{00000000-0005-0000-0000-000079010000}"/>
    <cellStyle name="20% - Accent5 6" xfId="3101" xr:uid="{00000000-0005-0000-0000-00007A010000}"/>
    <cellStyle name="20% - Accent5 6 2" xfId="4752" xr:uid="{00000000-0005-0000-0000-00007B010000}"/>
    <cellStyle name="20% - Accent5 6 3" xfId="8157" xr:uid="{00000000-0005-0000-0000-00007C010000}"/>
    <cellStyle name="20% - Accent5 7" xfId="2777" xr:uid="{00000000-0005-0000-0000-00007D010000}"/>
    <cellStyle name="20% - Accent5 8" xfId="3914" xr:uid="{00000000-0005-0000-0000-00007E010000}"/>
    <cellStyle name="20% - Accent5 9" xfId="7823" xr:uid="{00000000-0005-0000-0000-00007F010000}"/>
    <cellStyle name="20% - Accent6" xfId="42" xr:uid="{00000000-0005-0000-0000-000080010000}"/>
    <cellStyle name="20% - Accent6 10" xfId="2604" xr:uid="{00000000-0005-0000-0000-000081010000}"/>
    <cellStyle name="20% - Accent6 2" xfId="1052" xr:uid="{00000000-0005-0000-0000-000082010000}"/>
    <cellStyle name="20% - Accent6 2 2" xfId="2894" xr:uid="{00000000-0005-0000-0000-000083010000}"/>
    <cellStyle name="20% - Accent6 2 2 2" xfId="3604" xr:uid="{00000000-0005-0000-0000-000084010000}"/>
    <cellStyle name="20% - Accent6 2 2 2 2" xfId="5216" xr:uid="{00000000-0005-0000-0000-000085010000}"/>
    <cellStyle name="20% - Accent6 2 2 2 3" xfId="8588" xr:uid="{00000000-0005-0000-0000-000086010000}"/>
    <cellStyle name="20% - Accent6 2 2 3" xfId="4561" xr:uid="{00000000-0005-0000-0000-000087010000}"/>
    <cellStyle name="20% - Accent6 2 2 4" xfId="7953" xr:uid="{00000000-0005-0000-0000-000088010000}"/>
    <cellStyle name="20% - Accent6 2 3" xfId="2984" xr:uid="{00000000-0005-0000-0000-000089010000}"/>
    <cellStyle name="20% - Accent6 2 3 2" xfId="4646" xr:uid="{00000000-0005-0000-0000-00008A010000}"/>
    <cellStyle name="20% - Accent6 2 3 3" xfId="8040" xr:uid="{00000000-0005-0000-0000-00008B010000}"/>
    <cellStyle name="20% - Accent6 2 4" xfId="3102" xr:uid="{00000000-0005-0000-0000-00008C010000}"/>
    <cellStyle name="20% - Accent6 2 4 2" xfId="4753" xr:uid="{00000000-0005-0000-0000-00008D010000}"/>
    <cellStyle name="20% - Accent6 2 4 3" xfId="8158" xr:uid="{00000000-0005-0000-0000-00008E010000}"/>
    <cellStyle name="20% - Accent6 2 5" xfId="2780" xr:uid="{00000000-0005-0000-0000-00008F010000}"/>
    <cellStyle name="20% - Accent6 2 6" xfId="3917" xr:uid="{00000000-0005-0000-0000-000090010000}"/>
    <cellStyle name="20% - Accent6 2 7" xfId="6333" xr:uid="{00000000-0005-0000-0000-000091010000}"/>
    <cellStyle name="20% - Accent6 3" xfId="2893" xr:uid="{00000000-0005-0000-0000-000092010000}"/>
    <cellStyle name="20% - Accent6 3 2" xfId="3103" xr:uid="{00000000-0005-0000-0000-000093010000}"/>
    <cellStyle name="20% - Accent6 3 2 2" xfId="4754" xr:uid="{00000000-0005-0000-0000-000094010000}"/>
    <cellStyle name="20% - Accent6 3 2 3" xfId="8159" xr:uid="{00000000-0005-0000-0000-000095010000}"/>
    <cellStyle name="20% - Accent6 3 3" xfId="3789" xr:uid="{00000000-0005-0000-0000-000096010000}"/>
    <cellStyle name="20% - Accent6 3 3 2" xfId="6179" xr:uid="{00000000-0005-0000-0000-000097010000}"/>
    <cellStyle name="20% - Accent6 3 3 3" xfId="8700" xr:uid="{00000000-0005-0000-0000-000098010000}"/>
    <cellStyle name="20% - Accent6 3 4" xfId="4560" xr:uid="{00000000-0005-0000-0000-000099010000}"/>
    <cellStyle name="20% - Accent6 3 5" xfId="7952" xr:uid="{00000000-0005-0000-0000-00009A010000}"/>
    <cellStyle name="20% - Accent6 4" xfId="2983" xr:uid="{00000000-0005-0000-0000-00009B010000}"/>
    <cellStyle name="20% - Accent6 4 2" xfId="3104" xr:uid="{00000000-0005-0000-0000-00009C010000}"/>
    <cellStyle name="20% - Accent6 4 2 2" xfId="4755" xr:uid="{00000000-0005-0000-0000-00009D010000}"/>
    <cellStyle name="20% - Accent6 4 2 3" xfId="8160" xr:uid="{00000000-0005-0000-0000-00009E010000}"/>
    <cellStyle name="20% - Accent6 4 3" xfId="4645" xr:uid="{00000000-0005-0000-0000-00009F010000}"/>
    <cellStyle name="20% - Accent6 4 4" xfId="8039" xr:uid="{00000000-0005-0000-0000-0000A0010000}"/>
    <cellStyle name="20% - Accent6 5" xfId="3105" xr:uid="{00000000-0005-0000-0000-0000A1010000}"/>
    <cellStyle name="20% - Accent6 5 2" xfId="4756" xr:uid="{00000000-0005-0000-0000-0000A2010000}"/>
    <cellStyle name="20% - Accent6 5 3" xfId="8161" xr:uid="{00000000-0005-0000-0000-0000A3010000}"/>
    <cellStyle name="20% - Accent6 6" xfId="3106" xr:uid="{00000000-0005-0000-0000-0000A4010000}"/>
    <cellStyle name="20% - Accent6 6 2" xfId="4757" xr:uid="{00000000-0005-0000-0000-0000A5010000}"/>
    <cellStyle name="20% - Accent6 6 3" xfId="8162" xr:uid="{00000000-0005-0000-0000-0000A6010000}"/>
    <cellStyle name="20% - Accent6 7" xfId="2779" xr:uid="{00000000-0005-0000-0000-0000A7010000}"/>
    <cellStyle name="20% - Accent6 8" xfId="3916" xr:uid="{00000000-0005-0000-0000-0000A8010000}"/>
    <cellStyle name="20% - Accent6 9" xfId="7822" xr:uid="{00000000-0005-0000-0000-0000A9010000}"/>
    <cellStyle name="20% - Cor1 10" xfId="6297" xr:uid="{00000000-0005-0000-0000-0000AA010000}"/>
    <cellStyle name="20% - Cor1 11" xfId="1015" xr:uid="{00000000-0005-0000-0000-0000AB010000}"/>
    <cellStyle name="20% - Cor1 2" xfId="43" xr:uid="{00000000-0005-0000-0000-0000AC010000}"/>
    <cellStyle name="20% - Cor1 2 10" xfId="1185" xr:uid="{00000000-0005-0000-0000-0000AD010000}"/>
    <cellStyle name="20% - Cor1 2 2" xfId="1258" xr:uid="{00000000-0005-0000-0000-0000AE010000}"/>
    <cellStyle name="20% - Cor1 2 2 2" xfId="1529" xr:uid="{00000000-0005-0000-0000-0000AF010000}"/>
    <cellStyle name="20% - Cor1 2 2 2 2" xfId="5556" xr:uid="{00000000-0005-0000-0000-0000B0010000}"/>
    <cellStyle name="20% - Cor1 2 2 2 3" xfId="6781" xr:uid="{00000000-0005-0000-0000-0000B1010000}"/>
    <cellStyle name="20% - Cor1 2 2 3" xfId="1734" xr:uid="{00000000-0005-0000-0000-0000B2010000}"/>
    <cellStyle name="20% - Cor1 2 2 3 2" xfId="5756" xr:uid="{00000000-0005-0000-0000-0000B3010000}"/>
    <cellStyle name="20% - Cor1 2 2 3 3" xfId="6981" xr:uid="{00000000-0005-0000-0000-0000B4010000}"/>
    <cellStyle name="20% - Cor1 2 2 4" xfId="1514" xr:uid="{00000000-0005-0000-0000-0000B5010000}"/>
    <cellStyle name="20% - Cor1 2 2 4 2" xfId="5542" xr:uid="{00000000-0005-0000-0000-0000B6010000}"/>
    <cellStyle name="20% - Cor1 2 2 4 3" xfId="6766" xr:uid="{00000000-0005-0000-0000-0000B7010000}"/>
    <cellStyle name="20% - Cor1 2 2 5" xfId="5295" xr:uid="{00000000-0005-0000-0000-0000B8010000}"/>
    <cellStyle name="20% - Cor1 2 2 6" xfId="6510" xr:uid="{00000000-0005-0000-0000-0000B9010000}"/>
    <cellStyle name="20% - Cor1 2 3" xfId="1305" xr:uid="{00000000-0005-0000-0000-0000BA010000}"/>
    <cellStyle name="20% - Cor1 2 3 2" xfId="1574" xr:uid="{00000000-0005-0000-0000-0000BB010000}"/>
    <cellStyle name="20% - Cor1 2 3 2 2" xfId="5600" xr:uid="{00000000-0005-0000-0000-0000BC010000}"/>
    <cellStyle name="20% - Cor1 2 3 2 3" xfId="6825" xr:uid="{00000000-0005-0000-0000-0000BD010000}"/>
    <cellStyle name="20% - Cor1 2 3 3" xfId="1778" xr:uid="{00000000-0005-0000-0000-0000BE010000}"/>
    <cellStyle name="20% - Cor1 2 3 3 2" xfId="5799" xr:uid="{00000000-0005-0000-0000-0000BF010000}"/>
    <cellStyle name="20% - Cor1 2 3 3 3" xfId="7025" xr:uid="{00000000-0005-0000-0000-0000C0010000}"/>
    <cellStyle name="20% - Cor1 2 3 4" xfId="1960" xr:uid="{00000000-0005-0000-0000-0000C1010000}"/>
    <cellStyle name="20% - Cor1 2 3 4 2" xfId="5980" xr:uid="{00000000-0005-0000-0000-0000C2010000}"/>
    <cellStyle name="20% - Cor1 2 3 4 3" xfId="7207" xr:uid="{00000000-0005-0000-0000-0000C3010000}"/>
    <cellStyle name="20% - Cor1 2 3 5" xfId="5341" xr:uid="{00000000-0005-0000-0000-0000C4010000}"/>
    <cellStyle name="20% - Cor1 2 3 6" xfId="6557" xr:uid="{00000000-0005-0000-0000-0000C5010000}"/>
    <cellStyle name="20% - Cor1 2 4" xfId="1454" xr:uid="{00000000-0005-0000-0000-0000C6010000}"/>
    <cellStyle name="20% - Cor1 2 4 2" xfId="5482" xr:uid="{00000000-0005-0000-0000-0000C7010000}"/>
    <cellStyle name="20% - Cor1 2 4 3" xfId="6706" xr:uid="{00000000-0005-0000-0000-0000C8010000}"/>
    <cellStyle name="20% - Cor1 2 5" xfId="1427" xr:uid="{00000000-0005-0000-0000-0000C9010000}"/>
    <cellStyle name="20% - Cor1 2 5 2" xfId="5457" xr:uid="{00000000-0005-0000-0000-0000CA010000}"/>
    <cellStyle name="20% - Cor1 2 5 3" xfId="6679" xr:uid="{00000000-0005-0000-0000-0000CB010000}"/>
    <cellStyle name="20% - Cor1 2 6" xfId="1687" xr:uid="{00000000-0005-0000-0000-0000CC010000}"/>
    <cellStyle name="20% - Cor1 2 6 2" xfId="5709" xr:uid="{00000000-0005-0000-0000-0000CD010000}"/>
    <cellStyle name="20% - Cor1 2 6 3" xfId="6934" xr:uid="{00000000-0005-0000-0000-0000CE010000}"/>
    <cellStyle name="20% - Cor1 2 7" xfId="2670" xr:uid="{00000000-0005-0000-0000-0000CF010000}"/>
    <cellStyle name="20% - Cor1 2 8" xfId="4758" xr:uid="{00000000-0005-0000-0000-0000D0010000}"/>
    <cellStyle name="20% - Cor1 2 9" xfId="6437" xr:uid="{00000000-0005-0000-0000-0000D1010000}"/>
    <cellStyle name="20% - Cor1 3" xfId="44" xr:uid="{00000000-0005-0000-0000-0000D2010000}"/>
    <cellStyle name="20% - Cor1 3 2" xfId="1339" xr:uid="{00000000-0005-0000-0000-0000D3010000}"/>
    <cellStyle name="20% - Cor1 3 2 2" xfId="1607" xr:uid="{00000000-0005-0000-0000-0000D4010000}"/>
    <cellStyle name="20% - Cor1 3 2 2 2" xfId="5633" xr:uid="{00000000-0005-0000-0000-0000D5010000}"/>
    <cellStyle name="20% - Cor1 3 2 2 3" xfId="6858" xr:uid="{00000000-0005-0000-0000-0000D6010000}"/>
    <cellStyle name="20% - Cor1 3 2 3" xfId="1808" xr:uid="{00000000-0005-0000-0000-0000D7010000}"/>
    <cellStyle name="20% - Cor1 3 2 3 2" xfId="5829" xr:uid="{00000000-0005-0000-0000-0000D8010000}"/>
    <cellStyle name="20% - Cor1 3 2 3 3" xfId="7055" xr:uid="{00000000-0005-0000-0000-0000D9010000}"/>
    <cellStyle name="20% - Cor1 3 2 4" xfId="2009" xr:uid="{00000000-0005-0000-0000-0000DA010000}"/>
    <cellStyle name="20% - Cor1 3 2 4 2" xfId="6028" xr:uid="{00000000-0005-0000-0000-0000DB010000}"/>
    <cellStyle name="20% - Cor1 3 2 4 3" xfId="7256" xr:uid="{00000000-0005-0000-0000-0000DC010000}"/>
    <cellStyle name="20% - Cor1 3 2 5" xfId="5373" xr:uid="{00000000-0005-0000-0000-0000DD010000}"/>
    <cellStyle name="20% - Cor1 3 2 6" xfId="6591" xr:uid="{00000000-0005-0000-0000-0000DE010000}"/>
    <cellStyle name="20% - Cor1 3 3" xfId="1494" xr:uid="{00000000-0005-0000-0000-0000DF010000}"/>
    <cellStyle name="20% - Cor1 3 3 2" xfId="5522" xr:uid="{00000000-0005-0000-0000-0000E0010000}"/>
    <cellStyle name="20% - Cor1 3 3 3" xfId="6746" xr:uid="{00000000-0005-0000-0000-0000E1010000}"/>
    <cellStyle name="20% - Cor1 3 4" xfId="1701" xr:uid="{00000000-0005-0000-0000-0000E2010000}"/>
    <cellStyle name="20% - Cor1 3 4 2" xfId="5723" xr:uid="{00000000-0005-0000-0000-0000E3010000}"/>
    <cellStyle name="20% - Cor1 3 4 3" xfId="6948" xr:uid="{00000000-0005-0000-0000-0000E4010000}"/>
    <cellStyle name="20% - Cor1 3 5" xfId="1915" xr:uid="{00000000-0005-0000-0000-0000E5010000}"/>
    <cellStyle name="20% - Cor1 3 5 2" xfId="5935" xr:uid="{00000000-0005-0000-0000-0000E6010000}"/>
    <cellStyle name="20% - Cor1 3 5 3" xfId="7162" xr:uid="{00000000-0005-0000-0000-0000E7010000}"/>
    <cellStyle name="20% - Cor1 3 6" xfId="5263" xr:uid="{00000000-0005-0000-0000-0000E8010000}"/>
    <cellStyle name="20% - Cor1 3 7" xfId="6476" xr:uid="{00000000-0005-0000-0000-0000E9010000}"/>
    <cellStyle name="20% - Cor1 3 8" xfId="1224" xr:uid="{00000000-0005-0000-0000-0000EA010000}"/>
    <cellStyle name="20% - Cor1 4" xfId="45" xr:uid="{00000000-0005-0000-0000-0000EB010000}"/>
    <cellStyle name="20% - Cor1 4 2" xfId="1490" xr:uid="{00000000-0005-0000-0000-0000EC010000}"/>
    <cellStyle name="20% - Cor1 4 2 2" xfId="5518" xr:uid="{00000000-0005-0000-0000-0000ED010000}"/>
    <cellStyle name="20% - Cor1 4 2 3" xfId="6742" xr:uid="{00000000-0005-0000-0000-0000EE010000}"/>
    <cellStyle name="20% - Cor1 4 3" xfId="1697" xr:uid="{00000000-0005-0000-0000-0000EF010000}"/>
    <cellStyle name="20% - Cor1 4 3 2" xfId="5719" xr:uid="{00000000-0005-0000-0000-0000F0010000}"/>
    <cellStyle name="20% - Cor1 4 3 3" xfId="6944" xr:uid="{00000000-0005-0000-0000-0000F1010000}"/>
    <cellStyle name="20% - Cor1 4 4" xfId="1935" xr:uid="{00000000-0005-0000-0000-0000F2010000}"/>
    <cellStyle name="20% - Cor1 4 4 2" xfId="5955" xr:uid="{00000000-0005-0000-0000-0000F3010000}"/>
    <cellStyle name="20% - Cor1 4 4 3" xfId="7182" xr:uid="{00000000-0005-0000-0000-0000F4010000}"/>
    <cellStyle name="20% - Cor1 4 5" xfId="5259" xr:uid="{00000000-0005-0000-0000-0000F5010000}"/>
    <cellStyle name="20% - Cor1 4 6" xfId="6472" xr:uid="{00000000-0005-0000-0000-0000F6010000}"/>
    <cellStyle name="20% - Cor1 4 7" xfId="1220" xr:uid="{00000000-0005-0000-0000-0000F7010000}"/>
    <cellStyle name="20% - Cor1 5" xfId="1376" xr:uid="{00000000-0005-0000-0000-0000F8010000}"/>
    <cellStyle name="20% - Cor1 5 2" xfId="1646" xr:uid="{00000000-0005-0000-0000-0000F9010000}"/>
    <cellStyle name="20% - Cor1 5 2 2" xfId="5670" xr:uid="{00000000-0005-0000-0000-0000FA010000}"/>
    <cellStyle name="20% - Cor1 5 2 3" xfId="6895" xr:uid="{00000000-0005-0000-0000-0000FB010000}"/>
    <cellStyle name="20% - Cor1 5 3" xfId="1842" xr:uid="{00000000-0005-0000-0000-0000FC010000}"/>
    <cellStyle name="20% - Cor1 5 3 2" xfId="5863" xr:uid="{00000000-0005-0000-0000-0000FD010000}"/>
    <cellStyle name="20% - Cor1 5 3 3" xfId="7089" xr:uid="{00000000-0005-0000-0000-0000FE010000}"/>
    <cellStyle name="20% - Cor1 5 4" xfId="2027" xr:uid="{00000000-0005-0000-0000-0000FF010000}"/>
    <cellStyle name="20% - Cor1 5 4 2" xfId="6046" xr:uid="{00000000-0005-0000-0000-000000020000}"/>
    <cellStyle name="20% - Cor1 5 4 3" xfId="7274" xr:uid="{00000000-0005-0000-0000-000001020000}"/>
    <cellStyle name="20% - Cor1 5 5" xfId="5407" xr:uid="{00000000-0005-0000-0000-000002020000}"/>
    <cellStyle name="20% - Cor1 5 6" xfId="6628" xr:uid="{00000000-0005-0000-0000-000003020000}"/>
    <cellStyle name="20% - Cor1 6" xfId="1390" xr:uid="{00000000-0005-0000-0000-000004020000}"/>
    <cellStyle name="20% - Cor1 6 2" xfId="1660" xr:uid="{00000000-0005-0000-0000-000005020000}"/>
    <cellStyle name="20% - Cor1 6 2 2" xfId="5684" xr:uid="{00000000-0005-0000-0000-000006020000}"/>
    <cellStyle name="20% - Cor1 6 2 3" xfId="6909" xr:uid="{00000000-0005-0000-0000-000007020000}"/>
    <cellStyle name="20% - Cor1 6 3" xfId="1856" xr:uid="{00000000-0005-0000-0000-000008020000}"/>
    <cellStyle name="20% - Cor1 6 3 2" xfId="5877" xr:uid="{00000000-0005-0000-0000-000009020000}"/>
    <cellStyle name="20% - Cor1 6 3 3" xfId="7103" xr:uid="{00000000-0005-0000-0000-00000A020000}"/>
    <cellStyle name="20% - Cor1 6 4" xfId="2041" xr:uid="{00000000-0005-0000-0000-00000B020000}"/>
    <cellStyle name="20% - Cor1 6 4 2" xfId="6060" xr:uid="{00000000-0005-0000-0000-00000C020000}"/>
    <cellStyle name="20% - Cor1 6 4 3" xfId="7288" xr:uid="{00000000-0005-0000-0000-00000D020000}"/>
    <cellStyle name="20% - Cor1 6 5" xfId="5421" xr:uid="{00000000-0005-0000-0000-00000E020000}"/>
    <cellStyle name="20% - Cor1 6 6" xfId="6642" xr:uid="{00000000-0005-0000-0000-00000F020000}"/>
    <cellStyle name="20% - Cor1 7" xfId="1417" xr:uid="{00000000-0005-0000-0000-000010020000}"/>
    <cellStyle name="20% - Cor1 7 2" xfId="1880" xr:uid="{00000000-0005-0000-0000-000011020000}"/>
    <cellStyle name="20% - Cor1 7 2 2" xfId="5900" xr:uid="{00000000-0005-0000-0000-000012020000}"/>
    <cellStyle name="20% - Cor1 7 2 3" xfId="7127" xr:uid="{00000000-0005-0000-0000-000013020000}"/>
    <cellStyle name="20% - Cor1 7 3" xfId="2053" xr:uid="{00000000-0005-0000-0000-000014020000}"/>
    <cellStyle name="20% - Cor1 7 3 2" xfId="6072" xr:uid="{00000000-0005-0000-0000-000015020000}"/>
    <cellStyle name="20% - Cor1 7 3 3" xfId="7300" xr:uid="{00000000-0005-0000-0000-000016020000}"/>
    <cellStyle name="20% - Cor1 7 4" xfId="5447" xr:uid="{00000000-0005-0000-0000-000017020000}"/>
    <cellStyle name="20% - Cor1 7 5" xfId="6669" xr:uid="{00000000-0005-0000-0000-000018020000}"/>
    <cellStyle name="20% - Cor1 8" xfId="1621" xr:uid="{00000000-0005-0000-0000-000019020000}"/>
    <cellStyle name="20% - Cor1 8 2" xfId="2077" xr:uid="{00000000-0005-0000-0000-00001A020000}"/>
    <cellStyle name="20% - Cor1 8 2 2" xfId="6096" xr:uid="{00000000-0005-0000-0000-00001B020000}"/>
    <cellStyle name="20% - Cor1 8 2 3" xfId="7324" xr:uid="{00000000-0005-0000-0000-00001C020000}"/>
    <cellStyle name="20% - Cor1 8 3" xfId="5647" xr:uid="{00000000-0005-0000-0000-00001D020000}"/>
    <cellStyle name="20% - Cor1 8 4" xfId="6872" xr:uid="{00000000-0005-0000-0000-00001E020000}"/>
    <cellStyle name="20% - Cor1 9" xfId="1936" xr:uid="{00000000-0005-0000-0000-00001F020000}"/>
    <cellStyle name="20% - Cor1 9 2" xfId="5956" xr:uid="{00000000-0005-0000-0000-000020020000}"/>
    <cellStyle name="20% - Cor1 9 3" xfId="7183" xr:uid="{00000000-0005-0000-0000-000021020000}"/>
    <cellStyle name="20% - Cor2 10" xfId="6301" xr:uid="{00000000-0005-0000-0000-000022020000}"/>
    <cellStyle name="20% - Cor2 11" xfId="1019" xr:uid="{00000000-0005-0000-0000-000023020000}"/>
    <cellStyle name="20% - Cor2 2" xfId="46" xr:uid="{00000000-0005-0000-0000-000024020000}"/>
    <cellStyle name="20% - Cor2 2 2" xfId="1260" xr:uid="{00000000-0005-0000-0000-000025020000}"/>
    <cellStyle name="20% - Cor2 2 2 2" xfId="1531" xr:uid="{00000000-0005-0000-0000-000026020000}"/>
    <cellStyle name="20% - Cor2 2 2 2 2" xfId="5558" xr:uid="{00000000-0005-0000-0000-000027020000}"/>
    <cellStyle name="20% - Cor2 2 2 2 3" xfId="6783" xr:uid="{00000000-0005-0000-0000-000028020000}"/>
    <cellStyle name="20% - Cor2 2 2 3" xfId="1736" xr:uid="{00000000-0005-0000-0000-000029020000}"/>
    <cellStyle name="20% - Cor2 2 2 3 2" xfId="5758" xr:uid="{00000000-0005-0000-0000-00002A020000}"/>
    <cellStyle name="20% - Cor2 2 2 3 3" xfId="6983" xr:uid="{00000000-0005-0000-0000-00002B020000}"/>
    <cellStyle name="20% - Cor2 2 2 4" xfId="1414" xr:uid="{00000000-0005-0000-0000-00002C020000}"/>
    <cellStyle name="20% - Cor2 2 2 4 2" xfId="5444" xr:uid="{00000000-0005-0000-0000-00002D020000}"/>
    <cellStyle name="20% - Cor2 2 2 4 3" xfId="6666" xr:uid="{00000000-0005-0000-0000-00002E020000}"/>
    <cellStyle name="20% - Cor2 2 2 5" xfId="5297" xr:uid="{00000000-0005-0000-0000-00002F020000}"/>
    <cellStyle name="20% - Cor2 2 2 6" xfId="6512" xr:uid="{00000000-0005-0000-0000-000030020000}"/>
    <cellStyle name="20% - Cor2 2 3" xfId="1307" xr:uid="{00000000-0005-0000-0000-000031020000}"/>
    <cellStyle name="20% - Cor2 2 3 2" xfId="1576" xr:uid="{00000000-0005-0000-0000-000032020000}"/>
    <cellStyle name="20% - Cor2 2 3 2 2" xfId="5602" xr:uid="{00000000-0005-0000-0000-000033020000}"/>
    <cellStyle name="20% - Cor2 2 3 2 3" xfId="6827" xr:uid="{00000000-0005-0000-0000-000034020000}"/>
    <cellStyle name="20% - Cor2 2 3 3" xfId="1780" xr:uid="{00000000-0005-0000-0000-000035020000}"/>
    <cellStyle name="20% - Cor2 2 3 3 2" xfId="5801" xr:uid="{00000000-0005-0000-0000-000036020000}"/>
    <cellStyle name="20% - Cor2 2 3 3 3" xfId="7027" xr:uid="{00000000-0005-0000-0000-000037020000}"/>
    <cellStyle name="20% - Cor2 2 3 4" xfId="2006" xr:uid="{00000000-0005-0000-0000-000038020000}"/>
    <cellStyle name="20% - Cor2 2 3 4 2" xfId="6025" xr:uid="{00000000-0005-0000-0000-000039020000}"/>
    <cellStyle name="20% - Cor2 2 3 4 3" xfId="7253" xr:uid="{00000000-0005-0000-0000-00003A020000}"/>
    <cellStyle name="20% - Cor2 2 3 5" xfId="5343" xr:uid="{00000000-0005-0000-0000-00003B020000}"/>
    <cellStyle name="20% - Cor2 2 3 6" xfId="6559" xr:uid="{00000000-0005-0000-0000-00003C020000}"/>
    <cellStyle name="20% - Cor2 2 4" xfId="1456" xr:uid="{00000000-0005-0000-0000-00003D020000}"/>
    <cellStyle name="20% - Cor2 2 4 2" xfId="5484" xr:uid="{00000000-0005-0000-0000-00003E020000}"/>
    <cellStyle name="20% - Cor2 2 4 3" xfId="6708" xr:uid="{00000000-0005-0000-0000-00003F020000}"/>
    <cellStyle name="20% - Cor2 2 5" xfId="1420" xr:uid="{00000000-0005-0000-0000-000040020000}"/>
    <cellStyle name="20% - Cor2 2 5 2" xfId="5450" xr:uid="{00000000-0005-0000-0000-000041020000}"/>
    <cellStyle name="20% - Cor2 2 5 3" xfId="6672" xr:uid="{00000000-0005-0000-0000-000042020000}"/>
    <cellStyle name="20% - Cor2 2 6" xfId="1805" xr:uid="{00000000-0005-0000-0000-000043020000}"/>
    <cellStyle name="20% - Cor2 2 6 2" xfId="5826" xr:uid="{00000000-0005-0000-0000-000044020000}"/>
    <cellStyle name="20% - Cor2 2 6 3" xfId="7052" xr:uid="{00000000-0005-0000-0000-000045020000}"/>
    <cellStyle name="20% - Cor2 2 7" xfId="5229" xr:uid="{00000000-0005-0000-0000-000046020000}"/>
    <cellStyle name="20% - Cor2 2 8" xfId="6439" xr:uid="{00000000-0005-0000-0000-000047020000}"/>
    <cellStyle name="20% - Cor2 2 9" xfId="1187" xr:uid="{00000000-0005-0000-0000-000048020000}"/>
    <cellStyle name="20% - Cor2 3" xfId="47" xr:uid="{00000000-0005-0000-0000-000049020000}"/>
    <cellStyle name="20% - Cor2 3 2" xfId="1341" xr:uid="{00000000-0005-0000-0000-00004A020000}"/>
    <cellStyle name="20% - Cor2 3 2 2" xfId="1609" xr:uid="{00000000-0005-0000-0000-00004B020000}"/>
    <cellStyle name="20% - Cor2 3 2 2 2" xfId="5635" xr:uid="{00000000-0005-0000-0000-00004C020000}"/>
    <cellStyle name="20% - Cor2 3 2 2 3" xfId="6860" xr:uid="{00000000-0005-0000-0000-00004D020000}"/>
    <cellStyle name="20% - Cor2 3 2 3" xfId="1810" xr:uid="{00000000-0005-0000-0000-00004E020000}"/>
    <cellStyle name="20% - Cor2 3 2 3 2" xfId="5831" xr:uid="{00000000-0005-0000-0000-00004F020000}"/>
    <cellStyle name="20% - Cor2 3 2 3 3" xfId="7057" xr:uid="{00000000-0005-0000-0000-000050020000}"/>
    <cellStyle name="20% - Cor2 3 2 4" xfId="1920" xr:uid="{00000000-0005-0000-0000-000051020000}"/>
    <cellStyle name="20% - Cor2 3 2 4 2" xfId="5940" xr:uid="{00000000-0005-0000-0000-000052020000}"/>
    <cellStyle name="20% - Cor2 3 2 4 3" xfId="7167" xr:uid="{00000000-0005-0000-0000-000053020000}"/>
    <cellStyle name="20% - Cor2 3 2 5" xfId="5375" xr:uid="{00000000-0005-0000-0000-000054020000}"/>
    <cellStyle name="20% - Cor2 3 2 6" xfId="6593" xr:uid="{00000000-0005-0000-0000-000055020000}"/>
    <cellStyle name="20% - Cor2 3 3" xfId="1496" xr:uid="{00000000-0005-0000-0000-000056020000}"/>
    <cellStyle name="20% - Cor2 3 3 2" xfId="5524" xr:uid="{00000000-0005-0000-0000-000057020000}"/>
    <cellStyle name="20% - Cor2 3 3 3" xfId="6748" xr:uid="{00000000-0005-0000-0000-000058020000}"/>
    <cellStyle name="20% - Cor2 3 4" xfId="1703" xr:uid="{00000000-0005-0000-0000-000059020000}"/>
    <cellStyle name="20% - Cor2 3 4 2" xfId="5725" xr:uid="{00000000-0005-0000-0000-00005A020000}"/>
    <cellStyle name="20% - Cor2 3 4 3" xfId="6950" xr:uid="{00000000-0005-0000-0000-00005B020000}"/>
    <cellStyle name="20% - Cor2 3 5" xfId="1952" xr:uid="{00000000-0005-0000-0000-00005C020000}"/>
    <cellStyle name="20% - Cor2 3 5 2" xfId="5972" xr:uid="{00000000-0005-0000-0000-00005D020000}"/>
    <cellStyle name="20% - Cor2 3 5 3" xfId="7199" xr:uid="{00000000-0005-0000-0000-00005E020000}"/>
    <cellStyle name="20% - Cor2 3 6" xfId="5265" xr:uid="{00000000-0005-0000-0000-00005F020000}"/>
    <cellStyle name="20% - Cor2 3 7" xfId="6478" xr:uid="{00000000-0005-0000-0000-000060020000}"/>
    <cellStyle name="20% - Cor2 3 8" xfId="1226" xr:uid="{00000000-0005-0000-0000-000061020000}"/>
    <cellStyle name="20% - Cor2 4" xfId="48" xr:uid="{00000000-0005-0000-0000-000062020000}"/>
    <cellStyle name="20% - Cor2 4 2" xfId="1502" xr:uid="{00000000-0005-0000-0000-000063020000}"/>
    <cellStyle name="20% - Cor2 4 2 2" xfId="5530" xr:uid="{00000000-0005-0000-0000-000064020000}"/>
    <cellStyle name="20% - Cor2 4 2 3" xfId="6754" xr:uid="{00000000-0005-0000-0000-000065020000}"/>
    <cellStyle name="20% - Cor2 4 3" xfId="1709" xr:uid="{00000000-0005-0000-0000-000066020000}"/>
    <cellStyle name="20% - Cor2 4 3 2" xfId="5731" xr:uid="{00000000-0005-0000-0000-000067020000}"/>
    <cellStyle name="20% - Cor2 4 3 3" xfId="6956" xr:uid="{00000000-0005-0000-0000-000068020000}"/>
    <cellStyle name="20% - Cor2 4 4" xfId="1950" xr:uid="{00000000-0005-0000-0000-000069020000}"/>
    <cellStyle name="20% - Cor2 4 4 2" xfId="5970" xr:uid="{00000000-0005-0000-0000-00006A020000}"/>
    <cellStyle name="20% - Cor2 4 4 3" xfId="7197" xr:uid="{00000000-0005-0000-0000-00006B020000}"/>
    <cellStyle name="20% - Cor2 4 5" xfId="5271" xr:uid="{00000000-0005-0000-0000-00006C020000}"/>
    <cellStyle name="20% - Cor2 4 6" xfId="6484" xr:uid="{00000000-0005-0000-0000-00006D020000}"/>
    <cellStyle name="20% - Cor2 4 7" xfId="1232" xr:uid="{00000000-0005-0000-0000-00006E020000}"/>
    <cellStyle name="20% - Cor2 5" xfId="1378" xr:uid="{00000000-0005-0000-0000-00006F020000}"/>
    <cellStyle name="20% - Cor2 5 2" xfId="1648" xr:uid="{00000000-0005-0000-0000-000070020000}"/>
    <cellStyle name="20% - Cor2 5 2 2" xfId="5672" xr:uid="{00000000-0005-0000-0000-000071020000}"/>
    <cellStyle name="20% - Cor2 5 2 3" xfId="6897" xr:uid="{00000000-0005-0000-0000-000072020000}"/>
    <cellStyle name="20% - Cor2 5 3" xfId="1844" xr:uid="{00000000-0005-0000-0000-000073020000}"/>
    <cellStyle name="20% - Cor2 5 3 2" xfId="5865" xr:uid="{00000000-0005-0000-0000-000074020000}"/>
    <cellStyle name="20% - Cor2 5 3 3" xfId="7091" xr:uid="{00000000-0005-0000-0000-000075020000}"/>
    <cellStyle name="20% - Cor2 5 4" xfId="2029" xr:uid="{00000000-0005-0000-0000-000076020000}"/>
    <cellStyle name="20% - Cor2 5 4 2" xfId="6048" xr:uid="{00000000-0005-0000-0000-000077020000}"/>
    <cellStyle name="20% - Cor2 5 4 3" xfId="7276" xr:uid="{00000000-0005-0000-0000-000078020000}"/>
    <cellStyle name="20% - Cor2 5 5" xfId="5409" xr:uid="{00000000-0005-0000-0000-000079020000}"/>
    <cellStyle name="20% - Cor2 5 6" xfId="6630" xr:uid="{00000000-0005-0000-0000-00007A020000}"/>
    <cellStyle name="20% - Cor2 6" xfId="1392" xr:uid="{00000000-0005-0000-0000-00007B020000}"/>
    <cellStyle name="20% - Cor2 6 2" xfId="1662" xr:uid="{00000000-0005-0000-0000-00007C020000}"/>
    <cellStyle name="20% - Cor2 6 2 2" xfId="5686" xr:uid="{00000000-0005-0000-0000-00007D020000}"/>
    <cellStyle name="20% - Cor2 6 2 3" xfId="6911" xr:uid="{00000000-0005-0000-0000-00007E020000}"/>
    <cellStyle name="20% - Cor2 6 3" xfId="1858" xr:uid="{00000000-0005-0000-0000-00007F020000}"/>
    <cellStyle name="20% - Cor2 6 3 2" xfId="5879" xr:uid="{00000000-0005-0000-0000-000080020000}"/>
    <cellStyle name="20% - Cor2 6 3 3" xfId="7105" xr:uid="{00000000-0005-0000-0000-000081020000}"/>
    <cellStyle name="20% - Cor2 6 4" xfId="2043" xr:uid="{00000000-0005-0000-0000-000082020000}"/>
    <cellStyle name="20% - Cor2 6 4 2" xfId="6062" xr:uid="{00000000-0005-0000-0000-000083020000}"/>
    <cellStyle name="20% - Cor2 6 4 3" xfId="7290" xr:uid="{00000000-0005-0000-0000-000084020000}"/>
    <cellStyle name="20% - Cor2 6 5" xfId="5423" xr:uid="{00000000-0005-0000-0000-000085020000}"/>
    <cellStyle name="20% - Cor2 6 6" xfId="6644" xr:uid="{00000000-0005-0000-0000-000086020000}"/>
    <cellStyle name="20% - Cor2 7" xfId="1421" xr:uid="{00000000-0005-0000-0000-000087020000}"/>
    <cellStyle name="20% - Cor2 7 2" xfId="1882" xr:uid="{00000000-0005-0000-0000-000088020000}"/>
    <cellStyle name="20% - Cor2 7 2 2" xfId="5902" xr:uid="{00000000-0005-0000-0000-000089020000}"/>
    <cellStyle name="20% - Cor2 7 2 3" xfId="7129" xr:uid="{00000000-0005-0000-0000-00008A020000}"/>
    <cellStyle name="20% - Cor2 7 3" xfId="2055" xr:uid="{00000000-0005-0000-0000-00008B020000}"/>
    <cellStyle name="20% - Cor2 7 3 2" xfId="6074" xr:uid="{00000000-0005-0000-0000-00008C020000}"/>
    <cellStyle name="20% - Cor2 7 3 3" xfId="7302" xr:uid="{00000000-0005-0000-0000-00008D020000}"/>
    <cellStyle name="20% - Cor2 7 4" xfId="5451" xr:uid="{00000000-0005-0000-0000-00008E020000}"/>
    <cellStyle name="20% - Cor2 7 5" xfId="6673" xr:uid="{00000000-0005-0000-0000-00008F020000}"/>
    <cellStyle name="20% - Cor2 8" xfId="1479" xr:uid="{00000000-0005-0000-0000-000090020000}"/>
    <cellStyle name="20% - Cor2 8 2" xfId="2067" xr:uid="{00000000-0005-0000-0000-000091020000}"/>
    <cellStyle name="20% - Cor2 8 2 2" xfId="6086" xr:uid="{00000000-0005-0000-0000-000092020000}"/>
    <cellStyle name="20% - Cor2 8 2 3" xfId="7314" xr:uid="{00000000-0005-0000-0000-000093020000}"/>
    <cellStyle name="20% - Cor2 8 3" xfId="5507" xr:uid="{00000000-0005-0000-0000-000094020000}"/>
    <cellStyle name="20% - Cor2 8 4" xfId="6731" xr:uid="{00000000-0005-0000-0000-000095020000}"/>
    <cellStyle name="20% - Cor2 9" xfId="1563" xr:uid="{00000000-0005-0000-0000-000096020000}"/>
    <cellStyle name="20% - Cor2 9 2" xfId="5589" xr:uid="{00000000-0005-0000-0000-000097020000}"/>
    <cellStyle name="20% - Cor2 9 3" xfId="6814" xr:uid="{00000000-0005-0000-0000-000098020000}"/>
    <cellStyle name="20% - Cor3 10" xfId="6305" xr:uid="{00000000-0005-0000-0000-000099020000}"/>
    <cellStyle name="20% - Cor3 11" xfId="1023" xr:uid="{00000000-0005-0000-0000-00009A020000}"/>
    <cellStyle name="20% - Cor3 2" xfId="49" xr:uid="{00000000-0005-0000-0000-00009B020000}"/>
    <cellStyle name="20% - Cor3 2 2" xfId="1262" xr:uid="{00000000-0005-0000-0000-00009C020000}"/>
    <cellStyle name="20% - Cor3 2 2 2" xfId="1533" xr:uid="{00000000-0005-0000-0000-00009D020000}"/>
    <cellStyle name="20% - Cor3 2 2 2 2" xfId="5560" xr:uid="{00000000-0005-0000-0000-00009E020000}"/>
    <cellStyle name="20% - Cor3 2 2 2 3" xfId="6785" xr:uid="{00000000-0005-0000-0000-00009F020000}"/>
    <cellStyle name="20% - Cor3 2 2 3" xfId="1738" xr:uid="{00000000-0005-0000-0000-0000A0020000}"/>
    <cellStyle name="20% - Cor3 2 2 3 2" xfId="5760" xr:uid="{00000000-0005-0000-0000-0000A1020000}"/>
    <cellStyle name="20% - Cor3 2 2 3 3" xfId="6985" xr:uid="{00000000-0005-0000-0000-0000A2020000}"/>
    <cellStyle name="20% - Cor3 2 2 4" xfId="1402" xr:uid="{00000000-0005-0000-0000-0000A3020000}"/>
    <cellStyle name="20% - Cor3 2 2 4 2" xfId="5433" xr:uid="{00000000-0005-0000-0000-0000A4020000}"/>
    <cellStyle name="20% - Cor3 2 2 4 3" xfId="6654" xr:uid="{00000000-0005-0000-0000-0000A5020000}"/>
    <cellStyle name="20% - Cor3 2 2 5" xfId="5299" xr:uid="{00000000-0005-0000-0000-0000A6020000}"/>
    <cellStyle name="20% - Cor3 2 2 6" xfId="6514" xr:uid="{00000000-0005-0000-0000-0000A7020000}"/>
    <cellStyle name="20% - Cor3 2 3" xfId="1309" xr:uid="{00000000-0005-0000-0000-0000A8020000}"/>
    <cellStyle name="20% - Cor3 2 3 2" xfId="1578" xr:uid="{00000000-0005-0000-0000-0000A9020000}"/>
    <cellStyle name="20% - Cor3 2 3 2 2" xfId="5604" xr:uid="{00000000-0005-0000-0000-0000AA020000}"/>
    <cellStyle name="20% - Cor3 2 3 2 3" xfId="6829" xr:uid="{00000000-0005-0000-0000-0000AB020000}"/>
    <cellStyle name="20% - Cor3 2 3 3" xfId="1782" xr:uid="{00000000-0005-0000-0000-0000AC020000}"/>
    <cellStyle name="20% - Cor3 2 3 3 2" xfId="5803" xr:uid="{00000000-0005-0000-0000-0000AD020000}"/>
    <cellStyle name="20% - Cor3 2 3 3 3" xfId="7029" xr:uid="{00000000-0005-0000-0000-0000AE020000}"/>
    <cellStyle name="20% - Cor3 2 3 4" xfId="1918" xr:uid="{00000000-0005-0000-0000-0000AF020000}"/>
    <cellStyle name="20% - Cor3 2 3 4 2" xfId="5938" xr:uid="{00000000-0005-0000-0000-0000B0020000}"/>
    <cellStyle name="20% - Cor3 2 3 4 3" xfId="7165" xr:uid="{00000000-0005-0000-0000-0000B1020000}"/>
    <cellStyle name="20% - Cor3 2 3 5" xfId="5345" xr:uid="{00000000-0005-0000-0000-0000B2020000}"/>
    <cellStyle name="20% - Cor3 2 3 6" xfId="6561" xr:uid="{00000000-0005-0000-0000-0000B3020000}"/>
    <cellStyle name="20% - Cor3 2 4" xfId="1458" xr:uid="{00000000-0005-0000-0000-0000B4020000}"/>
    <cellStyle name="20% - Cor3 2 4 2" xfId="5486" xr:uid="{00000000-0005-0000-0000-0000B5020000}"/>
    <cellStyle name="20% - Cor3 2 4 3" xfId="6710" xr:uid="{00000000-0005-0000-0000-0000B6020000}"/>
    <cellStyle name="20% - Cor3 2 5" xfId="1413" xr:uid="{00000000-0005-0000-0000-0000B7020000}"/>
    <cellStyle name="20% - Cor3 2 5 2" xfId="5443" xr:uid="{00000000-0005-0000-0000-0000B8020000}"/>
    <cellStyle name="20% - Cor3 2 5 3" xfId="6665" xr:uid="{00000000-0005-0000-0000-0000B9020000}"/>
    <cellStyle name="20% - Cor3 2 6" xfId="1720" xr:uid="{00000000-0005-0000-0000-0000BA020000}"/>
    <cellStyle name="20% - Cor3 2 6 2" xfId="5742" xr:uid="{00000000-0005-0000-0000-0000BB020000}"/>
    <cellStyle name="20% - Cor3 2 6 3" xfId="6967" xr:uid="{00000000-0005-0000-0000-0000BC020000}"/>
    <cellStyle name="20% - Cor3 2 7" xfId="5231" xr:uid="{00000000-0005-0000-0000-0000BD020000}"/>
    <cellStyle name="20% - Cor3 2 8" xfId="6441" xr:uid="{00000000-0005-0000-0000-0000BE020000}"/>
    <cellStyle name="20% - Cor3 2 9" xfId="1189" xr:uid="{00000000-0005-0000-0000-0000BF020000}"/>
    <cellStyle name="20% - Cor3 3" xfId="50" xr:uid="{00000000-0005-0000-0000-0000C0020000}"/>
    <cellStyle name="20% - Cor3 3 2" xfId="1343" xr:uid="{00000000-0005-0000-0000-0000C1020000}"/>
    <cellStyle name="20% - Cor3 3 2 2" xfId="1611" xr:uid="{00000000-0005-0000-0000-0000C2020000}"/>
    <cellStyle name="20% - Cor3 3 2 2 2" xfId="5637" xr:uid="{00000000-0005-0000-0000-0000C3020000}"/>
    <cellStyle name="20% - Cor3 3 2 2 3" xfId="6862" xr:uid="{00000000-0005-0000-0000-0000C4020000}"/>
    <cellStyle name="20% - Cor3 3 2 3" xfId="1812" xr:uid="{00000000-0005-0000-0000-0000C5020000}"/>
    <cellStyle name="20% - Cor3 3 2 3 2" xfId="5833" xr:uid="{00000000-0005-0000-0000-0000C6020000}"/>
    <cellStyle name="20% - Cor3 3 2 3 3" xfId="7059" xr:uid="{00000000-0005-0000-0000-0000C7020000}"/>
    <cellStyle name="20% - Cor3 3 2 4" xfId="1976" xr:uid="{00000000-0005-0000-0000-0000C8020000}"/>
    <cellStyle name="20% - Cor3 3 2 4 2" xfId="5995" xr:uid="{00000000-0005-0000-0000-0000C9020000}"/>
    <cellStyle name="20% - Cor3 3 2 4 3" xfId="7223" xr:uid="{00000000-0005-0000-0000-0000CA020000}"/>
    <cellStyle name="20% - Cor3 3 2 5" xfId="5377" xr:uid="{00000000-0005-0000-0000-0000CB020000}"/>
    <cellStyle name="20% - Cor3 3 2 6" xfId="6595" xr:uid="{00000000-0005-0000-0000-0000CC020000}"/>
    <cellStyle name="20% - Cor3 3 3" xfId="1499" xr:uid="{00000000-0005-0000-0000-0000CD020000}"/>
    <cellStyle name="20% - Cor3 3 3 2" xfId="5527" xr:uid="{00000000-0005-0000-0000-0000CE020000}"/>
    <cellStyle name="20% - Cor3 3 3 3" xfId="6751" xr:uid="{00000000-0005-0000-0000-0000CF020000}"/>
    <cellStyle name="20% - Cor3 3 4" xfId="1706" xr:uid="{00000000-0005-0000-0000-0000D0020000}"/>
    <cellStyle name="20% - Cor3 3 4 2" xfId="5728" xr:uid="{00000000-0005-0000-0000-0000D1020000}"/>
    <cellStyle name="20% - Cor3 3 4 3" xfId="6953" xr:uid="{00000000-0005-0000-0000-0000D2020000}"/>
    <cellStyle name="20% - Cor3 3 5" xfId="1951" xr:uid="{00000000-0005-0000-0000-0000D3020000}"/>
    <cellStyle name="20% - Cor3 3 5 2" xfId="5971" xr:uid="{00000000-0005-0000-0000-0000D4020000}"/>
    <cellStyle name="20% - Cor3 3 5 3" xfId="7198" xr:uid="{00000000-0005-0000-0000-0000D5020000}"/>
    <cellStyle name="20% - Cor3 3 6" xfId="5268" xr:uid="{00000000-0005-0000-0000-0000D6020000}"/>
    <cellStyle name="20% - Cor3 3 7" xfId="6481" xr:uid="{00000000-0005-0000-0000-0000D7020000}"/>
    <cellStyle name="20% - Cor3 3 8" xfId="1229" xr:uid="{00000000-0005-0000-0000-0000D8020000}"/>
    <cellStyle name="20% - Cor3 4" xfId="51" xr:uid="{00000000-0005-0000-0000-0000D9020000}"/>
    <cellStyle name="20% - Cor3 4 2" xfId="1492" xr:uid="{00000000-0005-0000-0000-0000DA020000}"/>
    <cellStyle name="20% - Cor3 4 2 2" xfId="5520" xr:uid="{00000000-0005-0000-0000-0000DB020000}"/>
    <cellStyle name="20% - Cor3 4 2 3" xfId="6744" xr:uid="{00000000-0005-0000-0000-0000DC020000}"/>
    <cellStyle name="20% - Cor3 4 3" xfId="1699" xr:uid="{00000000-0005-0000-0000-0000DD020000}"/>
    <cellStyle name="20% - Cor3 4 3 2" xfId="5721" xr:uid="{00000000-0005-0000-0000-0000DE020000}"/>
    <cellStyle name="20% - Cor3 4 3 3" xfId="6946" xr:uid="{00000000-0005-0000-0000-0000DF020000}"/>
    <cellStyle name="20% - Cor3 4 4" xfId="1972" xr:uid="{00000000-0005-0000-0000-0000E0020000}"/>
    <cellStyle name="20% - Cor3 4 4 2" xfId="5991" xr:uid="{00000000-0005-0000-0000-0000E1020000}"/>
    <cellStyle name="20% - Cor3 4 4 3" xfId="7219" xr:uid="{00000000-0005-0000-0000-0000E2020000}"/>
    <cellStyle name="20% - Cor3 4 5" xfId="5261" xr:uid="{00000000-0005-0000-0000-0000E3020000}"/>
    <cellStyle name="20% - Cor3 4 6" xfId="6474" xr:uid="{00000000-0005-0000-0000-0000E4020000}"/>
    <cellStyle name="20% - Cor3 4 7" xfId="1222" xr:uid="{00000000-0005-0000-0000-0000E5020000}"/>
    <cellStyle name="20% - Cor3 5" xfId="1380" xr:uid="{00000000-0005-0000-0000-0000E6020000}"/>
    <cellStyle name="20% - Cor3 5 2" xfId="1650" xr:uid="{00000000-0005-0000-0000-0000E7020000}"/>
    <cellStyle name="20% - Cor3 5 2 2" xfId="5674" xr:uid="{00000000-0005-0000-0000-0000E8020000}"/>
    <cellStyle name="20% - Cor3 5 2 3" xfId="6899" xr:uid="{00000000-0005-0000-0000-0000E9020000}"/>
    <cellStyle name="20% - Cor3 5 3" xfId="1846" xr:uid="{00000000-0005-0000-0000-0000EA020000}"/>
    <cellStyle name="20% - Cor3 5 3 2" xfId="5867" xr:uid="{00000000-0005-0000-0000-0000EB020000}"/>
    <cellStyle name="20% - Cor3 5 3 3" xfId="7093" xr:uid="{00000000-0005-0000-0000-0000EC020000}"/>
    <cellStyle name="20% - Cor3 5 4" xfId="2031" xr:uid="{00000000-0005-0000-0000-0000ED020000}"/>
    <cellStyle name="20% - Cor3 5 4 2" xfId="6050" xr:uid="{00000000-0005-0000-0000-0000EE020000}"/>
    <cellStyle name="20% - Cor3 5 4 3" xfId="7278" xr:uid="{00000000-0005-0000-0000-0000EF020000}"/>
    <cellStyle name="20% - Cor3 5 5" xfId="5411" xr:uid="{00000000-0005-0000-0000-0000F0020000}"/>
    <cellStyle name="20% - Cor3 5 6" xfId="6632" xr:uid="{00000000-0005-0000-0000-0000F1020000}"/>
    <cellStyle name="20% - Cor3 6" xfId="1394" xr:uid="{00000000-0005-0000-0000-0000F2020000}"/>
    <cellStyle name="20% - Cor3 6 2" xfId="1664" xr:uid="{00000000-0005-0000-0000-0000F3020000}"/>
    <cellStyle name="20% - Cor3 6 2 2" xfId="5688" xr:uid="{00000000-0005-0000-0000-0000F4020000}"/>
    <cellStyle name="20% - Cor3 6 2 3" xfId="6913" xr:uid="{00000000-0005-0000-0000-0000F5020000}"/>
    <cellStyle name="20% - Cor3 6 3" xfId="1860" xr:uid="{00000000-0005-0000-0000-0000F6020000}"/>
    <cellStyle name="20% - Cor3 6 3 2" xfId="5881" xr:uid="{00000000-0005-0000-0000-0000F7020000}"/>
    <cellStyle name="20% - Cor3 6 3 3" xfId="7107" xr:uid="{00000000-0005-0000-0000-0000F8020000}"/>
    <cellStyle name="20% - Cor3 6 4" xfId="2045" xr:uid="{00000000-0005-0000-0000-0000F9020000}"/>
    <cellStyle name="20% - Cor3 6 4 2" xfId="6064" xr:uid="{00000000-0005-0000-0000-0000FA020000}"/>
    <cellStyle name="20% - Cor3 6 4 3" xfId="7292" xr:uid="{00000000-0005-0000-0000-0000FB020000}"/>
    <cellStyle name="20% - Cor3 6 5" xfId="5425" xr:uid="{00000000-0005-0000-0000-0000FC020000}"/>
    <cellStyle name="20% - Cor3 6 6" xfId="6646" xr:uid="{00000000-0005-0000-0000-0000FD020000}"/>
    <cellStyle name="20% - Cor3 7" xfId="1424" xr:uid="{00000000-0005-0000-0000-0000FE020000}"/>
    <cellStyle name="20% - Cor3 7 2" xfId="1884" xr:uid="{00000000-0005-0000-0000-0000FF020000}"/>
    <cellStyle name="20% - Cor3 7 2 2" xfId="5904" xr:uid="{00000000-0005-0000-0000-000000030000}"/>
    <cellStyle name="20% - Cor3 7 2 3" xfId="7131" xr:uid="{00000000-0005-0000-0000-000001030000}"/>
    <cellStyle name="20% - Cor3 7 3" xfId="2057" xr:uid="{00000000-0005-0000-0000-000002030000}"/>
    <cellStyle name="20% - Cor3 7 3 2" xfId="6076" xr:uid="{00000000-0005-0000-0000-000003030000}"/>
    <cellStyle name="20% - Cor3 7 3 3" xfId="7304" xr:uid="{00000000-0005-0000-0000-000004030000}"/>
    <cellStyle name="20% - Cor3 7 4" xfId="5454" xr:uid="{00000000-0005-0000-0000-000005030000}"/>
    <cellStyle name="20% - Cor3 7 5" xfId="6676" xr:uid="{00000000-0005-0000-0000-000006030000}"/>
    <cellStyle name="20% - Cor3 8" xfId="1564" xr:uid="{00000000-0005-0000-0000-000007030000}"/>
    <cellStyle name="20% - Cor3 8 2" xfId="2072" xr:uid="{00000000-0005-0000-0000-000008030000}"/>
    <cellStyle name="20% - Cor3 8 2 2" xfId="6091" xr:uid="{00000000-0005-0000-0000-000009030000}"/>
    <cellStyle name="20% - Cor3 8 2 3" xfId="7319" xr:uid="{00000000-0005-0000-0000-00000A030000}"/>
    <cellStyle name="20% - Cor3 8 3" xfId="5590" xr:uid="{00000000-0005-0000-0000-00000B030000}"/>
    <cellStyle name="20% - Cor3 8 4" xfId="6815" xr:uid="{00000000-0005-0000-0000-00000C030000}"/>
    <cellStyle name="20% - Cor3 9" xfId="1911" xr:uid="{00000000-0005-0000-0000-00000D030000}"/>
    <cellStyle name="20% - Cor3 9 2" xfId="5931" xr:uid="{00000000-0005-0000-0000-00000E030000}"/>
    <cellStyle name="20% - Cor3 9 3" xfId="7158" xr:uid="{00000000-0005-0000-0000-00000F030000}"/>
    <cellStyle name="20% - Cor4 10" xfId="6309" xr:uid="{00000000-0005-0000-0000-000010030000}"/>
    <cellStyle name="20% - Cor4 11" xfId="1027" xr:uid="{00000000-0005-0000-0000-000011030000}"/>
    <cellStyle name="20% - Cor4 2" xfId="52" xr:uid="{00000000-0005-0000-0000-000012030000}"/>
    <cellStyle name="20% - Cor4 2 2" xfId="1264" xr:uid="{00000000-0005-0000-0000-000013030000}"/>
    <cellStyle name="20% - Cor4 2 2 2" xfId="1535" xr:uid="{00000000-0005-0000-0000-000014030000}"/>
    <cellStyle name="20% - Cor4 2 2 2 2" xfId="5562" xr:uid="{00000000-0005-0000-0000-000015030000}"/>
    <cellStyle name="20% - Cor4 2 2 2 3" xfId="6787" xr:uid="{00000000-0005-0000-0000-000016030000}"/>
    <cellStyle name="20% - Cor4 2 2 3" xfId="1740" xr:uid="{00000000-0005-0000-0000-000017030000}"/>
    <cellStyle name="20% - Cor4 2 2 3 2" xfId="5762" xr:uid="{00000000-0005-0000-0000-000018030000}"/>
    <cellStyle name="20% - Cor4 2 2 3 3" xfId="6987" xr:uid="{00000000-0005-0000-0000-000019030000}"/>
    <cellStyle name="20% - Cor4 2 2 4" xfId="1513" xr:uid="{00000000-0005-0000-0000-00001A030000}"/>
    <cellStyle name="20% - Cor4 2 2 4 2" xfId="5541" xr:uid="{00000000-0005-0000-0000-00001B030000}"/>
    <cellStyle name="20% - Cor4 2 2 4 3" xfId="6765" xr:uid="{00000000-0005-0000-0000-00001C030000}"/>
    <cellStyle name="20% - Cor4 2 2 5" xfId="5301" xr:uid="{00000000-0005-0000-0000-00001D030000}"/>
    <cellStyle name="20% - Cor4 2 2 6" xfId="6516" xr:uid="{00000000-0005-0000-0000-00001E030000}"/>
    <cellStyle name="20% - Cor4 2 3" xfId="1311" xr:uid="{00000000-0005-0000-0000-00001F030000}"/>
    <cellStyle name="20% - Cor4 2 3 2" xfId="1580" xr:uid="{00000000-0005-0000-0000-000020030000}"/>
    <cellStyle name="20% - Cor4 2 3 2 2" xfId="5606" xr:uid="{00000000-0005-0000-0000-000021030000}"/>
    <cellStyle name="20% - Cor4 2 3 2 3" xfId="6831" xr:uid="{00000000-0005-0000-0000-000022030000}"/>
    <cellStyle name="20% - Cor4 2 3 3" xfId="1784" xr:uid="{00000000-0005-0000-0000-000023030000}"/>
    <cellStyle name="20% - Cor4 2 3 3 2" xfId="5805" xr:uid="{00000000-0005-0000-0000-000024030000}"/>
    <cellStyle name="20% - Cor4 2 3 3 3" xfId="7031" xr:uid="{00000000-0005-0000-0000-000025030000}"/>
    <cellStyle name="20% - Cor4 2 3 4" xfId="1973" xr:uid="{00000000-0005-0000-0000-000026030000}"/>
    <cellStyle name="20% - Cor4 2 3 4 2" xfId="5992" xr:uid="{00000000-0005-0000-0000-000027030000}"/>
    <cellStyle name="20% - Cor4 2 3 4 3" xfId="7220" xr:uid="{00000000-0005-0000-0000-000028030000}"/>
    <cellStyle name="20% - Cor4 2 3 5" xfId="5347" xr:uid="{00000000-0005-0000-0000-000029030000}"/>
    <cellStyle name="20% - Cor4 2 3 6" xfId="6563" xr:uid="{00000000-0005-0000-0000-00002A030000}"/>
    <cellStyle name="20% - Cor4 2 4" xfId="1460" xr:uid="{00000000-0005-0000-0000-00002B030000}"/>
    <cellStyle name="20% - Cor4 2 4 2" xfId="5488" xr:uid="{00000000-0005-0000-0000-00002C030000}"/>
    <cellStyle name="20% - Cor4 2 4 3" xfId="6712" xr:uid="{00000000-0005-0000-0000-00002D030000}"/>
    <cellStyle name="20% - Cor4 2 5" xfId="1406" xr:uid="{00000000-0005-0000-0000-00002E030000}"/>
    <cellStyle name="20% - Cor4 2 5 2" xfId="5437" xr:uid="{00000000-0005-0000-0000-00002F030000}"/>
    <cellStyle name="20% - Cor4 2 5 3" xfId="6658" xr:uid="{00000000-0005-0000-0000-000030030000}"/>
    <cellStyle name="20% - Cor4 2 6" xfId="1724" xr:uid="{00000000-0005-0000-0000-000031030000}"/>
    <cellStyle name="20% - Cor4 2 6 2" xfId="5746" xr:uid="{00000000-0005-0000-0000-000032030000}"/>
    <cellStyle name="20% - Cor4 2 6 3" xfId="6971" xr:uid="{00000000-0005-0000-0000-000033030000}"/>
    <cellStyle name="20% - Cor4 2 7" xfId="5233" xr:uid="{00000000-0005-0000-0000-000034030000}"/>
    <cellStyle name="20% - Cor4 2 8" xfId="6443" xr:uid="{00000000-0005-0000-0000-000035030000}"/>
    <cellStyle name="20% - Cor4 2 9" xfId="1191" xr:uid="{00000000-0005-0000-0000-000036030000}"/>
    <cellStyle name="20% - Cor4 3" xfId="53" xr:uid="{00000000-0005-0000-0000-000037030000}"/>
    <cellStyle name="20% - Cor4 3 2" xfId="1345" xr:uid="{00000000-0005-0000-0000-000038030000}"/>
    <cellStyle name="20% - Cor4 3 2 2" xfId="1613" xr:uid="{00000000-0005-0000-0000-000039030000}"/>
    <cellStyle name="20% - Cor4 3 2 2 2" xfId="5639" xr:uid="{00000000-0005-0000-0000-00003A030000}"/>
    <cellStyle name="20% - Cor4 3 2 2 3" xfId="6864" xr:uid="{00000000-0005-0000-0000-00003B030000}"/>
    <cellStyle name="20% - Cor4 3 2 3" xfId="1814" xr:uid="{00000000-0005-0000-0000-00003C030000}"/>
    <cellStyle name="20% - Cor4 3 2 3 2" xfId="5835" xr:uid="{00000000-0005-0000-0000-00003D030000}"/>
    <cellStyle name="20% - Cor4 3 2 3 3" xfId="7061" xr:uid="{00000000-0005-0000-0000-00003E030000}"/>
    <cellStyle name="20% - Cor4 3 2 4" xfId="1961" xr:uid="{00000000-0005-0000-0000-00003F030000}"/>
    <cellStyle name="20% - Cor4 3 2 4 2" xfId="5981" xr:uid="{00000000-0005-0000-0000-000040030000}"/>
    <cellStyle name="20% - Cor4 3 2 4 3" xfId="7208" xr:uid="{00000000-0005-0000-0000-000041030000}"/>
    <cellStyle name="20% - Cor4 3 2 5" xfId="5379" xr:uid="{00000000-0005-0000-0000-000042030000}"/>
    <cellStyle name="20% - Cor4 3 2 6" xfId="6597" xr:uid="{00000000-0005-0000-0000-000043030000}"/>
    <cellStyle name="20% - Cor4 3 3" xfId="1503" xr:uid="{00000000-0005-0000-0000-000044030000}"/>
    <cellStyle name="20% - Cor4 3 3 2" xfId="5531" xr:uid="{00000000-0005-0000-0000-000045030000}"/>
    <cellStyle name="20% - Cor4 3 3 3" xfId="6755" xr:uid="{00000000-0005-0000-0000-000046030000}"/>
    <cellStyle name="20% - Cor4 3 4" xfId="1710" xr:uid="{00000000-0005-0000-0000-000047030000}"/>
    <cellStyle name="20% - Cor4 3 4 2" xfId="5732" xr:uid="{00000000-0005-0000-0000-000048030000}"/>
    <cellStyle name="20% - Cor4 3 4 3" xfId="6957" xr:uid="{00000000-0005-0000-0000-000049030000}"/>
    <cellStyle name="20% - Cor4 3 5" xfId="1685" xr:uid="{00000000-0005-0000-0000-00004A030000}"/>
    <cellStyle name="20% - Cor4 3 5 2" xfId="5707" xr:uid="{00000000-0005-0000-0000-00004B030000}"/>
    <cellStyle name="20% - Cor4 3 5 3" xfId="6932" xr:uid="{00000000-0005-0000-0000-00004C030000}"/>
    <cellStyle name="20% - Cor4 3 6" xfId="5272" xr:uid="{00000000-0005-0000-0000-00004D030000}"/>
    <cellStyle name="20% - Cor4 3 7" xfId="6485" xr:uid="{00000000-0005-0000-0000-00004E030000}"/>
    <cellStyle name="20% - Cor4 3 8" xfId="1233" xr:uid="{00000000-0005-0000-0000-00004F030000}"/>
    <cellStyle name="20% - Cor4 4" xfId="54" xr:uid="{00000000-0005-0000-0000-000050030000}"/>
    <cellStyle name="20% - Cor4 4 2" xfId="1488" xr:uid="{00000000-0005-0000-0000-000051030000}"/>
    <cellStyle name="20% - Cor4 4 2 2" xfId="5516" xr:uid="{00000000-0005-0000-0000-000052030000}"/>
    <cellStyle name="20% - Cor4 4 2 3" xfId="6740" xr:uid="{00000000-0005-0000-0000-000053030000}"/>
    <cellStyle name="20% - Cor4 4 3" xfId="1695" xr:uid="{00000000-0005-0000-0000-000054030000}"/>
    <cellStyle name="20% - Cor4 4 3 2" xfId="5717" xr:uid="{00000000-0005-0000-0000-000055030000}"/>
    <cellStyle name="20% - Cor4 4 3 3" xfId="6942" xr:uid="{00000000-0005-0000-0000-000056030000}"/>
    <cellStyle name="20% - Cor4 4 4" xfId="1956" xr:uid="{00000000-0005-0000-0000-000057030000}"/>
    <cellStyle name="20% - Cor4 4 4 2" xfId="5976" xr:uid="{00000000-0005-0000-0000-000058030000}"/>
    <cellStyle name="20% - Cor4 4 4 3" xfId="7203" xr:uid="{00000000-0005-0000-0000-000059030000}"/>
    <cellStyle name="20% - Cor4 4 5" xfId="5257" xr:uid="{00000000-0005-0000-0000-00005A030000}"/>
    <cellStyle name="20% - Cor4 4 6" xfId="6470" xr:uid="{00000000-0005-0000-0000-00005B030000}"/>
    <cellStyle name="20% - Cor4 4 7" xfId="1218" xr:uid="{00000000-0005-0000-0000-00005C030000}"/>
    <cellStyle name="20% - Cor4 5" xfId="1382" xr:uid="{00000000-0005-0000-0000-00005D030000}"/>
    <cellStyle name="20% - Cor4 5 2" xfId="1652" xr:uid="{00000000-0005-0000-0000-00005E030000}"/>
    <cellStyle name="20% - Cor4 5 2 2" xfId="5676" xr:uid="{00000000-0005-0000-0000-00005F030000}"/>
    <cellStyle name="20% - Cor4 5 2 3" xfId="6901" xr:uid="{00000000-0005-0000-0000-000060030000}"/>
    <cellStyle name="20% - Cor4 5 3" xfId="1848" xr:uid="{00000000-0005-0000-0000-000061030000}"/>
    <cellStyle name="20% - Cor4 5 3 2" xfId="5869" xr:uid="{00000000-0005-0000-0000-000062030000}"/>
    <cellStyle name="20% - Cor4 5 3 3" xfId="7095" xr:uid="{00000000-0005-0000-0000-000063030000}"/>
    <cellStyle name="20% - Cor4 5 4" xfId="2033" xr:uid="{00000000-0005-0000-0000-000064030000}"/>
    <cellStyle name="20% - Cor4 5 4 2" xfId="6052" xr:uid="{00000000-0005-0000-0000-000065030000}"/>
    <cellStyle name="20% - Cor4 5 4 3" xfId="7280" xr:uid="{00000000-0005-0000-0000-000066030000}"/>
    <cellStyle name="20% - Cor4 5 5" xfId="5413" xr:uid="{00000000-0005-0000-0000-000067030000}"/>
    <cellStyle name="20% - Cor4 5 6" xfId="6634" xr:uid="{00000000-0005-0000-0000-000068030000}"/>
    <cellStyle name="20% - Cor4 6" xfId="1396" xr:uid="{00000000-0005-0000-0000-000069030000}"/>
    <cellStyle name="20% - Cor4 6 2" xfId="1666" xr:uid="{00000000-0005-0000-0000-00006A030000}"/>
    <cellStyle name="20% - Cor4 6 2 2" xfId="5690" xr:uid="{00000000-0005-0000-0000-00006B030000}"/>
    <cellStyle name="20% - Cor4 6 2 3" xfId="6915" xr:uid="{00000000-0005-0000-0000-00006C030000}"/>
    <cellStyle name="20% - Cor4 6 3" xfId="1862" xr:uid="{00000000-0005-0000-0000-00006D030000}"/>
    <cellStyle name="20% - Cor4 6 3 2" xfId="5883" xr:uid="{00000000-0005-0000-0000-00006E030000}"/>
    <cellStyle name="20% - Cor4 6 3 3" xfId="7109" xr:uid="{00000000-0005-0000-0000-00006F030000}"/>
    <cellStyle name="20% - Cor4 6 4" xfId="2047" xr:uid="{00000000-0005-0000-0000-000070030000}"/>
    <cellStyle name="20% - Cor4 6 4 2" xfId="6066" xr:uid="{00000000-0005-0000-0000-000071030000}"/>
    <cellStyle name="20% - Cor4 6 4 3" xfId="7294" xr:uid="{00000000-0005-0000-0000-000072030000}"/>
    <cellStyle name="20% - Cor4 6 5" xfId="5427" xr:uid="{00000000-0005-0000-0000-000073030000}"/>
    <cellStyle name="20% - Cor4 6 6" xfId="6648" xr:uid="{00000000-0005-0000-0000-000074030000}"/>
    <cellStyle name="20% - Cor4 7" xfId="1428" xr:uid="{00000000-0005-0000-0000-000075030000}"/>
    <cellStyle name="20% - Cor4 7 2" xfId="1886" xr:uid="{00000000-0005-0000-0000-000076030000}"/>
    <cellStyle name="20% - Cor4 7 2 2" xfId="5906" xr:uid="{00000000-0005-0000-0000-000077030000}"/>
    <cellStyle name="20% - Cor4 7 2 3" xfId="7133" xr:uid="{00000000-0005-0000-0000-000078030000}"/>
    <cellStyle name="20% - Cor4 7 3" xfId="2059" xr:uid="{00000000-0005-0000-0000-000079030000}"/>
    <cellStyle name="20% - Cor4 7 3 2" xfId="6078" xr:uid="{00000000-0005-0000-0000-00007A030000}"/>
    <cellStyle name="20% - Cor4 7 3 3" xfId="7306" xr:uid="{00000000-0005-0000-0000-00007B030000}"/>
    <cellStyle name="20% - Cor4 7 4" xfId="5458" xr:uid="{00000000-0005-0000-0000-00007C030000}"/>
    <cellStyle name="20% - Cor4 7 5" xfId="6680" xr:uid="{00000000-0005-0000-0000-00007D030000}"/>
    <cellStyle name="20% - Cor4 8" xfId="1629" xr:uid="{00000000-0005-0000-0000-00007E030000}"/>
    <cellStyle name="20% - Cor4 8 2" xfId="2080" xr:uid="{00000000-0005-0000-0000-00007F030000}"/>
    <cellStyle name="20% - Cor4 8 2 2" xfId="6099" xr:uid="{00000000-0005-0000-0000-000080030000}"/>
    <cellStyle name="20% - Cor4 8 2 3" xfId="7327" xr:uid="{00000000-0005-0000-0000-000081030000}"/>
    <cellStyle name="20% - Cor4 8 3" xfId="5655" xr:uid="{00000000-0005-0000-0000-000082030000}"/>
    <cellStyle name="20% - Cor4 8 4" xfId="6880" xr:uid="{00000000-0005-0000-0000-000083030000}"/>
    <cellStyle name="20% - Cor4 9" xfId="1992" xr:uid="{00000000-0005-0000-0000-000084030000}"/>
    <cellStyle name="20% - Cor4 9 2" xfId="6011" xr:uid="{00000000-0005-0000-0000-000085030000}"/>
    <cellStyle name="20% - Cor4 9 3" xfId="7239" xr:uid="{00000000-0005-0000-0000-000086030000}"/>
    <cellStyle name="20% - Cor5 10" xfId="6313" xr:uid="{00000000-0005-0000-0000-000087030000}"/>
    <cellStyle name="20% - Cor5 11" xfId="1031" xr:uid="{00000000-0005-0000-0000-000088030000}"/>
    <cellStyle name="20% - Cor5 2" xfId="55" xr:uid="{00000000-0005-0000-0000-000089030000}"/>
    <cellStyle name="20% - Cor5 2 2" xfId="1266" xr:uid="{00000000-0005-0000-0000-00008A030000}"/>
    <cellStyle name="20% - Cor5 2 2 2" xfId="1537" xr:uid="{00000000-0005-0000-0000-00008B030000}"/>
    <cellStyle name="20% - Cor5 2 2 2 2" xfId="5564" xr:uid="{00000000-0005-0000-0000-00008C030000}"/>
    <cellStyle name="20% - Cor5 2 2 2 3" xfId="6789" xr:uid="{00000000-0005-0000-0000-00008D030000}"/>
    <cellStyle name="20% - Cor5 2 2 3" xfId="1742" xr:uid="{00000000-0005-0000-0000-00008E030000}"/>
    <cellStyle name="20% - Cor5 2 2 3 2" xfId="5764" xr:uid="{00000000-0005-0000-0000-00008F030000}"/>
    <cellStyle name="20% - Cor5 2 2 3 3" xfId="6989" xr:uid="{00000000-0005-0000-0000-000090030000}"/>
    <cellStyle name="20% - Cor5 2 2 4" xfId="1556" xr:uid="{00000000-0005-0000-0000-000091030000}"/>
    <cellStyle name="20% - Cor5 2 2 4 2" xfId="5582" xr:uid="{00000000-0005-0000-0000-000092030000}"/>
    <cellStyle name="20% - Cor5 2 2 4 3" xfId="6807" xr:uid="{00000000-0005-0000-0000-000093030000}"/>
    <cellStyle name="20% - Cor5 2 2 5" xfId="5303" xr:uid="{00000000-0005-0000-0000-000094030000}"/>
    <cellStyle name="20% - Cor5 2 2 6" xfId="6518" xr:uid="{00000000-0005-0000-0000-000095030000}"/>
    <cellStyle name="20% - Cor5 2 3" xfId="1313" xr:uid="{00000000-0005-0000-0000-000096030000}"/>
    <cellStyle name="20% - Cor5 2 3 2" xfId="1582" xr:uid="{00000000-0005-0000-0000-000097030000}"/>
    <cellStyle name="20% - Cor5 2 3 2 2" xfId="5608" xr:uid="{00000000-0005-0000-0000-000098030000}"/>
    <cellStyle name="20% - Cor5 2 3 2 3" xfId="6833" xr:uid="{00000000-0005-0000-0000-000099030000}"/>
    <cellStyle name="20% - Cor5 2 3 3" xfId="1786" xr:uid="{00000000-0005-0000-0000-00009A030000}"/>
    <cellStyle name="20% - Cor5 2 3 3 2" xfId="5807" xr:uid="{00000000-0005-0000-0000-00009B030000}"/>
    <cellStyle name="20% - Cor5 2 3 3 3" xfId="7033" xr:uid="{00000000-0005-0000-0000-00009C030000}"/>
    <cellStyle name="20% - Cor5 2 3 4" xfId="1959" xr:uid="{00000000-0005-0000-0000-00009D030000}"/>
    <cellStyle name="20% - Cor5 2 3 4 2" xfId="5979" xr:uid="{00000000-0005-0000-0000-00009E030000}"/>
    <cellStyle name="20% - Cor5 2 3 4 3" xfId="7206" xr:uid="{00000000-0005-0000-0000-00009F030000}"/>
    <cellStyle name="20% - Cor5 2 3 5" xfId="5349" xr:uid="{00000000-0005-0000-0000-0000A0030000}"/>
    <cellStyle name="20% - Cor5 2 3 6" xfId="6565" xr:uid="{00000000-0005-0000-0000-0000A1030000}"/>
    <cellStyle name="20% - Cor5 2 4" xfId="1462" xr:uid="{00000000-0005-0000-0000-0000A2030000}"/>
    <cellStyle name="20% - Cor5 2 4 2" xfId="5490" xr:uid="{00000000-0005-0000-0000-0000A3030000}"/>
    <cellStyle name="20% - Cor5 2 4 3" xfId="6714" xr:uid="{00000000-0005-0000-0000-0000A4030000}"/>
    <cellStyle name="20% - Cor5 2 5" xfId="1404" xr:uid="{00000000-0005-0000-0000-0000A5030000}"/>
    <cellStyle name="20% - Cor5 2 5 2" xfId="5435" xr:uid="{00000000-0005-0000-0000-0000A6030000}"/>
    <cellStyle name="20% - Cor5 2 5 3" xfId="6656" xr:uid="{00000000-0005-0000-0000-0000A7030000}"/>
    <cellStyle name="20% - Cor5 2 6" xfId="1801" xr:uid="{00000000-0005-0000-0000-0000A8030000}"/>
    <cellStyle name="20% - Cor5 2 6 2" xfId="5822" xr:uid="{00000000-0005-0000-0000-0000A9030000}"/>
    <cellStyle name="20% - Cor5 2 6 3" xfId="7048" xr:uid="{00000000-0005-0000-0000-0000AA030000}"/>
    <cellStyle name="20% - Cor5 2 7" xfId="5235" xr:uid="{00000000-0005-0000-0000-0000AB030000}"/>
    <cellStyle name="20% - Cor5 2 8" xfId="6445" xr:uid="{00000000-0005-0000-0000-0000AC030000}"/>
    <cellStyle name="20% - Cor5 2 9" xfId="1193" xr:uid="{00000000-0005-0000-0000-0000AD030000}"/>
    <cellStyle name="20% - Cor5 3" xfId="56" xr:uid="{00000000-0005-0000-0000-0000AE030000}"/>
    <cellStyle name="20% - Cor5 3 2" xfId="1347" xr:uid="{00000000-0005-0000-0000-0000AF030000}"/>
    <cellStyle name="20% - Cor5 3 2 2" xfId="1615" xr:uid="{00000000-0005-0000-0000-0000B0030000}"/>
    <cellStyle name="20% - Cor5 3 2 2 2" xfId="5641" xr:uid="{00000000-0005-0000-0000-0000B1030000}"/>
    <cellStyle name="20% - Cor5 3 2 2 3" xfId="6866" xr:uid="{00000000-0005-0000-0000-0000B2030000}"/>
    <cellStyle name="20% - Cor5 3 2 3" xfId="1816" xr:uid="{00000000-0005-0000-0000-0000B3030000}"/>
    <cellStyle name="20% - Cor5 3 2 3 2" xfId="5837" xr:uid="{00000000-0005-0000-0000-0000B4030000}"/>
    <cellStyle name="20% - Cor5 3 2 3 3" xfId="7063" xr:uid="{00000000-0005-0000-0000-0000B5030000}"/>
    <cellStyle name="20% - Cor5 3 2 4" xfId="2007" xr:uid="{00000000-0005-0000-0000-0000B6030000}"/>
    <cellStyle name="20% - Cor5 3 2 4 2" xfId="6026" xr:uid="{00000000-0005-0000-0000-0000B7030000}"/>
    <cellStyle name="20% - Cor5 3 2 4 3" xfId="7254" xr:uid="{00000000-0005-0000-0000-0000B8030000}"/>
    <cellStyle name="20% - Cor5 3 2 5" xfId="5381" xr:uid="{00000000-0005-0000-0000-0000B9030000}"/>
    <cellStyle name="20% - Cor5 3 2 6" xfId="6599" xr:uid="{00000000-0005-0000-0000-0000BA030000}"/>
    <cellStyle name="20% - Cor5 3 3" xfId="1506" xr:uid="{00000000-0005-0000-0000-0000BB030000}"/>
    <cellStyle name="20% - Cor5 3 3 2" xfId="5534" xr:uid="{00000000-0005-0000-0000-0000BC030000}"/>
    <cellStyle name="20% - Cor5 3 3 3" xfId="6758" xr:uid="{00000000-0005-0000-0000-0000BD030000}"/>
    <cellStyle name="20% - Cor5 3 4" xfId="1713" xr:uid="{00000000-0005-0000-0000-0000BE030000}"/>
    <cellStyle name="20% - Cor5 3 4 2" xfId="5735" xr:uid="{00000000-0005-0000-0000-0000BF030000}"/>
    <cellStyle name="20% - Cor5 3 4 3" xfId="6960" xr:uid="{00000000-0005-0000-0000-0000C0030000}"/>
    <cellStyle name="20% - Cor5 3 5" xfId="1958" xr:uid="{00000000-0005-0000-0000-0000C1030000}"/>
    <cellStyle name="20% - Cor5 3 5 2" xfId="5978" xr:uid="{00000000-0005-0000-0000-0000C2030000}"/>
    <cellStyle name="20% - Cor5 3 5 3" xfId="7205" xr:uid="{00000000-0005-0000-0000-0000C3030000}"/>
    <cellStyle name="20% - Cor5 3 6" xfId="5275" xr:uid="{00000000-0005-0000-0000-0000C4030000}"/>
    <cellStyle name="20% - Cor5 3 7" xfId="6488" xr:uid="{00000000-0005-0000-0000-0000C5030000}"/>
    <cellStyle name="20% - Cor5 3 8" xfId="1236" xr:uid="{00000000-0005-0000-0000-0000C6030000}"/>
    <cellStyle name="20% - Cor5 4" xfId="57" xr:uid="{00000000-0005-0000-0000-0000C7030000}"/>
    <cellStyle name="20% - Cor5 4 2" xfId="1505" xr:uid="{00000000-0005-0000-0000-0000C8030000}"/>
    <cellStyle name="20% - Cor5 4 2 2" xfId="5533" xr:uid="{00000000-0005-0000-0000-0000C9030000}"/>
    <cellStyle name="20% - Cor5 4 2 3" xfId="6757" xr:uid="{00000000-0005-0000-0000-0000CA030000}"/>
    <cellStyle name="20% - Cor5 4 3" xfId="1712" xr:uid="{00000000-0005-0000-0000-0000CB030000}"/>
    <cellStyle name="20% - Cor5 4 3 2" xfId="5734" xr:uid="{00000000-0005-0000-0000-0000CC030000}"/>
    <cellStyle name="20% - Cor5 4 3 3" xfId="6959" xr:uid="{00000000-0005-0000-0000-0000CD030000}"/>
    <cellStyle name="20% - Cor5 4 4" xfId="1899" xr:uid="{00000000-0005-0000-0000-0000CE030000}"/>
    <cellStyle name="20% - Cor5 4 4 2" xfId="5919" xr:uid="{00000000-0005-0000-0000-0000CF030000}"/>
    <cellStyle name="20% - Cor5 4 4 3" xfId="7146" xr:uid="{00000000-0005-0000-0000-0000D0030000}"/>
    <cellStyle name="20% - Cor5 4 5" xfId="5274" xr:uid="{00000000-0005-0000-0000-0000D1030000}"/>
    <cellStyle name="20% - Cor5 4 6" xfId="6487" xr:uid="{00000000-0005-0000-0000-0000D2030000}"/>
    <cellStyle name="20% - Cor5 4 7" xfId="1235" xr:uid="{00000000-0005-0000-0000-0000D3030000}"/>
    <cellStyle name="20% - Cor5 5" xfId="1384" xr:uid="{00000000-0005-0000-0000-0000D4030000}"/>
    <cellStyle name="20% - Cor5 5 2" xfId="1654" xr:uid="{00000000-0005-0000-0000-0000D5030000}"/>
    <cellStyle name="20% - Cor5 5 2 2" xfId="5678" xr:uid="{00000000-0005-0000-0000-0000D6030000}"/>
    <cellStyle name="20% - Cor5 5 2 3" xfId="6903" xr:uid="{00000000-0005-0000-0000-0000D7030000}"/>
    <cellStyle name="20% - Cor5 5 3" xfId="1850" xr:uid="{00000000-0005-0000-0000-0000D8030000}"/>
    <cellStyle name="20% - Cor5 5 3 2" xfId="5871" xr:uid="{00000000-0005-0000-0000-0000D9030000}"/>
    <cellStyle name="20% - Cor5 5 3 3" xfId="7097" xr:uid="{00000000-0005-0000-0000-0000DA030000}"/>
    <cellStyle name="20% - Cor5 5 4" xfId="2035" xr:uid="{00000000-0005-0000-0000-0000DB030000}"/>
    <cellStyle name="20% - Cor5 5 4 2" xfId="6054" xr:uid="{00000000-0005-0000-0000-0000DC030000}"/>
    <cellStyle name="20% - Cor5 5 4 3" xfId="7282" xr:uid="{00000000-0005-0000-0000-0000DD030000}"/>
    <cellStyle name="20% - Cor5 5 5" xfId="5415" xr:uid="{00000000-0005-0000-0000-0000DE030000}"/>
    <cellStyle name="20% - Cor5 5 6" xfId="6636" xr:uid="{00000000-0005-0000-0000-0000DF030000}"/>
    <cellStyle name="20% - Cor5 6" xfId="1398" xr:uid="{00000000-0005-0000-0000-0000E0030000}"/>
    <cellStyle name="20% - Cor5 6 2" xfId="1668" xr:uid="{00000000-0005-0000-0000-0000E1030000}"/>
    <cellStyle name="20% - Cor5 6 2 2" xfId="5692" xr:uid="{00000000-0005-0000-0000-0000E2030000}"/>
    <cellStyle name="20% - Cor5 6 2 3" xfId="6917" xr:uid="{00000000-0005-0000-0000-0000E3030000}"/>
    <cellStyle name="20% - Cor5 6 3" xfId="1864" xr:uid="{00000000-0005-0000-0000-0000E4030000}"/>
    <cellStyle name="20% - Cor5 6 3 2" xfId="5885" xr:uid="{00000000-0005-0000-0000-0000E5030000}"/>
    <cellStyle name="20% - Cor5 6 3 3" xfId="7111" xr:uid="{00000000-0005-0000-0000-0000E6030000}"/>
    <cellStyle name="20% - Cor5 6 4" xfId="2049" xr:uid="{00000000-0005-0000-0000-0000E7030000}"/>
    <cellStyle name="20% - Cor5 6 4 2" xfId="6068" xr:uid="{00000000-0005-0000-0000-0000E8030000}"/>
    <cellStyle name="20% - Cor5 6 4 3" xfId="7296" xr:uid="{00000000-0005-0000-0000-0000E9030000}"/>
    <cellStyle name="20% - Cor5 6 5" xfId="5429" xr:uid="{00000000-0005-0000-0000-0000EA030000}"/>
    <cellStyle name="20% - Cor5 6 6" xfId="6650" xr:uid="{00000000-0005-0000-0000-0000EB030000}"/>
    <cellStyle name="20% - Cor5 7" xfId="1432" xr:uid="{00000000-0005-0000-0000-0000EC030000}"/>
    <cellStyle name="20% - Cor5 7 2" xfId="1888" xr:uid="{00000000-0005-0000-0000-0000ED030000}"/>
    <cellStyle name="20% - Cor5 7 2 2" xfId="5908" xr:uid="{00000000-0005-0000-0000-0000EE030000}"/>
    <cellStyle name="20% - Cor5 7 2 3" xfId="7135" xr:uid="{00000000-0005-0000-0000-0000EF030000}"/>
    <cellStyle name="20% - Cor5 7 3" xfId="2061" xr:uid="{00000000-0005-0000-0000-0000F0030000}"/>
    <cellStyle name="20% - Cor5 7 3 2" xfId="6080" xr:uid="{00000000-0005-0000-0000-0000F1030000}"/>
    <cellStyle name="20% - Cor5 7 3 3" xfId="7308" xr:uid="{00000000-0005-0000-0000-0000F2030000}"/>
    <cellStyle name="20% - Cor5 7 4" xfId="5462" xr:uid="{00000000-0005-0000-0000-0000F3030000}"/>
    <cellStyle name="20% - Cor5 7 5" xfId="6684" xr:uid="{00000000-0005-0000-0000-0000F4030000}"/>
    <cellStyle name="20% - Cor5 8" xfId="1620" xr:uid="{00000000-0005-0000-0000-0000F5030000}"/>
    <cellStyle name="20% - Cor5 8 2" xfId="2076" xr:uid="{00000000-0005-0000-0000-0000F6030000}"/>
    <cellStyle name="20% - Cor5 8 2 2" xfId="6095" xr:uid="{00000000-0005-0000-0000-0000F7030000}"/>
    <cellStyle name="20% - Cor5 8 2 3" xfId="7323" xr:uid="{00000000-0005-0000-0000-0000F8030000}"/>
    <cellStyle name="20% - Cor5 8 3" xfId="5646" xr:uid="{00000000-0005-0000-0000-0000F9030000}"/>
    <cellStyle name="20% - Cor5 8 4" xfId="6871" xr:uid="{00000000-0005-0000-0000-0000FA030000}"/>
    <cellStyle name="20% - Cor5 9" xfId="1719" xr:uid="{00000000-0005-0000-0000-0000FB030000}"/>
    <cellStyle name="20% - Cor5 9 2" xfId="5741" xr:uid="{00000000-0005-0000-0000-0000FC030000}"/>
    <cellStyle name="20% - Cor5 9 3" xfId="6966" xr:uid="{00000000-0005-0000-0000-0000FD030000}"/>
    <cellStyle name="20% - Cor6 10" xfId="6317" xr:uid="{00000000-0005-0000-0000-0000FE030000}"/>
    <cellStyle name="20% - Cor6 11" xfId="1035" xr:uid="{00000000-0005-0000-0000-0000FF030000}"/>
    <cellStyle name="20% - Cor6 2" xfId="58" xr:uid="{00000000-0005-0000-0000-000000040000}"/>
    <cellStyle name="20% - Cor6 2 2" xfId="1268" xr:uid="{00000000-0005-0000-0000-000001040000}"/>
    <cellStyle name="20% - Cor6 2 2 2" xfId="1539" xr:uid="{00000000-0005-0000-0000-000002040000}"/>
    <cellStyle name="20% - Cor6 2 2 2 2" xfId="5566" xr:uid="{00000000-0005-0000-0000-000003040000}"/>
    <cellStyle name="20% - Cor6 2 2 2 3" xfId="6791" xr:uid="{00000000-0005-0000-0000-000004040000}"/>
    <cellStyle name="20% - Cor6 2 2 3" xfId="1744" xr:uid="{00000000-0005-0000-0000-000005040000}"/>
    <cellStyle name="20% - Cor6 2 2 3 2" xfId="5766" xr:uid="{00000000-0005-0000-0000-000006040000}"/>
    <cellStyle name="20% - Cor6 2 2 3 3" xfId="6991" xr:uid="{00000000-0005-0000-0000-000007040000}"/>
    <cellStyle name="20% - Cor6 2 2 4" xfId="1477" xr:uid="{00000000-0005-0000-0000-000008040000}"/>
    <cellStyle name="20% - Cor6 2 2 4 2" xfId="5505" xr:uid="{00000000-0005-0000-0000-000009040000}"/>
    <cellStyle name="20% - Cor6 2 2 4 3" xfId="6729" xr:uid="{00000000-0005-0000-0000-00000A040000}"/>
    <cellStyle name="20% - Cor6 2 2 5" xfId="5305" xr:uid="{00000000-0005-0000-0000-00000B040000}"/>
    <cellStyle name="20% - Cor6 2 2 6" xfId="6520" xr:uid="{00000000-0005-0000-0000-00000C040000}"/>
    <cellStyle name="20% - Cor6 2 3" xfId="1315" xr:uid="{00000000-0005-0000-0000-00000D040000}"/>
    <cellStyle name="20% - Cor6 2 3 2" xfId="1584" xr:uid="{00000000-0005-0000-0000-00000E040000}"/>
    <cellStyle name="20% - Cor6 2 3 2 2" xfId="5610" xr:uid="{00000000-0005-0000-0000-00000F040000}"/>
    <cellStyle name="20% - Cor6 2 3 2 3" xfId="6835" xr:uid="{00000000-0005-0000-0000-000010040000}"/>
    <cellStyle name="20% - Cor6 2 3 3" xfId="1788" xr:uid="{00000000-0005-0000-0000-000011040000}"/>
    <cellStyle name="20% - Cor6 2 3 3 2" xfId="5809" xr:uid="{00000000-0005-0000-0000-000012040000}"/>
    <cellStyle name="20% - Cor6 2 3 3 3" xfId="7035" xr:uid="{00000000-0005-0000-0000-000013040000}"/>
    <cellStyle name="20% - Cor6 2 3 4" xfId="2013" xr:uid="{00000000-0005-0000-0000-000014040000}"/>
    <cellStyle name="20% - Cor6 2 3 4 2" xfId="6032" xr:uid="{00000000-0005-0000-0000-000015040000}"/>
    <cellStyle name="20% - Cor6 2 3 4 3" xfId="7260" xr:uid="{00000000-0005-0000-0000-000016040000}"/>
    <cellStyle name="20% - Cor6 2 3 5" xfId="5351" xr:uid="{00000000-0005-0000-0000-000017040000}"/>
    <cellStyle name="20% - Cor6 2 3 6" xfId="6567" xr:uid="{00000000-0005-0000-0000-000018040000}"/>
    <cellStyle name="20% - Cor6 2 4" xfId="1464" xr:uid="{00000000-0005-0000-0000-000019040000}"/>
    <cellStyle name="20% - Cor6 2 4 2" xfId="5492" xr:uid="{00000000-0005-0000-0000-00001A040000}"/>
    <cellStyle name="20% - Cor6 2 4 3" xfId="6716" xr:uid="{00000000-0005-0000-0000-00001B040000}"/>
    <cellStyle name="20% - Cor6 2 5" xfId="1438" xr:uid="{00000000-0005-0000-0000-00001C040000}"/>
    <cellStyle name="20% - Cor6 2 5 2" xfId="5468" xr:uid="{00000000-0005-0000-0000-00001D040000}"/>
    <cellStyle name="20% - Cor6 2 5 3" xfId="6690" xr:uid="{00000000-0005-0000-0000-00001E040000}"/>
    <cellStyle name="20% - Cor6 2 6" xfId="1828" xr:uid="{00000000-0005-0000-0000-00001F040000}"/>
    <cellStyle name="20% - Cor6 2 6 2" xfId="5849" xr:uid="{00000000-0005-0000-0000-000020040000}"/>
    <cellStyle name="20% - Cor6 2 6 3" xfId="7075" xr:uid="{00000000-0005-0000-0000-000021040000}"/>
    <cellStyle name="20% - Cor6 2 7" xfId="5237" xr:uid="{00000000-0005-0000-0000-000022040000}"/>
    <cellStyle name="20% - Cor6 2 8" xfId="6447" xr:uid="{00000000-0005-0000-0000-000023040000}"/>
    <cellStyle name="20% - Cor6 2 9" xfId="1195" xr:uid="{00000000-0005-0000-0000-000024040000}"/>
    <cellStyle name="20% - Cor6 3" xfId="59" xr:uid="{00000000-0005-0000-0000-000025040000}"/>
    <cellStyle name="20% - Cor6 3 2" xfId="1349" xr:uid="{00000000-0005-0000-0000-000026040000}"/>
    <cellStyle name="20% - Cor6 3 2 2" xfId="1617" xr:uid="{00000000-0005-0000-0000-000027040000}"/>
    <cellStyle name="20% - Cor6 3 2 2 2" xfId="5643" xr:uid="{00000000-0005-0000-0000-000028040000}"/>
    <cellStyle name="20% - Cor6 3 2 2 3" xfId="6868" xr:uid="{00000000-0005-0000-0000-000029040000}"/>
    <cellStyle name="20% - Cor6 3 2 3" xfId="1818" xr:uid="{00000000-0005-0000-0000-00002A040000}"/>
    <cellStyle name="20% - Cor6 3 2 3 2" xfId="5839" xr:uid="{00000000-0005-0000-0000-00002B040000}"/>
    <cellStyle name="20% - Cor6 3 2 3 3" xfId="7065" xr:uid="{00000000-0005-0000-0000-00002C040000}"/>
    <cellStyle name="20% - Cor6 3 2 4" xfId="1929" xr:uid="{00000000-0005-0000-0000-00002D040000}"/>
    <cellStyle name="20% - Cor6 3 2 4 2" xfId="5949" xr:uid="{00000000-0005-0000-0000-00002E040000}"/>
    <cellStyle name="20% - Cor6 3 2 4 3" xfId="7176" xr:uid="{00000000-0005-0000-0000-00002F040000}"/>
    <cellStyle name="20% - Cor6 3 2 5" xfId="5383" xr:uid="{00000000-0005-0000-0000-000030040000}"/>
    <cellStyle name="20% - Cor6 3 2 6" xfId="6601" xr:uid="{00000000-0005-0000-0000-000031040000}"/>
    <cellStyle name="20% - Cor6 3 3" xfId="1508" xr:uid="{00000000-0005-0000-0000-000032040000}"/>
    <cellStyle name="20% - Cor6 3 3 2" xfId="5536" xr:uid="{00000000-0005-0000-0000-000033040000}"/>
    <cellStyle name="20% - Cor6 3 3 3" xfId="6760" xr:uid="{00000000-0005-0000-0000-000034040000}"/>
    <cellStyle name="20% - Cor6 3 4" xfId="1715" xr:uid="{00000000-0005-0000-0000-000035040000}"/>
    <cellStyle name="20% - Cor6 3 4 2" xfId="5737" xr:uid="{00000000-0005-0000-0000-000036040000}"/>
    <cellStyle name="20% - Cor6 3 4 3" xfId="6962" xr:uid="{00000000-0005-0000-0000-000037040000}"/>
    <cellStyle name="20% - Cor6 3 5" xfId="1898" xr:uid="{00000000-0005-0000-0000-000038040000}"/>
    <cellStyle name="20% - Cor6 3 5 2" xfId="5918" xr:uid="{00000000-0005-0000-0000-000039040000}"/>
    <cellStyle name="20% - Cor6 3 5 3" xfId="7145" xr:uid="{00000000-0005-0000-0000-00003A040000}"/>
    <cellStyle name="20% - Cor6 3 6" xfId="5277" xr:uid="{00000000-0005-0000-0000-00003B040000}"/>
    <cellStyle name="20% - Cor6 3 7" xfId="6490" xr:uid="{00000000-0005-0000-0000-00003C040000}"/>
    <cellStyle name="20% - Cor6 3 8" xfId="1238" xr:uid="{00000000-0005-0000-0000-00003D040000}"/>
    <cellStyle name="20% - Cor6 4" xfId="60" xr:uid="{00000000-0005-0000-0000-00003E040000}"/>
    <cellStyle name="20% - Cor6 4 2" xfId="1542" xr:uid="{00000000-0005-0000-0000-00003F040000}"/>
    <cellStyle name="20% - Cor6 4 2 2" xfId="5569" xr:uid="{00000000-0005-0000-0000-000040040000}"/>
    <cellStyle name="20% - Cor6 4 2 3" xfId="6794" xr:uid="{00000000-0005-0000-0000-000041040000}"/>
    <cellStyle name="20% - Cor6 4 3" xfId="1747" xr:uid="{00000000-0005-0000-0000-000042040000}"/>
    <cellStyle name="20% - Cor6 4 3 2" xfId="5769" xr:uid="{00000000-0005-0000-0000-000043040000}"/>
    <cellStyle name="20% - Cor6 4 3 3" xfId="6994" xr:uid="{00000000-0005-0000-0000-000044040000}"/>
    <cellStyle name="20% - Cor6 4 4" xfId="1955" xr:uid="{00000000-0005-0000-0000-000045040000}"/>
    <cellStyle name="20% - Cor6 4 4 2" xfId="5975" xr:uid="{00000000-0005-0000-0000-000046040000}"/>
    <cellStyle name="20% - Cor6 4 4 3" xfId="7202" xr:uid="{00000000-0005-0000-0000-000047040000}"/>
    <cellStyle name="20% - Cor6 4 5" xfId="5307" xr:uid="{00000000-0005-0000-0000-000048040000}"/>
    <cellStyle name="20% - Cor6 4 6" xfId="6522" xr:uid="{00000000-0005-0000-0000-000049040000}"/>
    <cellStyle name="20% - Cor6 4 7" xfId="1270" xr:uid="{00000000-0005-0000-0000-00004A040000}"/>
    <cellStyle name="20% - Cor6 5" xfId="1386" xr:uid="{00000000-0005-0000-0000-00004B040000}"/>
    <cellStyle name="20% - Cor6 5 2" xfId="1656" xr:uid="{00000000-0005-0000-0000-00004C040000}"/>
    <cellStyle name="20% - Cor6 5 2 2" xfId="5680" xr:uid="{00000000-0005-0000-0000-00004D040000}"/>
    <cellStyle name="20% - Cor6 5 2 3" xfId="6905" xr:uid="{00000000-0005-0000-0000-00004E040000}"/>
    <cellStyle name="20% - Cor6 5 3" xfId="1852" xr:uid="{00000000-0005-0000-0000-00004F040000}"/>
    <cellStyle name="20% - Cor6 5 3 2" xfId="5873" xr:uid="{00000000-0005-0000-0000-000050040000}"/>
    <cellStyle name="20% - Cor6 5 3 3" xfId="7099" xr:uid="{00000000-0005-0000-0000-000051040000}"/>
    <cellStyle name="20% - Cor6 5 4" xfId="2037" xr:uid="{00000000-0005-0000-0000-000052040000}"/>
    <cellStyle name="20% - Cor6 5 4 2" xfId="6056" xr:uid="{00000000-0005-0000-0000-000053040000}"/>
    <cellStyle name="20% - Cor6 5 4 3" xfId="7284" xr:uid="{00000000-0005-0000-0000-000054040000}"/>
    <cellStyle name="20% - Cor6 5 5" xfId="5417" xr:uid="{00000000-0005-0000-0000-000055040000}"/>
    <cellStyle name="20% - Cor6 5 6" xfId="6638" xr:uid="{00000000-0005-0000-0000-000056040000}"/>
    <cellStyle name="20% - Cor6 6" xfId="1400" xr:uid="{00000000-0005-0000-0000-000057040000}"/>
    <cellStyle name="20% - Cor6 6 2" xfId="1670" xr:uid="{00000000-0005-0000-0000-000058040000}"/>
    <cellStyle name="20% - Cor6 6 2 2" xfId="5694" xr:uid="{00000000-0005-0000-0000-000059040000}"/>
    <cellStyle name="20% - Cor6 6 2 3" xfId="6919" xr:uid="{00000000-0005-0000-0000-00005A040000}"/>
    <cellStyle name="20% - Cor6 6 3" xfId="1866" xr:uid="{00000000-0005-0000-0000-00005B040000}"/>
    <cellStyle name="20% - Cor6 6 3 2" xfId="5887" xr:uid="{00000000-0005-0000-0000-00005C040000}"/>
    <cellStyle name="20% - Cor6 6 3 3" xfId="7113" xr:uid="{00000000-0005-0000-0000-00005D040000}"/>
    <cellStyle name="20% - Cor6 6 4" xfId="2051" xr:uid="{00000000-0005-0000-0000-00005E040000}"/>
    <cellStyle name="20% - Cor6 6 4 2" xfId="6070" xr:uid="{00000000-0005-0000-0000-00005F040000}"/>
    <cellStyle name="20% - Cor6 6 4 3" xfId="7298" xr:uid="{00000000-0005-0000-0000-000060040000}"/>
    <cellStyle name="20% - Cor6 6 5" xfId="5431" xr:uid="{00000000-0005-0000-0000-000061040000}"/>
    <cellStyle name="20% - Cor6 6 6" xfId="6652" xr:uid="{00000000-0005-0000-0000-000062040000}"/>
    <cellStyle name="20% - Cor6 7" xfId="1436" xr:uid="{00000000-0005-0000-0000-000063040000}"/>
    <cellStyle name="20% - Cor6 7 2" xfId="1890" xr:uid="{00000000-0005-0000-0000-000064040000}"/>
    <cellStyle name="20% - Cor6 7 2 2" xfId="5910" xr:uid="{00000000-0005-0000-0000-000065040000}"/>
    <cellStyle name="20% - Cor6 7 2 3" xfId="7137" xr:uid="{00000000-0005-0000-0000-000066040000}"/>
    <cellStyle name="20% - Cor6 7 3" xfId="2063" xr:uid="{00000000-0005-0000-0000-000067040000}"/>
    <cellStyle name="20% - Cor6 7 3 2" xfId="6082" xr:uid="{00000000-0005-0000-0000-000068040000}"/>
    <cellStyle name="20% - Cor6 7 3 3" xfId="7310" xr:uid="{00000000-0005-0000-0000-000069040000}"/>
    <cellStyle name="20% - Cor6 7 4" xfId="5466" xr:uid="{00000000-0005-0000-0000-00006A040000}"/>
    <cellStyle name="20% - Cor6 7 5" xfId="6688" xr:uid="{00000000-0005-0000-0000-00006B040000}"/>
    <cellStyle name="20% - Cor6 8" xfId="1604" xr:uid="{00000000-0005-0000-0000-00006C040000}"/>
    <cellStyle name="20% - Cor6 8 2" xfId="2075" xr:uid="{00000000-0005-0000-0000-00006D040000}"/>
    <cellStyle name="20% - Cor6 8 2 2" xfId="6094" xr:uid="{00000000-0005-0000-0000-00006E040000}"/>
    <cellStyle name="20% - Cor6 8 2 3" xfId="7322" xr:uid="{00000000-0005-0000-0000-00006F040000}"/>
    <cellStyle name="20% - Cor6 8 3" xfId="5630" xr:uid="{00000000-0005-0000-0000-000070040000}"/>
    <cellStyle name="20% - Cor6 8 4" xfId="6855" xr:uid="{00000000-0005-0000-0000-000071040000}"/>
    <cellStyle name="20% - Cor6 9" xfId="2004" xr:uid="{00000000-0005-0000-0000-000072040000}"/>
    <cellStyle name="20% - Cor6 9 2" xfId="6023" xr:uid="{00000000-0005-0000-0000-000073040000}"/>
    <cellStyle name="20% - Cor6 9 3" xfId="7251" xr:uid="{00000000-0005-0000-0000-000074040000}"/>
    <cellStyle name="40% - Accent1" xfId="61" xr:uid="{00000000-0005-0000-0000-000075040000}"/>
    <cellStyle name="40% - Accent1 10" xfId="2603" xr:uid="{00000000-0005-0000-0000-000076040000}"/>
    <cellStyle name="40% - Accent1 2" xfId="1053" xr:uid="{00000000-0005-0000-0000-000077040000}"/>
    <cellStyle name="40% - Accent1 2 2" xfId="2896" xr:uid="{00000000-0005-0000-0000-000078040000}"/>
    <cellStyle name="40% - Accent1 2 2 2" xfId="3825" xr:uid="{00000000-0005-0000-0000-000079040000}"/>
    <cellStyle name="40% - Accent1 2 2 2 2" xfId="6208" xr:uid="{00000000-0005-0000-0000-00007A040000}"/>
    <cellStyle name="40% - Accent1 2 2 2 3" xfId="8736" xr:uid="{00000000-0005-0000-0000-00007B040000}"/>
    <cellStyle name="40% - Accent1 2 2 3" xfId="4563" xr:uid="{00000000-0005-0000-0000-00007C040000}"/>
    <cellStyle name="40% - Accent1 2 2 4" xfId="7955" xr:uid="{00000000-0005-0000-0000-00007D040000}"/>
    <cellStyle name="40% - Accent1 2 3" xfId="2986" xr:uid="{00000000-0005-0000-0000-00007E040000}"/>
    <cellStyle name="40% - Accent1 2 3 2" xfId="4648" xr:uid="{00000000-0005-0000-0000-00007F040000}"/>
    <cellStyle name="40% - Accent1 2 3 3" xfId="8042" xr:uid="{00000000-0005-0000-0000-000080040000}"/>
    <cellStyle name="40% - Accent1 2 4" xfId="3107" xr:uid="{00000000-0005-0000-0000-000081040000}"/>
    <cellStyle name="40% - Accent1 2 4 2" xfId="4759" xr:uid="{00000000-0005-0000-0000-000082040000}"/>
    <cellStyle name="40% - Accent1 2 4 3" xfId="8163" xr:uid="{00000000-0005-0000-0000-000083040000}"/>
    <cellStyle name="40% - Accent1 2 5" xfId="2782" xr:uid="{00000000-0005-0000-0000-000084040000}"/>
    <cellStyle name="40% - Accent1 2 6" xfId="3919" xr:uid="{00000000-0005-0000-0000-000085040000}"/>
    <cellStyle name="40% - Accent1 2 7" xfId="6334" xr:uid="{00000000-0005-0000-0000-000086040000}"/>
    <cellStyle name="40% - Accent1 3" xfId="2895" xr:uid="{00000000-0005-0000-0000-000087040000}"/>
    <cellStyle name="40% - Accent1 3 2" xfId="3108" xr:uid="{00000000-0005-0000-0000-000088040000}"/>
    <cellStyle name="40% - Accent1 3 2 2" xfId="4760" xr:uid="{00000000-0005-0000-0000-000089040000}"/>
    <cellStyle name="40% - Accent1 3 2 3" xfId="8164" xr:uid="{00000000-0005-0000-0000-00008A040000}"/>
    <cellStyle name="40% - Accent1 3 3" xfId="4562" xr:uid="{00000000-0005-0000-0000-00008B040000}"/>
    <cellStyle name="40% - Accent1 3 4" xfId="7954" xr:uid="{00000000-0005-0000-0000-00008C040000}"/>
    <cellStyle name="40% - Accent1 4" xfId="2985" xr:uid="{00000000-0005-0000-0000-00008D040000}"/>
    <cellStyle name="40% - Accent1 4 2" xfId="3109" xr:uid="{00000000-0005-0000-0000-00008E040000}"/>
    <cellStyle name="40% - Accent1 4 2 2" xfId="4761" xr:uid="{00000000-0005-0000-0000-00008F040000}"/>
    <cellStyle name="40% - Accent1 4 2 3" xfId="8165" xr:uid="{00000000-0005-0000-0000-000090040000}"/>
    <cellStyle name="40% - Accent1 4 3" xfId="4647" xr:uid="{00000000-0005-0000-0000-000091040000}"/>
    <cellStyle name="40% - Accent1 4 4" xfId="8041" xr:uid="{00000000-0005-0000-0000-000092040000}"/>
    <cellStyle name="40% - Accent1 5" xfId="3110" xr:uid="{00000000-0005-0000-0000-000093040000}"/>
    <cellStyle name="40% - Accent1 5 2" xfId="4762" xr:uid="{00000000-0005-0000-0000-000094040000}"/>
    <cellStyle name="40% - Accent1 5 3" xfId="8166" xr:uid="{00000000-0005-0000-0000-000095040000}"/>
    <cellStyle name="40% - Accent1 6" xfId="3111" xr:uid="{00000000-0005-0000-0000-000096040000}"/>
    <cellStyle name="40% - Accent1 6 2" xfId="4763" xr:uid="{00000000-0005-0000-0000-000097040000}"/>
    <cellStyle name="40% - Accent1 6 3" xfId="8167" xr:uid="{00000000-0005-0000-0000-000098040000}"/>
    <cellStyle name="40% - Accent1 7" xfId="2781" xr:uid="{00000000-0005-0000-0000-000099040000}"/>
    <cellStyle name="40% - Accent1 8" xfId="3918" xr:uid="{00000000-0005-0000-0000-00009A040000}"/>
    <cellStyle name="40% - Accent1 9" xfId="7821" xr:uid="{00000000-0005-0000-0000-00009B040000}"/>
    <cellStyle name="40% - Accent2" xfId="62" xr:uid="{00000000-0005-0000-0000-00009C040000}"/>
    <cellStyle name="40% - Accent2 10" xfId="2602" xr:uid="{00000000-0005-0000-0000-00009D040000}"/>
    <cellStyle name="40% - Accent2 2" xfId="1054" xr:uid="{00000000-0005-0000-0000-00009E040000}"/>
    <cellStyle name="40% - Accent2 2 2" xfId="2898" xr:uid="{00000000-0005-0000-0000-00009F040000}"/>
    <cellStyle name="40% - Accent2 2 2 2" xfId="3589" xr:uid="{00000000-0005-0000-0000-0000A0040000}"/>
    <cellStyle name="40% - Accent2 2 2 2 2" xfId="5201" xr:uid="{00000000-0005-0000-0000-0000A1040000}"/>
    <cellStyle name="40% - Accent2 2 2 2 3" xfId="8573" xr:uid="{00000000-0005-0000-0000-0000A2040000}"/>
    <cellStyle name="40% - Accent2 2 2 3" xfId="4565" xr:uid="{00000000-0005-0000-0000-0000A3040000}"/>
    <cellStyle name="40% - Accent2 2 2 4" xfId="7957" xr:uid="{00000000-0005-0000-0000-0000A4040000}"/>
    <cellStyle name="40% - Accent2 2 3" xfId="2988" xr:uid="{00000000-0005-0000-0000-0000A5040000}"/>
    <cellStyle name="40% - Accent2 2 3 2" xfId="4650" xr:uid="{00000000-0005-0000-0000-0000A6040000}"/>
    <cellStyle name="40% - Accent2 2 3 3" xfId="8044" xr:uid="{00000000-0005-0000-0000-0000A7040000}"/>
    <cellStyle name="40% - Accent2 2 4" xfId="3112" xr:uid="{00000000-0005-0000-0000-0000A8040000}"/>
    <cellStyle name="40% - Accent2 2 4 2" xfId="4764" xr:uid="{00000000-0005-0000-0000-0000A9040000}"/>
    <cellStyle name="40% - Accent2 2 4 3" xfId="8168" xr:uid="{00000000-0005-0000-0000-0000AA040000}"/>
    <cellStyle name="40% - Accent2 2 5" xfId="2784" xr:uid="{00000000-0005-0000-0000-0000AB040000}"/>
    <cellStyle name="40% - Accent2 2 6" xfId="3921" xr:uid="{00000000-0005-0000-0000-0000AC040000}"/>
    <cellStyle name="40% - Accent2 2 7" xfId="6335" xr:uid="{00000000-0005-0000-0000-0000AD040000}"/>
    <cellStyle name="40% - Accent2 3" xfId="2897" xr:uid="{00000000-0005-0000-0000-0000AE040000}"/>
    <cellStyle name="40% - Accent2 3 2" xfId="3113" xr:uid="{00000000-0005-0000-0000-0000AF040000}"/>
    <cellStyle name="40% - Accent2 3 2 2" xfId="4765" xr:uid="{00000000-0005-0000-0000-0000B0040000}"/>
    <cellStyle name="40% - Accent2 3 2 3" xfId="8169" xr:uid="{00000000-0005-0000-0000-0000B1040000}"/>
    <cellStyle name="40% - Accent2 3 3" xfId="3775" xr:uid="{00000000-0005-0000-0000-0000B2040000}"/>
    <cellStyle name="40% - Accent2 3 3 2" xfId="6169" xr:uid="{00000000-0005-0000-0000-0000B3040000}"/>
    <cellStyle name="40% - Accent2 3 3 3" xfId="8686" xr:uid="{00000000-0005-0000-0000-0000B4040000}"/>
    <cellStyle name="40% - Accent2 3 4" xfId="4564" xr:uid="{00000000-0005-0000-0000-0000B5040000}"/>
    <cellStyle name="40% - Accent2 3 5" xfId="7956" xr:uid="{00000000-0005-0000-0000-0000B6040000}"/>
    <cellStyle name="40% - Accent2 4" xfId="2987" xr:uid="{00000000-0005-0000-0000-0000B7040000}"/>
    <cellStyle name="40% - Accent2 4 2" xfId="3114" xr:uid="{00000000-0005-0000-0000-0000B8040000}"/>
    <cellStyle name="40% - Accent2 4 2 2" xfId="4766" xr:uid="{00000000-0005-0000-0000-0000B9040000}"/>
    <cellStyle name="40% - Accent2 4 2 3" xfId="8170" xr:uid="{00000000-0005-0000-0000-0000BA040000}"/>
    <cellStyle name="40% - Accent2 4 3" xfId="4649" xr:uid="{00000000-0005-0000-0000-0000BB040000}"/>
    <cellStyle name="40% - Accent2 4 4" xfId="8043" xr:uid="{00000000-0005-0000-0000-0000BC040000}"/>
    <cellStyle name="40% - Accent2 5" xfId="3115" xr:uid="{00000000-0005-0000-0000-0000BD040000}"/>
    <cellStyle name="40% - Accent2 5 2" xfId="4767" xr:uid="{00000000-0005-0000-0000-0000BE040000}"/>
    <cellStyle name="40% - Accent2 5 3" xfId="8171" xr:uid="{00000000-0005-0000-0000-0000BF040000}"/>
    <cellStyle name="40% - Accent2 6" xfId="3116" xr:uid="{00000000-0005-0000-0000-0000C0040000}"/>
    <cellStyle name="40% - Accent2 6 2" xfId="4768" xr:uid="{00000000-0005-0000-0000-0000C1040000}"/>
    <cellStyle name="40% - Accent2 6 3" xfId="8172" xr:uid="{00000000-0005-0000-0000-0000C2040000}"/>
    <cellStyle name="40% - Accent2 7" xfId="2783" xr:uid="{00000000-0005-0000-0000-0000C3040000}"/>
    <cellStyle name="40% - Accent2 8" xfId="3920" xr:uid="{00000000-0005-0000-0000-0000C4040000}"/>
    <cellStyle name="40% - Accent2 9" xfId="7820" xr:uid="{00000000-0005-0000-0000-0000C5040000}"/>
    <cellStyle name="40% - Accent3" xfId="63" xr:uid="{00000000-0005-0000-0000-0000C6040000}"/>
    <cellStyle name="40% - Accent3 10" xfId="2601" xr:uid="{00000000-0005-0000-0000-0000C7040000}"/>
    <cellStyle name="40% - Accent3 2" xfId="1055" xr:uid="{00000000-0005-0000-0000-0000C8040000}"/>
    <cellStyle name="40% - Accent3 2 2" xfId="2900" xr:uid="{00000000-0005-0000-0000-0000C9040000}"/>
    <cellStyle name="40% - Accent3 2 2 2" xfId="3593" xr:uid="{00000000-0005-0000-0000-0000CA040000}"/>
    <cellStyle name="40% - Accent3 2 2 2 2" xfId="5205" xr:uid="{00000000-0005-0000-0000-0000CB040000}"/>
    <cellStyle name="40% - Accent3 2 2 2 3" xfId="8577" xr:uid="{00000000-0005-0000-0000-0000CC040000}"/>
    <cellStyle name="40% - Accent3 2 2 3" xfId="4567" xr:uid="{00000000-0005-0000-0000-0000CD040000}"/>
    <cellStyle name="40% - Accent3 2 2 4" xfId="7959" xr:uid="{00000000-0005-0000-0000-0000CE040000}"/>
    <cellStyle name="40% - Accent3 2 3" xfId="2990" xr:uid="{00000000-0005-0000-0000-0000CF040000}"/>
    <cellStyle name="40% - Accent3 2 3 2" xfId="4652" xr:uid="{00000000-0005-0000-0000-0000D0040000}"/>
    <cellStyle name="40% - Accent3 2 3 3" xfId="8046" xr:uid="{00000000-0005-0000-0000-0000D1040000}"/>
    <cellStyle name="40% - Accent3 2 4" xfId="3117" xr:uid="{00000000-0005-0000-0000-0000D2040000}"/>
    <cellStyle name="40% - Accent3 2 4 2" xfId="4769" xr:uid="{00000000-0005-0000-0000-0000D3040000}"/>
    <cellStyle name="40% - Accent3 2 4 3" xfId="8173" xr:uid="{00000000-0005-0000-0000-0000D4040000}"/>
    <cellStyle name="40% - Accent3 2 5" xfId="2786" xr:uid="{00000000-0005-0000-0000-0000D5040000}"/>
    <cellStyle name="40% - Accent3 2 6" xfId="3923" xr:uid="{00000000-0005-0000-0000-0000D6040000}"/>
    <cellStyle name="40% - Accent3 2 7" xfId="6336" xr:uid="{00000000-0005-0000-0000-0000D7040000}"/>
    <cellStyle name="40% - Accent3 3" xfId="2899" xr:uid="{00000000-0005-0000-0000-0000D8040000}"/>
    <cellStyle name="40% - Accent3 3 2" xfId="3118" xr:uid="{00000000-0005-0000-0000-0000D9040000}"/>
    <cellStyle name="40% - Accent3 3 2 2" xfId="4770" xr:uid="{00000000-0005-0000-0000-0000DA040000}"/>
    <cellStyle name="40% - Accent3 3 2 3" xfId="8174" xr:uid="{00000000-0005-0000-0000-0000DB040000}"/>
    <cellStyle name="40% - Accent3 3 3" xfId="3800" xr:uid="{00000000-0005-0000-0000-0000DC040000}"/>
    <cellStyle name="40% - Accent3 3 3 2" xfId="6190" xr:uid="{00000000-0005-0000-0000-0000DD040000}"/>
    <cellStyle name="40% - Accent3 3 3 3" xfId="8711" xr:uid="{00000000-0005-0000-0000-0000DE040000}"/>
    <cellStyle name="40% - Accent3 3 4" xfId="4566" xr:uid="{00000000-0005-0000-0000-0000DF040000}"/>
    <cellStyle name="40% - Accent3 3 5" xfId="7958" xr:uid="{00000000-0005-0000-0000-0000E0040000}"/>
    <cellStyle name="40% - Accent3 4" xfId="2989" xr:uid="{00000000-0005-0000-0000-0000E1040000}"/>
    <cellStyle name="40% - Accent3 4 2" xfId="3119" xr:uid="{00000000-0005-0000-0000-0000E2040000}"/>
    <cellStyle name="40% - Accent3 4 2 2" xfId="4771" xr:uid="{00000000-0005-0000-0000-0000E3040000}"/>
    <cellStyle name="40% - Accent3 4 2 3" xfId="8175" xr:uid="{00000000-0005-0000-0000-0000E4040000}"/>
    <cellStyle name="40% - Accent3 4 3" xfId="4651" xr:uid="{00000000-0005-0000-0000-0000E5040000}"/>
    <cellStyle name="40% - Accent3 4 4" xfId="8045" xr:uid="{00000000-0005-0000-0000-0000E6040000}"/>
    <cellStyle name="40% - Accent3 5" xfId="3120" xr:uid="{00000000-0005-0000-0000-0000E7040000}"/>
    <cellStyle name="40% - Accent3 5 2" xfId="4772" xr:uid="{00000000-0005-0000-0000-0000E8040000}"/>
    <cellStyle name="40% - Accent3 5 3" xfId="8176" xr:uid="{00000000-0005-0000-0000-0000E9040000}"/>
    <cellStyle name="40% - Accent3 6" xfId="3121" xr:uid="{00000000-0005-0000-0000-0000EA040000}"/>
    <cellStyle name="40% - Accent3 6 2" xfId="4773" xr:uid="{00000000-0005-0000-0000-0000EB040000}"/>
    <cellStyle name="40% - Accent3 6 3" xfId="8177" xr:uid="{00000000-0005-0000-0000-0000EC040000}"/>
    <cellStyle name="40% - Accent3 7" xfId="2785" xr:uid="{00000000-0005-0000-0000-0000ED040000}"/>
    <cellStyle name="40% - Accent3 8" xfId="3922" xr:uid="{00000000-0005-0000-0000-0000EE040000}"/>
    <cellStyle name="40% - Accent3 9" xfId="7819" xr:uid="{00000000-0005-0000-0000-0000EF040000}"/>
    <cellStyle name="40% - Accent4" xfId="64" xr:uid="{00000000-0005-0000-0000-0000F0040000}"/>
    <cellStyle name="40% - Accent4 10" xfId="2600" xr:uid="{00000000-0005-0000-0000-0000F1040000}"/>
    <cellStyle name="40% - Accent4 2" xfId="1056" xr:uid="{00000000-0005-0000-0000-0000F2040000}"/>
    <cellStyle name="40% - Accent4 2 2" xfId="2902" xr:uid="{00000000-0005-0000-0000-0000F3040000}"/>
    <cellStyle name="40% - Accent4 2 2 2" xfId="3597" xr:uid="{00000000-0005-0000-0000-0000F4040000}"/>
    <cellStyle name="40% - Accent4 2 2 2 2" xfId="5209" xr:uid="{00000000-0005-0000-0000-0000F5040000}"/>
    <cellStyle name="40% - Accent4 2 2 2 3" xfId="8581" xr:uid="{00000000-0005-0000-0000-0000F6040000}"/>
    <cellStyle name="40% - Accent4 2 2 3" xfId="4569" xr:uid="{00000000-0005-0000-0000-0000F7040000}"/>
    <cellStyle name="40% - Accent4 2 2 4" xfId="7961" xr:uid="{00000000-0005-0000-0000-0000F8040000}"/>
    <cellStyle name="40% - Accent4 2 3" xfId="2992" xr:uid="{00000000-0005-0000-0000-0000F9040000}"/>
    <cellStyle name="40% - Accent4 2 3 2" xfId="4654" xr:uid="{00000000-0005-0000-0000-0000FA040000}"/>
    <cellStyle name="40% - Accent4 2 3 3" xfId="8048" xr:uid="{00000000-0005-0000-0000-0000FB040000}"/>
    <cellStyle name="40% - Accent4 2 4" xfId="3122" xr:uid="{00000000-0005-0000-0000-0000FC040000}"/>
    <cellStyle name="40% - Accent4 2 4 2" xfId="4774" xr:uid="{00000000-0005-0000-0000-0000FD040000}"/>
    <cellStyle name="40% - Accent4 2 4 3" xfId="8178" xr:uid="{00000000-0005-0000-0000-0000FE040000}"/>
    <cellStyle name="40% - Accent4 2 5" xfId="2788" xr:uid="{00000000-0005-0000-0000-0000FF040000}"/>
    <cellStyle name="40% - Accent4 2 6" xfId="3925" xr:uid="{00000000-0005-0000-0000-000000050000}"/>
    <cellStyle name="40% - Accent4 2 7" xfId="6337" xr:uid="{00000000-0005-0000-0000-000001050000}"/>
    <cellStyle name="40% - Accent4 3" xfId="2901" xr:uid="{00000000-0005-0000-0000-000002050000}"/>
    <cellStyle name="40% - Accent4 3 2" xfId="3123" xr:uid="{00000000-0005-0000-0000-000003050000}"/>
    <cellStyle name="40% - Accent4 3 2 2" xfId="4775" xr:uid="{00000000-0005-0000-0000-000004050000}"/>
    <cellStyle name="40% - Accent4 3 2 3" xfId="8179" xr:uid="{00000000-0005-0000-0000-000005050000}"/>
    <cellStyle name="40% - Accent4 3 3" xfId="3819" xr:uid="{00000000-0005-0000-0000-000006050000}"/>
    <cellStyle name="40% - Accent4 3 3 2" xfId="6204" xr:uid="{00000000-0005-0000-0000-000007050000}"/>
    <cellStyle name="40% - Accent4 3 3 3" xfId="8730" xr:uid="{00000000-0005-0000-0000-000008050000}"/>
    <cellStyle name="40% - Accent4 3 4" xfId="4568" xr:uid="{00000000-0005-0000-0000-000009050000}"/>
    <cellStyle name="40% - Accent4 3 5" xfId="7960" xr:uid="{00000000-0005-0000-0000-00000A050000}"/>
    <cellStyle name="40% - Accent4 4" xfId="2991" xr:uid="{00000000-0005-0000-0000-00000B050000}"/>
    <cellStyle name="40% - Accent4 4 2" xfId="3124" xr:uid="{00000000-0005-0000-0000-00000C050000}"/>
    <cellStyle name="40% - Accent4 4 2 2" xfId="4776" xr:uid="{00000000-0005-0000-0000-00000D050000}"/>
    <cellStyle name="40% - Accent4 4 2 3" xfId="8180" xr:uid="{00000000-0005-0000-0000-00000E050000}"/>
    <cellStyle name="40% - Accent4 4 3" xfId="4653" xr:uid="{00000000-0005-0000-0000-00000F050000}"/>
    <cellStyle name="40% - Accent4 4 4" xfId="8047" xr:uid="{00000000-0005-0000-0000-000010050000}"/>
    <cellStyle name="40% - Accent4 5" xfId="3125" xr:uid="{00000000-0005-0000-0000-000011050000}"/>
    <cellStyle name="40% - Accent4 5 2" xfId="4777" xr:uid="{00000000-0005-0000-0000-000012050000}"/>
    <cellStyle name="40% - Accent4 5 3" xfId="8181" xr:uid="{00000000-0005-0000-0000-000013050000}"/>
    <cellStyle name="40% - Accent4 6" xfId="3126" xr:uid="{00000000-0005-0000-0000-000014050000}"/>
    <cellStyle name="40% - Accent4 6 2" xfId="4778" xr:uid="{00000000-0005-0000-0000-000015050000}"/>
    <cellStyle name="40% - Accent4 6 3" xfId="8182" xr:uid="{00000000-0005-0000-0000-000016050000}"/>
    <cellStyle name="40% - Accent4 7" xfId="2787" xr:uid="{00000000-0005-0000-0000-000017050000}"/>
    <cellStyle name="40% - Accent4 8" xfId="3924" xr:uid="{00000000-0005-0000-0000-000018050000}"/>
    <cellStyle name="40% - Accent4 9" xfId="7818" xr:uid="{00000000-0005-0000-0000-000019050000}"/>
    <cellStyle name="40% - Accent5" xfId="65" xr:uid="{00000000-0005-0000-0000-00001A050000}"/>
    <cellStyle name="40% - Accent5 10" xfId="2599" xr:uid="{00000000-0005-0000-0000-00001B050000}"/>
    <cellStyle name="40% - Accent5 2" xfId="1057" xr:uid="{00000000-0005-0000-0000-00001C050000}"/>
    <cellStyle name="40% - Accent5 2 2" xfId="2904" xr:uid="{00000000-0005-0000-0000-00001D050000}"/>
    <cellStyle name="40% - Accent5 2 2 2" xfId="3601" xr:uid="{00000000-0005-0000-0000-00001E050000}"/>
    <cellStyle name="40% - Accent5 2 2 2 2" xfId="5213" xr:uid="{00000000-0005-0000-0000-00001F050000}"/>
    <cellStyle name="40% - Accent5 2 2 2 3" xfId="8585" xr:uid="{00000000-0005-0000-0000-000020050000}"/>
    <cellStyle name="40% - Accent5 2 2 3" xfId="4571" xr:uid="{00000000-0005-0000-0000-000021050000}"/>
    <cellStyle name="40% - Accent5 2 2 4" xfId="7963" xr:uid="{00000000-0005-0000-0000-000022050000}"/>
    <cellStyle name="40% - Accent5 2 3" xfId="2994" xr:uid="{00000000-0005-0000-0000-000023050000}"/>
    <cellStyle name="40% - Accent5 2 3 2" xfId="4656" xr:uid="{00000000-0005-0000-0000-000024050000}"/>
    <cellStyle name="40% - Accent5 2 3 3" xfId="8050" xr:uid="{00000000-0005-0000-0000-000025050000}"/>
    <cellStyle name="40% - Accent5 2 4" xfId="3127" xr:uid="{00000000-0005-0000-0000-000026050000}"/>
    <cellStyle name="40% - Accent5 2 4 2" xfId="4779" xr:uid="{00000000-0005-0000-0000-000027050000}"/>
    <cellStyle name="40% - Accent5 2 4 3" xfId="8183" xr:uid="{00000000-0005-0000-0000-000028050000}"/>
    <cellStyle name="40% - Accent5 2 5" xfId="2790" xr:uid="{00000000-0005-0000-0000-000029050000}"/>
    <cellStyle name="40% - Accent5 2 6" xfId="3927" xr:uid="{00000000-0005-0000-0000-00002A050000}"/>
    <cellStyle name="40% - Accent5 2 7" xfId="6338" xr:uid="{00000000-0005-0000-0000-00002B050000}"/>
    <cellStyle name="40% - Accent5 3" xfId="2903" xr:uid="{00000000-0005-0000-0000-00002C050000}"/>
    <cellStyle name="40% - Accent5 3 2" xfId="3128" xr:uid="{00000000-0005-0000-0000-00002D050000}"/>
    <cellStyle name="40% - Accent5 3 2 2" xfId="4780" xr:uid="{00000000-0005-0000-0000-00002E050000}"/>
    <cellStyle name="40% - Accent5 3 2 3" xfId="8184" xr:uid="{00000000-0005-0000-0000-00002F050000}"/>
    <cellStyle name="40% - Accent5 3 3" xfId="3839" xr:uid="{00000000-0005-0000-0000-000030050000}"/>
    <cellStyle name="40% - Accent5 3 3 2" xfId="6220" xr:uid="{00000000-0005-0000-0000-000031050000}"/>
    <cellStyle name="40% - Accent5 3 3 3" xfId="8750" xr:uid="{00000000-0005-0000-0000-000032050000}"/>
    <cellStyle name="40% - Accent5 3 4" xfId="4570" xr:uid="{00000000-0005-0000-0000-000033050000}"/>
    <cellStyle name="40% - Accent5 3 5" xfId="7962" xr:uid="{00000000-0005-0000-0000-000034050000}"/>
    <cellStyle name="40% - Accent5 4" xfId="2993" xr:uid="{00000000-0005-0000-0000-000035050000}"/>
    <cellStyle name="40% - Accent5 4 2" xfId="3129" xr:uid="{00000000-0005-0000-0000-000036050000}"/>
    <cellStyle name="40% - Accent5 4 2 2" xfId="4781" xr:uid="{00000000-0005-0000-0000-000037050000}"/>
    <cellStyle name="40% - Accent5 4 2 3" xfId="8185" xr:uid="{00000000-0005-0000-0000-000038050000}"/>
    <cellStyle name="40% - Accent5 4 3" xfId="4655" xr:uid="{00000000-0005-0000-0000-000039050000}"/>
    <cellStyle name="40% - Accent5 4 4" xfId="8049" xr:uid="{00000000-0005-0000-0000-00003A050000}"/>
    <cellStyle name="40% - Accent5 5" xfId="3130" xr:uid="{00000000-0005-0000-0000-00003B050000}"/>
    <cellStyle name="40% - Accent5 5 2" xfId="4782" xr:uid="{00000000-0005-0000-0000-00003C050000}"/>
    <cellStyle name="40% - Accent5 5 3" xfId="8186" xr:uid="{00000000-0005-0000-0000-00003D050000}"/>
    <cellStyle name="40% - Accent5 6" xfId="3131" xr:uid="{00000000-0005-0000-0000-00003E050000}"/>
    <cellStyle name="40% - Accent5 6 2" xfId="4783" xr:uid="{00000000-0005-0000-0000-00003F050000}"/>
    <cellStyle name="40% - Accent5 6 3" xfId="8187" xr:uid="{00000000-0005-0000-0000-000040050000}"/>
    <cellStyle name="40% - Accent5 7" xfId="2789" xr:uid="{00000000-0005-0000-0000-000041050000}"/>
    <cellStyle name="40% - Accent5 8" xfId="3926" xr:uid="{00000000-0005-0000-0000-000042050000}"/>
    <cellStyle name="40% - Accent5 9" xfId="7817" xr:uid="{00000000-0005-0000-0000-000043050000}"/>
    <cellStyle name="40% - Accent6" xfId="66" xr:uid="{00000000-0005-0000-0000-000044050000}"/>
    <cellStyle name="40% - Accent6 10" xfId="2598" xr:uid="{00000000-0005-0000-0000-000045050000}"/>
    <cellStyle name="40% - Accent6 2" xfId="1058" xr:uid="{00000000-0005-0000-0000-000046050000}"/>
    <cellStyle name="40% - Accent6 2 2" xfId="2906" xr:uid="{00000000-0005-0000-0000-000047050000}"/>
    <cellStyle name="40% - Accent6 2 2 2" xfId="3605" xr:uid="{00000000-0005-0000-0000-000048050000}"/>
    <cellStyle name="40% - Accent6 2 2 2 2" xfId="5217" xr:uid="{00000000-0005-0000-0000-000049050000}"/>
    <cellStyle name="40% - Accent6 2 2 2 3" xfId="8589" xr:uid="{00000000-0005-0000-0000-00004A050000}"/>
    <cellStyle name="40% - Accent6 2 2 3" xfId="4573" xr:uid="{00000000-0005-0000-0000-00004B050000}"/>
    <cellStyle name="40% - Accent6 2 2 4" xfId="7965" xr:uid="{00000000-0005-0000-0000-00004C050000}"/>
    <cellStyle name="40% - Accent6 2 3" xfId="2996" xr:uid="{00000000-0005-0000-0000-00004D050000}"/>
    <cellStyle name="40% - Accent6 2 3 2" xfId="4658" xr:uid="{00000000-0005-0000-0000-00004E050000}"/>
    <cellStyle name="40% - Accent6 2 3 3" xfId="8052" xr:uid="{00000000-0005-0000-0000-00004F050000}"/>
    <cellStyle name="40% - Accent6 2 4" xfId="3132" xr:uid="{00000000-0005-0000-0000-000050050000}"/>
    <cellStyle name="40% - Accent6 2 4 2" xfId="4784" xr:uid="{00000000-0005-0000-0000-000051050000}"/>
    <cellStyle name="40% - Accent6 2 4 3" xfId="8188" xr:uid="{00000000-0005-0000-0000-000052050000}"/>
    <cellStyle name="40% - Accent6 2 5" xfId="2792" xr:uid="{00000000-0005-0000-0000-000053050000}"/>
    <cellStyle name="40% - Accent6 2 6" xfId="3929" xr:uid="{00000000-0005-0000-0000-000054050000}"/>
    <cellStyle name="40% - Accent6 2 7" xfId="6339" xr:uid="{00000000-0005-0000-0000-000055050000}"/>
    <cellStyle name="40% - Accent6 3" xfId="2905" xr:uid="{00000000-0005-0000-0000-000056050000}"/>
    <cellStyle name="40% - Accent6 3 2" xfId="3133" xr:uid="{00000000-0005-0000-0000-000057050000}"/>
    <cellStyle name="40% - Accent6 3 2 2" xfId="4785" xr:uid="{00000000-0005-0000-0000-000058050000}"/>
    <cellStyle name="40% - Accent6 3 2 3" xfId="8189" xr:uid="{00000000-0005-0000-0000-000059050000}"/>
    <cellStyle name="40% - Accent6 3 3" xfId="3778" xr:uid="{00000000-0005-0000-0000-00005A050000}"/>
    <cellStyle name="40% - Accent6 3 3 2" xfId="6171" xr:uid="{00000000-0005-0000-0000-00005B050000}"/>
    <cellStyle name="40% - Accent6 3 3 3" xfId="8689" xr:uid="{00000000-0005-0000-0000-00005C050000}"/>
    <cellStyle name="40% - Accent6 3 4" xfId="4572" xr:uid="{00000000-0005-0000-0000-00005D050000}"/>
    <cellStyle name="40% - Accent6 3 5" xfId="7964" xr:uid="{00000000-0005-0000-0000-00005E050000}"/>
    <cellStyle name="40% - Accent6 4" xfId="2995" xr:uid="{00000000-0005-0000-0000-00005F050000}"/>
    <cellStyle name="40% - Accent6 4 2" xfId="3134" xr:uid="{00000000-0005-0000-0000-000060050000}"/>
    <cellStyle name="40% - Accent6 4 2 2" xfId="4786" xr:uid="{00000000-0005-0000-0000-000061050000}"/>
    <cellStyle name="40% - Accent6 4 2 3" xfId="8190" xr:uid="{00000000-0005-0000-0000-000062050000}"/>
    <cellStyle name="40% - Accent6 4 3" xfId="4657" xr:uid="{00000000-0005-0000-0000-000063050000}"/>
    <cellStyle name="40% - Accent6 4 4" xfId="8051" xr:uid="{00000000-0005-0000-0000-000064050000}"/>
    <cellStyle name="40% - Accent6 5" xfId="3135" xr:uid="{00000000-0005-0000-0000-000065050000}"/>
    <cellStyle name="40% - Accent6 5 2" xfId="4787" xr:uid="{00000000-0005-0000-0000-000066050000}"/>
    <cellStyle name="40% - Accent6 5 3" xfId="8191" xr:uid="{00000000-0005-0000-0000-000067050000}"/>
    <cellStyle name="40% - Accent6 6" xfId="3136" xr:uid="{00000000-0005-0000-0000-000068050000}"/>
    <cellStyle name="40% - Accent6 6 2" xfId="4788" xr:uid="{00000000-0005-0000-0000-000069050000}"/>
    <cellStyle name="40% - Accent6 6 3" xfId="8192" xr:uid="{00000000-0005-0000-0000-00006A050000}"/>
    <cellStyle name="40% - Accent6 7" xfId="2791" xr:uid="{00000000-0005-0000-0000-00006B050000}"/>
    <cellStyle name="40% - Accent6 8" xfId="3928" xr:uid="{00000000-0005-0000-0000-00006C050000}"/>
    <cellStyle name="40% - Accent6 9" xfId="7816" xr:uid="{00000000-0005-0000-0000-00006D050000}"/>
    <cellStyle name="40% - Cor1 10" xfId="6298" xr:uid="{00000000-0005-0000-0000-00006E050000}"/>
    <cellStyle name="40% - Cor1 11" xfId="1016" xr:uid="{00000000-0005-0000-0000-00006F050000}"/>
    <cellStyle name="40% - Cor1 2" xfId="67" xr:uid="{00000000-0005-0000-0000-000070050000}"/>
    <cellStyle name="40% - Cor1 2 2" xfId="1259" xr:uid="{00000000-0005-0000-0000-000071050000}"/>
    <cellStyle name="40% - Cor1 2 2 2" xfId="1530" xr:uid="{00000000-0005-0000-0000-000072050000}"/>
    <cellStyle name="40% - Cor1 2 2 2 2" xfId="5557" xr:uid="{00000000-0005-0000-0000-000073050000}"/>
    <cellStyle name="40% - Cor1 2 2 2 3" xfId="6782" xr:uid="{00000000-0005-0000-0000-000074050000}"/>
    <cellStyle name="40% - Cor1 2 2 3" xfId="1735" xr:uid="{00000000-0005-0000-0000-000075050000}"/>
    <cellStyle name="40% - Cor1 2 2 3 2" xfId="5757" xr:uid="{00000000-0005-0000-0000-000076050000}"/>
    <cellStyle name="40% - Cor1 2 2 3 3" xfId="6982" xr:uid="{00000000-0005-0000-0000-000077050000}"/>
    <cellStyle name="40% - Cor1 2 2 4" xfId="1638" xr:uid="{00000000-0005-0000-0000-000078050000}"/>
    <cellStyle name="40% - Cor1 2 2 4 2" xfId="5663" xr:uid="{00000000-0005-0000-0000-000079050000}"/>
    <cellStyle name="40% - Cor1 2 2 4 3" xfId="6888" xr:uid="{00000000-0005-0000-0000-00007A050000}"/>
    <cellStyle name="40% - Cor1 2 2 5" xfId="5296" xr:uid="{00000000-0005-0000-0000-00007B050000}"/>
    <cellStyle name="40% - Cor1 2 2 6" xfId="6511" xr:uid="{00000000-0005-0000-0000-00007C050000}"/>
    <cellStyle name="40% - Cor1 2 3" xfId="1306" xr:uid="{00000000-0005-0000-0000-00007D050000}"/>
    <cellStyle name="40% - Cor1 2 3 2" xfId="1575" xr:uid="{00000000-0005-0000-0000-00007E050000}"/>
    <cellStyle name="40% - Cor1 2 3 2 2" xfId="5601" xr:uid="{00000000-0005-0000-0000-00007F050000}"/>
    <cellStyle name="40% - Cor1 2 3 2 3" xfId="6826" xr:uid="{00000000-0005-0000-0000-000080050000}"/>
    <cellStyle name="40% - Cor1 2 3 3" xfId="1779" xr:uid="{00000000-0005-0000-0000-000081050000}"/>
    <cellStyle name="40% - Cor1 2 3 3 2" xfId="5800" xr:uid="{00000000-0005-0000-0000-000082050000}"/>
    <cellStyle name="40% - Cor1 2 3 3 3" xfId="7026" xr:uid="{00000000-0005-0000-0000-000083050000}"/>
    <cellStyle name="40% - Cor1 2 3 4" xfId="1941" xr:uid="{00000000-0005-0000-0000-000084050000}"/>
    <cellStyle name="40% - Cor1 2 3 4 2" xfId="5961" xr:uid="{00000000-0005-0000-0000-000085050000}"/>
    <cellStyle name="40% - Cor1 2 3 4 3" xfId="7188" xr:uid="{00000000-0005-0000-0000-000086050000}"/>
    <cellStyle name="40% - Cor1 2 3 5" xfId="5342" xr:uid="{00000000-0005-0000-0000-000087050000}"/>
    <cellStyle name="40% - Cor1 2 3 6" xfId="6558" xr:uid="{00000000-0005-0000-0000-000088050000}"/>
    <cellStyle name="40% - Cor1 2 4" xfId="1455" xr:uid="{00000000-0005-0000-0000-000089050000}"/>
    <cellStyle name="40% - Cor1 2 4 2" xfId="5483" xr:uid="{00000000-0005-0000-0000-00008A050000}"/>
    <cellStyle name="40% - Cor1 2 4 3" xfId="6707" xr:uid="{00000000-0005-0000-0000-00008B050000}"/>
    <cellStyle name="40% - Cor1 2 5" xfId="1423" xr:uid="{00000000-0005-0000-0000-00008C050000}"/>
    <cellStyle name="40% - Cor1 2 5 2" xfId="5453" xr:uid="{00000000-0005-0000-0000-00008D050000}"/>
    <cellStyle name="40% - Cor1 2 5 3" xfId="6675" xr:uid="{00000000-0005-0000-0000-00008E050000}"/>
    <cellStyle name="40% - Cor1 2 6" xfId="1804" xr:uid="{00000000-0005-0000-0000-00008F050000}"/>
    <cellStyle name="40% - Cor1 2 6 2" xfId="5825" xr:uid="{00000000-0005-0000-0000-000090050000}"/>
    <cellStyle name="40% - Cor1 2 6 3" xfId="7051" xr:uid="{00000000-0005-0000-0000-000091050000}"/>
    <cellStyle name="40% - Cor1 2 7" xfId="5228" xr:uid="{00000000-0005-0000-0000-000092050000}"/>
    <cellStyle name="40% - Cor1 2 8" xfId="6438" xr:uid="{00000000-0005-0000-0000-000093050000}"/>
    <cellStyle name="40% - Cor1 2 9" xfId="1186" xr:uid="{00000000-0005-0000-0000-000094050000}"/>
    <cellStyle name="40% - Cor1 3" xfId="68" xr:uid="{00000000-0005-0000-0000-000095050000}"/>
    <cellStyle name="40% - Cor1 3 2" xfId="1340" xr:uid="{00000000-0005-0000-0000-000096050000}"/>
    <cellStyle name="40% - Cor1 3 2 2" xfId="1608" xr:uid="{00000000-0005-0000-0000-000097050000}"/>
    <cellStyle name="40% - Cor1 3 2 2 2" xfId="5634" xr:uid="{00000000-0005-0000-0000-000098050000}"/>
    <cellStyle name="40% - Cor1 3 2 2 3" xfId="6859" xr:uid="{00000000-0005-0000-0000-000099050000}"/>
    <cellStyle name="40% - Cor1 3 2 3" xfId="1809" xr:uid="{00000000-0005-0000-0000-00009A050000}"/>
    <cellStyle name="40% - Cor1 3 2 3 2" xfId="5830" xr:uid="{00000000-0005-0000-0000-00009B050000}"/>
    <cellStyle name="40% - Cor1 3 2 3 3" xfId="7056" xr:uid="{00000000-0005-0000-0000-00009C050000}"/>
    <cellStyle name="40% - Cor1 3 2 4" xfId="1998" xr:uid="{00000000-0005-0000-0000-00009D050000}"/>
    <cellStyle name="40% - Cor1 3 2 4 2" xfId="6017" xr:uid="{00000000-0005-0000-0000-00009E050000}"/>
    <cellStyle name="40% - Cor1 3 2 4 3" xfId="7245" xr:uid="{00000000-0005-0000-0000-00009F050000}"/>
    <cellStyle name="40% - Cor1 3 2 5" xfId="5374" xr:uid="{00000000-0005-0000-0000-0000A0050000}"/>
    <cellStyle name="40% - Cor1 3 2 6" xfId="6592" xr:uid="{00000000-0005-0000-0000-0000A1050000}"/>
    <cellStyle name="40% - Cor1 3 3" xfId="1495" xr:uid="{00000000-0005-0000-0000-0000A2050000}"/>
    <cellStyle name="40% - Cor1 3 3 2" xfId="5523" xr:uid="{00000000-0005-0000-0000-0000A3050000}"/>
    <cellStyle name="40% - Cor1 3 3 3" xfId="6747" xr:uid="{00000000-0005-0000-0000-0000A4050000}"/>
    <cellStyle name="40% - Cor1 3 4" xfId="1702" xr:uid="{00000000-0005-0000-0000-0000A5050000}"/>
    <cellStyle name="40% - Cor1 3 4 2" xfId="5724" xr:uid="{00000000-0005-0000-0000-0000A6050000}"/>
    <cellStyle name="40% - Cor1 3 4 3" xfId="6949" xr:uid="{00000000-0005-0000-0000-0000A7050000}"/>
    <cellStyle name="40% - Cor1 3 5" xfId="1969" xr:uid="{00000000-0005-0000-0000-0000A8050000}"/>
    <cellStyle name="40% - Cor1 3 5 2" xfId="5989" xr:uid="{00000000-0005-0000-0000-0000A9050000}"/>
    <cellStyle name="40% - Cor1 3 5 3" xfId="7216" xr:uid="{00000000-0005-0000-0000-0000AA050000}"/>
    <cellStyle name="40% - Cor1 3 6" xfId="5264" xr:uid="{00000000-0005-0000-0000-0000AB050000}"/>
    <cellStyle name="40% - Cor1 3 7" xfId="6477" xr:uid="{00000000-0005-0000-0000-0000AC050000}"/>
    <cellStyle name="40% - Cor1 3 8" xfId="1225" xr:uid="{00000000-0005-0000-0000-0000AD050000}"/>
    <cellStyle name="40% - Cor1 4" xfId="69" xr:uid="{00000000-0005-0000-0000-0000AE050000}"/>
    <cellStyle name="40% - Cor1 4 2" xfId="1489" xr:uid="{00000000-0005-0000-0000-0000AF050000}"/>
    <cellStyle name="40% - Cor1 4 2 2" xfId="5517" xr:uid="{00000000-0005-0000-0000-0000B0050000}"/>
    <cellStyle name="40% - Cor1 4 2 3" xfId="6741" xr:uid="{00000000-0005-0000-0000-0000B1050000}"/>
    <cellStyle name="40% - Cor1 4 3" xfId="1696" xr:uid="{00000000-0005-0000-0000-0000B2050000}"/>
    <cellStyle name="40% - Cor1 4 3 2" xfId="5718" xr:uid="{00000000-0005-0000-0000-0000B3050000}"/>
    <cellStyle name="40% - Cor1 4 3 3" xfId="6943" xr:uid="{00000000-0005-0000-0000-0000B4050000}"/>
    <cellStyle name="40% - Cor1 4 4" xfId="1970" xr:uid="{00000000-0005-0000-0000-0000B5050000}"/>
    <cellStyle name="40% - Cor1 4 4 2" xfId="5990" xr:uid="{00000000-0005-0000-0000-0000B6050000}"/>
    <cellStyle name="40% - Cor1 4 4 3" xfId="7217" xr:uid="{00000000-0005-0000-0000-0000B7050000}"/>
    <cellStyle name="40% - Cor1 4 5" xfId="5258" xr:uid="{00000000-0005-0000-0000-0000B8050000}"/>
    <cellStyle name="40% - Cor1 4 6" xfId="6471" xr:uid="{00000000-0005-0000-0000-0000B9050000}"/>
    <cellStyle name="40% - Cor1 4 7" xfId="1219" xr:uid="{00000000-0005-0000-0000-0000BA050000}"/>
    <cellStyle name="40% - Cor1 5" xfId="1377" xr:uid="{00000000-0005-0000-0000-0000BB050000}"/>
    <cellStyle name="40% - Cor1 5 2" xfId="1647" xr:uid="{00000000-0005-0000-0000-0000BC050000}"/>
    <cellStyle name="40% - Cor1 5 2 2" xfId="5671" xr:uid="{00000000-0005-0000-0000-0000BD050000}"/>
    <cellStyle name="40% - Cor1 5 2 3" xfId="6896" xr:uid="{00000000-0005-0000-0000-0000BE050000}"/>
    <cellStyle name="40% - Cor1 5 3" xfId="1843" xr:uid="{00000000-0005-0000-0000-0000BF050000}"/>
    <cellStyle name="40% - Cor1 5 3 2" xfId="5864" xr:uid="{00000000-0005-0000-0000-0000C0050000}"/>
    <cellStyle name="40% - Cor1 5 3 3" xfId="7090" xr:uid="{00000000-0005-0000-0000-0000C1050000}"/>
    <cellStyle name="40% - Cor1 5 4" xfId="2028" xr:uid="{00000000-0005-0000-0000-0000C2050000}"/>
    <cellStyle name="40% - Cor1 5 4 2" xfId="6047" xr:uid="{00000000-0005-0000-0000-0000C3050000}"/>
    <cellStyle name="40% - Cor1 5 4 3" xfId="7275" xr:uid="{00000000-0005-0000-0000-0000C4050000}"/>
    <cellStyle name="40% - Cor1 5 5" xfId="5408" xr:uid="{00000000-0005-0000-0000-0000C5050000}"/>
    <cellStyle name="40% - Cor1 5 6" xfId="6629" xr:uid="{00000000-0005-0000-0000-0000C6050000}"/>
    <cellStyle name="40% - Cor1 6" xfId="1391" xr:uid="{00000000-0005-0000-0000-0000C7050000}"/>
    <cellStyle name="40% - Cor1 6 2" xfId="1661" xr:uid="{00000000-0005-0000-0000-0000C8050000}"/>
    <cellStyle name="40% - Cor1 6 2 2" xfId="5685" xr:uid="{00000000-0005-0000-0000-0000C9050000}"/>
    <cellStyle name="40% - Cor1 6 2 3" xfId="6910" xr:uid="{00000000-0005-0000-0000-0000CA050000}"/>
    <cellStyle name="40% - Cor1 6 3" xfId="1857" xr:uid="{00000000-0005-0000-0000-0000CB050000}"/>
    <cellStyle name="40% - Cor1 6 3 2" xfId="5878" xr:uid="{00000000-0005-0000-0000-0000CC050000}"/>
    <cellStyle name="40% - Cor1 6 3 3" xfId="7104" xr:uid="{00000000-0005-0000-0000-0000CD050000}"/>
    <cellStyle name="40% - Cor1 6 4" xfId="2042" xr:uid="{00000000-0005-0000-0000-0000CE050000}"/>
    <cellStyle name="40% - Cor1 6 4 2" xfId="6061" xr:uid="{00000000-0005-0000-0000-0000CF050000}"/>
    <cellStyle name="40% - Cor1 6 4 3" xfId="7289" xr:uid="{00000000-0005-0000-0000-0000D0050000}"/>
    <cellStyle name="40% - Cor1 6 5" xfId="5422" xr:uid="{00000000-0005-0000-0000-0000D1050000}"/>
    <cellStyle name="40% - Cor1 6 6" xfId="6643" xr:uid="{00000000-0005-0000-0000-0000D2050000}"/>
    <cellStyle name="40% - Cor1 7" xfId="1418" xr:uid="{00000000-0005-0000-0000-0000D3050000}"/>
    <cellStyle name="40% - Cor1 7 2" xfId="1881" xr:uid="{00000000-0005-0000-0000-0000D4050000}"/>
    <cellStyle name="40% - Cor1 7 2 2" xfId="5901" xr:uid="{00000000-0005-0000-0000-0000D5050000}"/>
    <cellStyle name="40% - Cor1 7 2 3" xfId="7128" xr:uid="{00000000-0005-0000-0000-0000D6050000}"/>
    <cellStyle name="40% - Cor1 7 3" xfId="2054" xr:uid="{00000000-0005-0000-0000-0000D7050000}"/>
    <cellStyle name="40% - Cor1 7 3 2" xfId="6073" xr:uid="{00000000-0005-0000-0000-0000D8050000}"/>
    <cellStyle name="40% - Cor1 7 3 3" xfId="7301" xr:uid="{00000000-0005-0000-0000-0000D9050000}"/>
    <cellStyle name="40% - Cor1 7 4" xfId="5448" xr:uid="{00000000-0005-0000-0000-0000DA050000}"/>
    <cellStyle name="40% - Cor1 7 5" xfId="6670" xr:uid="{00000000-0005-0000-0000-0000DB050000}"/>
    <cellStyle name="40% - Cor1 8" xfId="1516" xr:uid="{00000000-0005-0000-0000-0000DC050000}"/>
    <cellStyle name="40% - Cor1 8 2" xfId="2070" xr:uid="{00000000-0005-0000-0000-0000DD050000}"/>
    <cellStyle name="40% - Cor1 8 2 2" xfId="6089" xr:uid="{00000000-0005-0000-0000-0000DE050000}"/>
    <cellStyle name="40% - Cor1 8 2 3" xfId="7317" xr:uid="{00000000-0005-0000-0000-0000DF050000}"/>
    <cellStyle name="40% - Cor1 8 3" xfId="5544" xr:uid="{00000000-0005-0000-0000-0000E0050000}"/>
    <cellStyle name="40% - Cor1 8 4" xfId="6768" xr:uid="{00000000-0005-0000-0000-0000E1050000}"/>
    <cellStyle name="40% - Cor1 9" xfId="1912" xr:uid="{00000000-0005-0000-0000-0000E2050000}"/>
    <cellStyle name="40% - Cor1 9 2" xfId="5932" xr:uid="{00000000-0005-0000-0000-0000E3050000}"/>
    <cellStyle name="40% - Cor1 9 3" xfId="7159" xr:uid="{00000000-0005-0000-0000-0000E4050000}"/>
    <cellStyle name="40% - Cor2 10" xfId="6302" xr:uid="{00000000-0005-0000-0000-0000E5050000}"/>
    <cellStyle name="40% - Cor2 11" xfId="1020" xr:uid="{00000000-0005-0000-0000-0000E6050000}"/>
    <cellStyle name="40% - Cor2 2" xfId="70" xr:uid="{00000000-0005-0000-0000-0000E7050000}"/>
    <cellStyle name="40% - Cor2 2 2" xfId="1261" xr:uid="{00000000-0005-0000-0000-0000E8050000}"/>
    <cellStyle name="40% - Cor2 2 2 2" xfId="1532" xr:uid="{00000000-0005-0000-0000-0000E9050000}"/>
    <cellStyle name="40% - Cor2 2 2 2 2" xfId="5559" xr:uid="{00000000-0005-0000-0000-0000EA050000}"/>
    <cellStyle name="40% - Cor2 2 2 2 3" xfId="6784" xr:uid="{00000000-0005-0000-0000-0000EB050000}"/>
    <cellStyle name="40% - Cor2 2 2 3" xfId="1737" xr:uid="{00000000-0005-0000-0000-0000EC050000}"/>
    <cellStyle name="40% - Cor2 2 2 3 2" xfId="5759" xr:uid="{00000000-0005-0000-0000-0000ED050000}"/>
    <cellStyle name="40% - Cor2 2 2 3 3" xfId="6984" xr:uid="{00000000-0005-0000-0000-0000EE050000}"/>
    <cellStyle name="40% - Cor2 2 2 4" xfId="1415" xr:uid="{00000000-0005-0000-0000-0000EF050000}"/>
    <cellStyle name="40% - Cor2 2 2 4 2" xfId="5445" xr:uid="{00000000-0005-0000-0000-0000F0050000}"/>
    <cellStyle name="40% - Cor2 2 2 4 3" xfId="6667" xr:uid="{00000000-0005-0000-0000-0000F1050000}"/>
    <cellStyle name="40% - Cor2 2 2 5" xfId="5298" xr:uid="{00000000-0005-0000-0000-0000F2050000}"/>
    <cellStyle name="40% - Cor2 2 2 6" xfId="6513" xr:uid="{00000000-0005-0000-0000-0000F3050000}"/>
    <cellStyle name="40% - Cor2 2 3" xfId="1308" xr:uid="{00000000-0005-0000-0000-0000F4050000}"/>
    <cellStyle name="40% - Cor2 2 3 2" xfId="1577" xr:uid="{00000000-0005-0000-0000-0000F5050000}"/>
    <cellStyle name="40% - Cor2 2 3 2 2" xfId="5603" xr:uid="{00000000-0005-0000-0000-0000F6050000}"/>
    <cellStyle name="40% - Cor2 2 3 2 3" xfId="6828" xr:uid="{00000000-0005-0000-0000-0000F7050000}"/>
    <cellStyle name="40% - Cor2 2 3 3" xfId="1781" xr:uid="{00000000-0005-0000-0000-0000F8050000}"/>
    <cellStyle name="40% - Cor2 2 3 3 2" xfId="5802" xr:uid="{00000000-0005-0000-0000-0000F9050000}"/>
    <cellStyle name="40% - Cor2 2 3 3 3" xfId="7028" xr:uid="{00000000-0005-0000-0000-0000FA050000}"/>
    <cellStyle name="40% - Cor2 2 3 4" xfId="1995" xr:uid="{00000000-0005-0000-0000-0000FB050000}"/>
    <cellStyle name="40% - Cor2 2 3 4 2" xfId="6014" xr:uid="{00000000-0005-0000-0000-0000FC050000}"/>
    <cellStyle name="40% - Cor2 2 3 4 3" xfId="7242" xr:uid="{00000000-0005-0000-0000-0000FD050000}"/>
    <cellStyle name="40% - Cor2 2 3 5" xfId="5344" xr:uid="{00000000-0005-0000-0000-0000FE050000}"/>
    <cellStyle name="40% - Cor2 2 3 6" xfId="6560" xr:uid="{00000000-0005-0000-0000-0000FF050000}"/>
    <cellStyle name="40% - Cor2 2 4" xfId="1457" xr:uid="{00000000-0005-0000-0000-000000060000}"/>
    <cellStyle name="40% - Cor2 2 4 2" xfId="5485" xr:uid="{00000000-0005-0000-0000-000001060000}"/>
    <cellStyle name="40% - Cor2 2 4 3" xfId="6709" xr:uid="{00000000-0005-0000-0000-000002060000}"/>
    <cellStyle name="40% - Cor2 2 5" xfId="1416" xr:uid="{00000000-0005-0000-0000-000003060000}"/>
    <cellStyle name="40% - Cor2 2 5 2" xfId="5446" xr:uid="{00000000-0005-0000-0000-000004060000}"/>
    <cellStyle name="40% - Cor2 2 5 3" xfId="6668" xr:uid="{00000000-0005-0000-0000-000005060000}"/>
    <cellStyle name="40% - Cor2 2 6" xfId="1767" xr:uid="{00000000-0005-0000-0000-000006060000}"/>
    <cellStyle name="40% - Cor2 2 6 2" xfId="5789" xr:uid="{00000000-0005-0000-0000-000007060000}"/>
    <cellStyle name="40% - Cor2 2 6 3" xfId="7014" xr:uid="{00000000-0005-0000-0000-000008060000}"/>
    <cellStyle name="40% - Cor2 2 7" xfId="5230" xr:uid="{00000000-0005-0000-0000-000009060000}"/>
    <cellStyle name="40% - Cor2 2 8" xfId="6440" xr:uid="{00000000-0005-0000-0000-00000A060000}"/>
    <cellStyle name="40% - Cor2 2 9" xfId="1188" xr:uid="{00000000-0005-0000-0000-00000B060000}"/>
    <cellStyle name="40% - Cor2 3" xfId="71" xr:uid="{00000000-0005-0000-0000-00000C060000}"/>
    <cellStyle name="40% - Cor2 3 2" xfId="1342" xr:uid="{00000000-0005-0000-0000-00000D060000}"/>
    <cellStyle name="40% - Cor2 3 2 2" xfId="1610" xr:uid="{00000000-0005-0000-0000-00000E060000}"/>
    <cellStyle name="40% - Cor2 3 2 2 2" xfId="5636" xr:uid="{00000000-0005-0000-0000-00000F060000}"/>
    <cellStyle name="40% - Cor2 3 2 2 3" xfId="6861" xr:uid="{00000000-0005-0000-0000-000010060000}"/>
    <cellStyle name="40% - Cor2 3 2 3" xfId="1811" xr:uid="{00000000-0005-0000-0000-000011060000}"/>
    <cellStyle name="40% - Cor2 3 2 3 2" xfId="5832" xr:uid="{00000000-0005-0000-0000-000012060000}"/>
    <cellStyle name="40% - Cor2 3 2 3 3" xfId="7058" xr:uid="{00000000-0005-0000-0000-000013060000}"/>
    <cellStyle name="40% - Cor2 3 2 4" xfId="1927" xr:uid="{00000000-0005-0000-0000-000014060000}"/>
    <cellStyle name="40% - Cor2 3 2 4 2" xfId="5947" xr:uid="{00000000-0005-0000-0000-000015060000}"/>
    <cellStyle name="40% - Cor2 3 2 4 3" xfId="7174" xr:uid="{00000000-0005-0000-0000-000016060000}"/>
    <cellStyle name="40% - Cor2 3 2 5" xfId="5376" xr:uid="{00000000-0005-0000-0000-000017060000}"/>
    <cellStyle name="40% - Cor2 3 2 6" xfId="6594" xr:uid="{00000000-0005-0000-0000-000018060000}"/>
    <cellStyle name="40% - Cor2 3 3" xfId="1497" xr:uid="{00000000-0005-0000-0000-000019060000}"/>
    <cellStyle name="40% - Cor2 3 3 2" xfId="5525" xr:uid="{00000000-0005-0000-0000-00001A060000}"/>
    <cellStyle name="40% - Cor2 3 3 3" xfId="6749" xr:uid="{00000000-0005-0000-0000-00001B060000}"/>
    <cellStyle name="40% - Cor2 3 4" xfId="1704" xr:uid="{00000000-0005-0000-0000-00001C060000}"/>
    <cellStyle name="40% - Cor2 3 4 2" xfId="5726" xr:uid="{00000000-0005-0000-0000-00001D060000}"/>
    <cellStyle name="40% - Cor2 3 4 3" xfId="6951" xr:uid="{00000000-0005-0000-0000-00001E060000}"/>
    <cellStyle name="40% - Cor2 3 5" xfId="1914" xr:uid="{00000000-0005-0000-0000-00001F060000}"/>
    <cellStyle name="40% - Cor2 3 5 2" xfId="5934" xr:uid="{00000000-0005-0000-0000-000020060000}"/>
    <cellStyle name="40% - Cor2 3 5 3" xfId="7161" xr:uid="{00000000-0005-0000-0000-000021060000}"/>
    <cellStyle name="40% - Cor2 3 6" xfId="5266" xr:uid="{00000000-0005-0000-0000-000022060000}"/>
    <cellStyle name="40% - Cor2 3 7" xfId="6479" xr:uid="{00000000-0005-0000-0000-000023060000}"/>
    <cellStyle name="40% - Cor2 3 8" xfId="1227" xr:uid="{00000000-0005-0000-0000-000024060000}"/>
    <cellStyle name="40% - Cor2 4" xfId="72" xr:uid="{00000000-0005-0000-0000-000025060000}"/>
    <cellStyle name="40% - Cor2 4 2" xfId="1498" xr:uid="{00000000-0005-0000-0000-000026060000}"/>
    <cellStyle name="40% - Cor2 4 2 2" xfId="5526" xr:uid="{00000000-0005-0000-0000-000027060000}"/>
    <cellStyle name="40% - Cor2 4 2 3" xfId="6750" xr:uid="{00000000-0005-0000-0000-000028060000}"/>
    <cellStyle name="40% - Cor2 4 3" xfId="1705" xr:uid="{00000000-0005-0000-0000-000029060000}"/>
    <cellStyle name="40% - Cor2 4 3 2" xfId="5727" xr:uid="{00000000-0005-0000-0000-00002A060000}"/>
    <cellStyle name="40% - Cor2 4 3 3" xfId="6952" xr:uid="{00000000-0005-0000-0000-00002B060000}"/>
    <cellStyle name="40% - Cor2 4 4" xfId="1968" xr:uid="{00000000-0005-0000-0000-00002C060000}"/>
    <cellStyle name="40% - Cor2 4 4 2" xfId="5988" xr:uid="{00000000-0005-0000-0000-00002D060000}"/>
    <cellStyle name="40% - Cor2 4 4 3" xfId="7215" xr:uid="{00000000-0005-0000-0000-00002E060000}"/>
    <cellStyle name="40% - Cor2 4 5" xfId="5267" xr:uid="{00000000-0005-0000-0000-00002F060000}"/>
    <cellStyle name="40% - Cor2 4 6" xfId="6480" xr:uid="{00000000-0005-0000-0000-000030060000}"/>
    <cellStyle name="40% - Cor2 4 7" xfId="1228" xr:uid="{00000000-0005-0000-0000-000031060000}"/>
    <cellStyle name="40% - Cor2 5" xfId="1379" xr:uid="{00000000-0005-0000-0000-000032060000}"/>
    <cellStyle name="40% - Cor2 5 2" xfId="1649" xr:uid="{00000000-0005-0000-0000-000033060000}"/>
    <cellStyle name="40% - Cor2 5 2 2" xfId="5673" xr:uid="{00000000-0005-0000-0000-000034060000}"/>
    <cellStyle name="40% - Cor2 5 2 3" xfId="6898" xr:uid="{00000000-0005-0000-0000-000035060000}"/>
    <cellStyle name="40% - Cor2 5 3" xfId="1845" xr:uid="{00000000-0005-0000-0000-000036060000}"/>
    <cellStyle name="40% - Cor2 5 3 2" xfId="5866" xr:uid="{00000000-0005-0000-0000-000037060000}"/>
    <cellStyle name="40% - Cor2 5 3 3" xfId="7092" xr:uid="{00000000-0005-0000-0000-000038060000}"/>
    <cellStyle name="40% - Cor2 5 4" xfId="2030" xr:uid="{00000000-0005-0000-0000-000039060000}"/>
    <cellStyle name="40% - Cor2 5 4 2" xfId="6049" xr:uid="{00000000-0005-0000-0000-00003A060000}"/>
    <cellStyle name="40% - Cor2 5 4 3" xfId="7277" xr:uid="{00000000-0005-0000-0000-00003B060000}"/>
    <cellStyle name="40% - Cor2 5 5" xfId="5410" xr:uid="{00000000-0005-0000-0000-00003C060000}"/>
    <cellStyle name="40% - Cor2 5 6" xfId="6631" xr:uid="{00000000-0005-0000-0000-00003D060000}"/>
    <cellStyle name="40% - Cor2 6" xfId="1393" xr:uid="{00000000-0005-0000-0000-00003E060000}"/>
    <cellStyle name="40% - Cor2 6 2" xfId="1663" xr:uid="{00000000-0005-0000-0000-00003F060000}"/>
    <cellStyle name="40% - Cor2 6 2 2" xfId="5687" xr:uid="{00000000-0005-0000-0000-000040060000}"/>
    <cellStyle name="40% - Cor2 6 2 3" xfId="6912" xr:uid="{00000000-0005-0000-0000-000041060000}"/>
    <cellStyle name="40% - Cor2 6 3" xfId="1859" xr:uid="{00000000-0005-0000-0000-000042060000}"/>
    <cellStyle name="40% - Cor2 6 3 2" xfId="5880" xr:uid="{00000000-0005-0000-0000-000043060000}"/>
    <cellStyle name="40% - Cor2 6 3 3" xfId="7106" xr:uid="{00000000-0005-0000-0000-000044060000}"/>
    <cellStyle name="40% - Cor2 6 4" xfId="2044" xr:uid="{00000000-0005-0000-0000-000045060000}"/>
    <cellStyle name="40% - Cor2 6 4 2" xfId="6063" xr:uid="{00000000-0005-0000-0000-000046060000}"/>
    <cellStyle name="40% - Cor2 6 4 3" xfId="7291" xr:uid="{00000000-0005-0000-0000-000047060000}"/>
    <cellStyle name="40% - Cor2 6 5" xfId="5424" xr:uid="{00000000-0005-0000-0000-000048060000}"/>
    <cellStyle name="40% - Cor2 6 6" xfId="6645" xr:uid="{00000000-0005-0000-0000-000049060000}"/>
    <cellStyle name="40% - Cor2 7" xfId="1422" xr:uid="{00000000-0005-0000-0000-00004A060000}"/>
    <cellStyle name="40% - Cor2 7 2" xfId="1883" xr:uid="{00000000-0005-0000-0000-00004B060000}"/>
    <cellStyle name="40% - Cor2 7 2 2" xfId="5903" xr:uid="{00000000-0005-0000-0000-00004C060000}"/>
    <cellStyle name="40% - Cor2 7 2 3" xfId="7130" xr:uid="{00000000-0005-0000-0000-00004D060000}"/>
    <cellStyle name="40% - Cor2 7 3" xfId="2056" xr:uid="{00000000-0005-0000-0000-00004E060000}"/>
    <cellStyle name="40% - Cor2 7 3 2" xfId="6075" xr:uid="{00000000-0005-0000-0000-00004F060000}"/>
    <cellStyle name="40% - Cor2 7 3 3" xfId="7303" xr:uid="{00000000-0005-0000-0000-000050060000}"/>
    <cellStyle name="40% - Cor2 7 4" xfId="5452" xr:uid="{00000000-0005-0000-0000-000051060000}"/>
    <cellStyle name="40% - Cor2 7 5" xfId="6674" xr:uid="{00000000-0005-0000-0000-000052060000}"/>
    <cellStyle name="40% - Cor2 8" xfId="1480" xr:uid="{00000000-0005-0000-0000-000053060000}"/>
    <cellStyle name="40% - Cor2 8 2" xfId="2068" xr:uid="{00000000-0005-0000-0000-000054060000}"/>
    <cellStyle name="40% - Cor2 8 2 2" xfId="6087" xr:uid="{00000000-0005-0000-0000-000055060000}"/>
    <cellStyle name="40% - Cor2 8 2 3" xfId="7315" xr:uid="{00000000-0005-0000-0000-000056060000}"/>
    <cellStyle name="40% - Cor2 8 3" xfId="5508" xr:uid="{00000000-0005-0000-0000-000057060000}"/>
    <cellStyle name="40% - Cor2 8 4" xfId="6732" xr:uid="{00000000-0005-0000-0000-000058060000}"/>
    <cellStyle name="40% - Cor2 9" xfId="1897" xr:uid="{00000000-0005-0000-0000-000059060000}"/>
    <cellStyle name="40% - Cor2 9 2" xfId="5917" xr:uid="{00000000-0005-0000-0000-00005A060000}"/>
    <cellStyle name="40% - Cor2 9 3" xfId="7144" xr:uid="{00000000-0005-0000-0000-00005B060000}"/>
    <cellStyle name="40% - Cor3 10" xfId="6306" xr:uid="{00000000-0005-0000-0000-00005C060000}"/>
    <cellStyle name="40% - Cor3 11" xfId="1024" xr:uid="{00000000-0005-0000-0000-00005D060000}"/>
    <cellStyle name="40% - Cor3 2" xfId="73" xr:uid="{00000000-0005-0000-0000-00005E060000}"/>
    <cellStyle name="40% - Cor3 2 2" xfId="1263" xr:uid="{00000000-0005-0000-0000-00005F060000}"/>
    <cellStyle name="40% - Cor3 2 2 2" xfId="1534" xr:uid="{00000000-0005-0000-0000-000060060000}"/>
    <cellStyle name="40% - Cor3 2 2 2 2" xfId="5561" xr:uid="{00000000-0005-0000-0000-000061060000}"/>
    <cellStyle name="40% - Cor3 2 2 2 3" xfId="6786" xr:uid="{00000000-0005-0000-0000-000062060000}"/>
    <cellStyle name="40% - Cor3 2 2 3" xfId="1739" xr:uid="{00000000-0005-0000-0000-000063060000}"/>
    <cellStyle name="40% - Cor3 2 2 3 2" xfId="5761" xr:uid="{00000000-0005-0000-0000-000064060000}"/>
    <cellStyle name="40% - Cor3 2 2 3 3" xfId="6986" xr:uid="{00000000-0005-0000-0000-000065060000}"/>
    <cellStyle name="40% - Cor3 2 2 4" xfId="1517" xr:uid="{00000000-0005-0000-0000-000066060000}"/>
    <cellStyle name="40% - Cor3 2 2 4 2" xfId="5545" xr:uid="{00000000-0005-0000-0000-000067060000}"/>
    <cellStyle name="40% - Cor3 2 2 4 3" xfId="6769" xr:uid="{00000000-0005-0000-0000-000068060000}"/>
    <cellStyle name="40% - Cor3 2 2 5" xfId="5300" xr:uid="{00000000-0005-0000-0000-000069060000}"/>
    <cellStyle name="40% - Cor3 2 2 6" xfId="6515" xr:uid="{00000000-0005-0000-0000-00006A060000}"/>
    <cellStyle name="40% - Cor3 2 3" xfId="1310" xr:uid="{00000000-0005-0000-0000-00006B060000}"/>
    <cellStyle name="40% - Cor3 2 3 2" xfId="1579" xr:uid="{00000000-0005-0000-0000-00006C060000}"/>
    <cellStyle name="40% - Cor3 2 3 2 2" xfId="5605" xr:uid="{00000000-0005-0000-0000-00006D060000}"/>
    <cellStyle name="40% - Cor3 2 3 2 3" xfId="6830" xr:uid="{00000000-0005-0000-0000-00006E060000}"/>
    <cellStyle name="40% - Cor3 2 3 3" xfId="1783" xr:uid="{00000000-0005-0000-0000-00006F060000}"/>
    <cellStyle name="40% - Cor3 2 3 3 2" xfId="5804" xr:uid="{00000000-0005-0000-0000-000070060000}"/>
    <cellStyle name="40% - Cor3 2 3 3 3" xfId="7030" xr:uid="{00000000-0005-0000-0000-000071060000}"/>
    <cellStyle name="40% - Cor3 2 3 4" xfId="1923" xr:uid="{00000000-0005-0000-0000-000072060000}"/>
    <cellStyle name="40% - Cor3 2 3 4 2" xfId="5943" xr:uid="{00000000-0005-0000-0000-000073060000}"/>
    <cellStyle name="40% - Cor3 2 3 4 3" xfId="7170" xr:uid="{00000000-0005-0000-0000-000074060000}"/>
    <cellStyle name="40% - Cor3 2 3 5" xfId="5346" xr:uid="{00000000-0005-0000-0000-000075060000}"/>
    <cellStyle name="40% - Cor3 2 3 6" xfId="6562" xr:uid="{00000000-0005-0000-0000-000076060000}"/>
    <cellStyle name="40% - Cor3 2 4" xfId="1459" xr:uid="{00000000-0005-0000-0000-000077060000}"/>
    <cellStyle name="40% - Cor3 2 4 2" xfId="5487" xr:uid="{00000000-0005-0000-0000-000078060000}"/>
    <cellStyle name="40% - Cor3 2 4 3" xfId="6711" xr:uid="{00000000-0005-0000-0000-000079060000}"/>
    <cellStyle name="40% - Cor3 2 5" xfId="1412" xr:uid="{00000000-0005-0000-0000-00007A060000}"/>
    <cellStyle name="40% - Cor3 2 5 2" xfId="5442" xr:uid="{00000000-0005-0000-0000-00007B060000}"/>
    <cellStyle name="40% - Cor3 2 5 3" xfId="6664" xr:uid="{00000000-0005-0000-0000-00007C060000}"/>
    <cellStyle name="40% - Cor3 2 6" xfId="1761" xr:uid="{00000000-0005-0000-0000-00007D060000}"/>
    <cellStyle name="40% - Cor3 2 6 2" xfId="5783" xr:uid="{00000000-0005-0000-0000-00007E060000}"/>
    <cellStyle name="40% - Cor3 2 6 3" xfId="7008" xr:uid="{00000000-0005-0000-0000-00007F060000}"/>
    <cellStyle name="40% - Cor3 2 7" xfId="5232" xr:uid="{00000000-0005-0000-0000-000080060000}"/>
    <cellStyle name="40% - Cor3 2 8" xfId="6442" xr:uid="{00000000-0005-0000-0000-000081060000}"/>
    <cellStyle name="40% - Cor3 2 9" xfId="1190" xr:uid="{00000000-0005-0000-0000-000082060000}"/>
    <cellStyle name="40% - Cor3 3" xfId="74" xr:uid="{00000000-0005-0000-0000-000083060000}"/>
    <cellStyle name="40% - Cor3 3 2" xfId="1344" xr:uid="{00000000-0005-0000-0000-000084060000}"/>
    <cellStyle name="40% - Cor3 3 2 2" xfId="1612" xr:uid="{00000000-0005-0000-0000-000085060000}"/>
    <cellStyle name="40% - Cor3 3 2 2 2" xfId="5638" xr:uid="{00000000-0005-0000-0000-000086060000}"/>
    <cellStyle name="40% - Cor3 3 2 2 3" xfId="6863" xr:uid="{00000000-0005-0000-0000-000087060000}"/>
    <cellStyle name="40% - Cor3 3 2 3" xfId="1813" xr:uid="{00000000-0005-0000-0000-000088060000}"/>
    <cellStyle name="40% - Cor3 3 2 3 2" xfId="5834" xr:uid="{00000000-0005-0000-0000-000089060000}"/>
    <cellStyle name="40% - Cor3 3 2 3 3" xfId="7060" xr:uid="{00000000-0005-0000-0000-00008A060000}"/>
    <cellStyle name="40% - Cor3 3 2 4" xfId="1903" xr:uid="{00000000-0005-0000-0000-00008B060000}"/>
    <cellStyle name="40% - Cor3 3 2 4 2" xfId="5923" xr:uid="{00000000-0005-0000-0000-00008C060000}"/>
    <cellStyle name="40% - Cor3 3 2 4 3" xfId="7150" xr:uid="{00000000-0005-0000-0000-00008D060000}"/>
    <cellStyle name="40% - Cor3 3 2 5" xfId="5378" xr:uid="{00000000-0005-0000-0000-00008E060000}"/>
    <cellStyle name="40% - Cor3 3 2 6" xfId="6596" xr:uid="{00000000-0005-0000-0000-00008F060000}"/>
    <cellStyle name="40% - Cor3 3 3" xfId="1500" xr:uid="{00000000-0005-0000-0000-000090060000}"/>
    <cellStyle name="40% - Cor3 3 3 2" xfId="5528" xr:uid="{00000000-0005-0000-0000-000091060000}"/>
    <cellStyle name="40% - Cor3 3 3 3" xfId="6752" xr:uid="{00000000-0005-0000-0000-000092060000}"/>
    <cellStyle name="40% - Cor3 3 4" xfId="1707" xr:uid="{00000000-0005-0000-0000-000093060000}"/>
    <cellStyle name="40% - Cor3 3 4 2" xfId="5729" xr:uid="{00000000-0005-0000-0000-000094060000}"/>
    <cellStyle name="40% - Cor3 3 4 3" xfId="6954" xr:uid="{00000000-0005-0000-0000-000095060000}"/>
    <cellStyle name="40% - Cor3 3 5" xfId="1913" xr:uid="{00000000-0005-0000-0000-000096060000}"/>
    <cellStyle name="40% - Cor3 3 5 2" xfId="5933" xr:uid="{00000000-0005-0000-0000-000097060000}"/>
    <cellStyle name="40% - Cor3 3 5 3" xfId="7160" xr:uid="{00000000-0005-0000-0000-000098060000}"/>
    <cellStyle name="40% - Cor3 3 6" xfId="5269" xr:uid="{00000000-0005-0000-0000-000099060000}"/>
    <cellStyle name="40% - Cor3 3 7" xfId="6482" xr:uid="{00000000-0005-0000-0000-00009A060000}"/>
    <cellStyle name="40% - Cor3 3 8" xfId="1230" xr:uid="{00000000-0005-0000-0000-00009B060000}"/>
    <cellStyle name="40% - Cor3 4" xfId="75" xr:uid="{00000000-0005-0000-0000-00009C060000}"/>
    <cellStyle name="40% - Cor3 4 2" xfId="1491" xr:uid="{00000000-0005-0000-0000-00009D060000}"/>
    <cellStyle name="40% - Cor3 4 2 2" xfId="5519" xr:uid="{00000000-0005-0000-0000-00009E060000}"/>
    <cellStyle name="40% - Cor3 4 2 3" xfId="6743" xr:uid="{00000000-0005-0000-0000-00009F060000}"/>
    <cellStyle name="40% - Cor3 4 3" xfId="1698" xr:uid="{00000000-0005-0000-0000-0000A0060000}"/>
    <cellStyle name="40% - Cor3 4 3 2" xfId="5720" xr:uid="{00000000-0005-0000-0000-0000A1060000}"/>
    <cellStyle name="40% - Cor3 4 3 3" xfId="6945" xr:uid="{00000000-0005-0000-0000-0000A2060000}"/>
    <cellStyle name="40% - Cor3 4 4" xfId="1988" xr:uid="{00000000-0005-0000-0000-0000A3060000}"/>
    <cellStyle name="40% - Cor3 4 4 2" xfId="6007" xr:uid="{00000000-0005-0000-0000-0000A4060000}"/>
    <cellStyle name="40% - Cor3 4 4 3" xfId="7235" xr:uid="{00000000-0005-0000-0000-0000A5060000}"/>
    <cellStyle name="40% - Cor3 4 5" xfId="5260" xr:uid="{00000000-0005-0000-0000-0000A6060000}"/>
    <cellStyle name="40% - Cor3 4 6" xfId="6473" xr:uid="{00000000-0005-0000-0000-0000A7060000}"/>
    <cellStyle name="40% - Cor3 4 7" xfId="1221" xr:uid="{00000000-0005-0000-0000-0000A8060000}"/>
    <cellStyle name="40% - Cor3 5" xfId="1381" xr:uid="{00000000-0005-0000-0000-0000A9060000}"/>
    <cellStyle name="40% - Cor3 5 2" xfId="1651" xr:uid="{00000000-0005-0000-0000-0000AA060000}"/>
    <cellStyle name="40% - Cor3 5 2 2" xfId="5675" xr:uid="{00000000-0005-0000-0000-0000AB060000}"/>
    <cellStyle name="40% - Cor3 5 2 3" xfId="6900" xr:uid="{00000000-0005-0000-0000-0000AC060000}"/>
    <cellStyle name="40% - Cor3 5 3" xfId="1847" xr:uid="{00000000-0005-0000-0000-0000AD060000}"/>
    <cellStyle name="40% - Cor3 5 3 2" xfId="5868" xr:uid="{00000000-0005-0000-0000-0000AE060000}"/>
    <cellStyle name="40% - Cor3 5 3 3" xfId="7094" xr:uid="{00000000-0005-0000-0000-0000AF060000}"/>
    <cellStyle name="40% - Cor3 5 4" xfId="2032" xr:uid="{00000000-0005-0000-0000-0000B0060000}"/>
    <cellStyle name="40% - Cor3 5 4 2" xfId="6051" xr:uid="{00000000-0005-0000-0000-0000B1060000}"/>
    <cellStyle name="40% - Cor3 5 4 3" xfId="7279" xr:uid="{00000000-0005-0000-0000-0000B2060000}"/>
    <cellStyle name="40% - Cor3 5 5" xfId="5412" xr:uid="{00000000-0005-0000-0000-0000B3060000}"/>
    <cellStyle name="40% - Cor3 5 6" xfId="6633" xr:uid="{00000000-0005-0000-0000-0000B4060000}"/>
    <cellStyle name="40% - Cor3 6" xfId="1395" xr:uid="{00000000-0005-0000-0000-0000B5060000}"/>
    <cellStyle name="40% - Cor3 6 2" xfId="1665" xr:uid="{00000000-0005-0000-0000-0000B6060000}"/>
    <cellStyle name="40% - Cor3 6 2 2" xfId="5689" xr:uid="{00000000-0005-0000-0000-0000B7060000}"/>
    <cellStyle name="40% - Cor3 6 2 3" xfId="6914" xr:uid="{00000000-0005-0000-0000-0000B8060000}"/>
    <cellStyle name="40% - Cor3 6 3" xfId="1861" xr:uid="{00000000-0005-0000-0000-0000B9060000}"/>
    <cellStyle name="40% - Cor3 6 3 2" xfId="5882" xr:uid="{00000000-0005-0000-0000-0000BA060000}"/>
    <cellStyle name="40% - Cor3 6 3 3" xfId="7108" xr:uid="{00000000-0005-0000-0000-0000BB060000}"/>
    <cellStyle name="40% - Cor3 6 4" xfId="2046" xr:uid="{00000000-0005-0000-0000-0000BC060000}"/>
    <cellStyle name="40% - Cor3 6 4 2" xfId="6065" xr:uid="{00000000-0005-0000-0000-0000BD060000}"/>
    <cellStyle name="40% - Cor3 6 4 3" xfId="7293" xr:uid="{00000000-0005-0000-0000-0000BE060000}"/>
    <cellStyle name="40% - Cor3 6 5" xfId="5426" xr:uid="{00000000-0005-0000-0000-0000BF060000}"/>
    <cellStyle name="40% - Cor3 6 6" xfId="6647" xr:uid="{00000000-0005-0000-0000-0000C0060000}"/>
    <cellStyle name="40% - Cor3 7" xfId="1425" xr:uid="{00000000-0005-0000-0000-0000C1060000}"/>
    <cellStyle name="40% - Cor3 7 2" xfId="1885" xr:uid="{00000000-0005-0000-0000-0000C2060000}"/>
    <cellStyle name="40% - Cor3 7 2 2" xfId="5905" xr:uid="{00000000-0005-0000-0000-0000C3060000}"/>
    <cellStyle name="40% - Cor3 7 2 3" xfId="7132" xr:uid="{00000000-0005-0000-0000-0000C4060000}"/>
    <cellStyle name="40% - Cor3 7 3" xfId="2058" xr:uid="{00000000-0005-0000-0000-0000C5060000}"/>
    <cellStyle name="40% - Cor3 7 3 2" xfId="6077" xr:uid="{00000000-0005-0000-0000-0000C6060000}"/>
    <cellStyle name="40% - Cor3 7 3 3" xfId="7305" xr:uid="{00000000-0005-0000-0000-0000C7060000}"/>
    <cellStyle name="40% - Cor3 7 4" xfId="5455" xr:uid="{00000000-0005-0000-0000-0000C8060000}"/>
    <cellStyle name="40% - Cor3 7 5" xfId="6677" xr:uid="{00000000-0005-0000-0000-0000C9060000}"/>
    <cellStyle name="40% - Cor3 8" xfId="1515" xr:uid="{00000000-0005-0000-0000-0000CA060000}"/>
    <cellStyle name="40% - Cor3 8 2" xfId="2069" xr:uid="{00000000-0005-0000-0000-0000CB060000}"/>
    <cellStyle name="40% - Cor3 8 2 2" xfId="6088" xr:uid="{00000000-0005-0000-0000-0000CC060000}"/>
    <cellStyle name="40% - Cor3 8 2 3" xfId="7316" xr:uid="{00000000-0005-0000-0000-0000CD060000}"/>
    <cellStyle name="40% - Cor3 8 3" xfId="5543" xr:uid="{00000000-0005-0000-0000-0000CE060000}"/>
    <cellStyle name="40% - Cor3 8 4" xfId="6767" xr:uid="{00000000-0005-0000-0000-0000CF060000}"/>
    <cellStyle name="40% - Cor3 9" xfId="1966" xr:uid="{00000000-0005-0000-0000-0000D0060000}"/>
    <cellStyle name="40% - Cor3 9 2" xfId="5986" xr:uid="{00000000-0005-0000-0000-0000D1060000}"/>
    <cellStyle name="40% - Cor3 9 3" xfId="7213" xr:uid="{00000000-0005-0000-0000-0000D2060000}"/>
    <cellStyle name="40% - Cor4 10" xfId="6310" xr:uid="{00000000-0005-0000-0000-0000D3060000}"/>
    <cellStyle name="40% - Cor4 11" xfId="1028" xr:uid="{00000000-0005-0000-0000-0000D4060000}"/>
    <cellStyle name="40% - Cor4 2" xfId="76" xr:uid="{00000000-0005-0000-0000-0000D5060000}"/>
    <cellStyle name="40% - Cor4 2 2" xfId="1265" xr:uid="{00000000-0005-0000-0000-0000D6060000}"/>
    <cellStyle name="40% - Cor4 2 2 2" xfId="1536" xr:uid="{00000000-0005-0000-0000-0000D7060000}"/>
    <cellStyle name="40% - Cor4 2 2 2 2" xfId="5563" xr:uid="{00000000-0005-0000-0000-0000D8060000}"/>
    <cellStyle name="40% - Cor4 2 2 2 3" xfId="6788" xr:uid="{00000000-0005-0000-0000-0000D9060000}"/>
    <cellStyle name="40% - Cor4 2 2 3" xfId="1741" xr:uid="{00000000-0005-0000-0000-0000DA060000}"/>
    <cellStyle name="40% - Cor4 2 2 3 2" xfId="5763" xr:uid="{00000000-0005-0000-0000-0000DB060000}"/>
    <cellStyle name="40% - Cor4 2 2 3 3" xfId="6988" xr:uid="{00000000-0005-0000-0000-0000DC060000}"/>
    <cellStyle name="40% - Cor4 2 2 4" xfId="1636" xr:uid="{00000000-0005-0000-0000-0000DD060000}"/>
    <cellStyle name="40% - Cor4 2 2 4 2" xfId="5662" xr:uid="{00000000-0005-0000-0000-0000DE060000}"/>
    <cellStyle name="40% - Cor4 2 2 4 3" xfId="6887" xr:uid="{00000000-0005-0000-0000-0000DF060000}"/>
    <cellStyle name="40% - Cor4 2 2 5" xfId="5302" xr:uid="{00000000-0005-0000-0000-0000E0060000}"/>
    <cellStyle name="40% - Cor4 2 2 6" xfId="6517" xr:uid="{00000000-0005-0000-0000-0000E1060000}"/>
    <cellStyle name="40% - Cor4 2 3" xfId="1312" xr:uid="{00000000-0005-0000-0000-0000E2060000}"/>
    <cellStyle name="40% - Cor4 2 3 2" xfId="1581" xr:uid="{00000000-0005-0000-0000-0000E3060000}"/>
    <cellStyle name="40% - Cor4 2 3 2 2" xfId="5607" xr:uid="{00000000-0005-0000-0000-0000E4060000}"/>
    <cellStyle name="40% - Cor4 2 3 2 3" xfId="6832" xr:uid="{00000000-0005-0000-0000-0000E5060000}"/>
    <cellStyle name="40% - Cor4 2 3 3" xfId="1785" xr:uid="{00000000-0005-0000-0000-0000E6060000}"/>
    <cellStyle name="40% - Cor4 2 3 3 2" xfId="5806" xr:uid="{00000000-0005-0000-0000-0000E7060000}"/>
    <cellStyle name="40% - Cor4 2 3 3 3" xfId="7032" xr:uid="{00000000-0005-0000-0000-0000E8060000}"/>
    <cellStyle name="40% - Cor4 2 3 4" xfId="1901" xr:uid="{00000000-0005-0000-0000-0000E9060000}"/>
    <cellStyle name="40% - Cor4 2 3 4 2" xfId="5921" xr:uid="{00000000-0005-0000-0000-0000EA060000}"/>
    <cellStyle name="40% - Cor4 2 3 4 3" xfId="7148" xr:uid="{00000000-0005-0000-0000-0000EB060000}"/>
    <cellStyle name="40% - Cor4 2 3 5" xfId="5348" xr:uid="{00000000-0005-0000-0000-0000EC060000}"/>
    <cellStyle name="40% - Cor4 2 3 6" xfId="6564" xr:uid="{00000000-0005-0000-0000-0000ED060000}"/>
    <cellStyle name="40% - Cor4 2 4" xfId="1461" xr:uid="{00000000-0005-0000-0000-0000EE060000}"/>
    <cellStyle name="40% - Cor4 2 4 2" xfId="5489" xr:uid="{00000000-0005-0000-0000-0000EF060000}"/>
    <cellStyle name="40% - Cor4 2 4 3" xfId="6713" xr:uid="{00000000-0005-0000-0000-0000F0060000}"/>
    <cellStyle name="40% - Cor4 2 5" xfId="1405" xr:uid="{00000000-0005-0000-0000-0000F1060000}"/>
    <cellStyle name="40% - Cor4 2 5 2" xfId="5436" xr:uid="{00000000-0005-0000-0000-0000F2060000}"/>
    <cellStyle name="40% - Cor4 2 5 3" xfId="6657" xr:uid="{00000000-0005-0000-0000-0000F3060000}"/>
    <cellStyle name="40% - Cor4 2 6" xfId="1830" xr:uid="{00000000-0005-0000-0000-0000F4060000}"/>
    <cellStyle name="40% - Cor4 2 6 2" xfId="5851" xr:uid="{00000000-0005-0000-0000-0000F5060000}"/>
    <cellStyle name="40% - Cor4 2 6 3" xfId="7077" xr:uid="{00000000-0005-0000-0000-0000F6060000}"/>
    <cellStyle name="40% - Cor4 2 7" xfId="5234" xr:uid="{00000000-0005-0000-0000-0000F7060000}"/>
    <cellStyle name="40% - Cor4 2 8" xfId="6444" xr:uid="{00000000-0005-0000-0000-0000F8060000}"/>
    <cellStyle name="40% - Cor4 2 9" xfId="1192" xr:uid="{00000000-0005-0000-0000-0000F9060000}"/>
    <cellStyle name="40% - Cor4 3" xfId="77" xr:uid="{00000000-0005-0000-0000-0000FA060000}"/>
    <cellStyle name="40% - Cor4 3 2" xfId="1346" xr:uid="{00000000-0005-0000-0000-0000FB060000}"/>
    <cellStyle name="40% - Cor4 3 2 2" xfId="1614" xr:uid="{00000000-0005-0000-0000-0000FC060000}"/>
    <cellStyle name="40% - Cor4 3 2 2 2" xfId="5640" xr:uid="{00000000-0005-0000-0000-0000FD060000}"/>
    <cellStyle name="40% - Cor4 3 2 2 3" xfId="6865" xr:uid="{00000000-0005-0000-0000-0000FE060000}"/>
    <cellStyle name="40% - Cor4 3 2 3" xfId="1815" xr:uid="{00000000-0005-0000-0000-0000FF060000}"/>
    <cellStyle name="40% - Cor4 3 2 3 2" xfId="5836" xr:uid="{00000000-0005-0000-0000-000000070000}"/>
    <cellStyle name="40% - Cor4 3 2 3 3" xfId="7062" xr:uid="{00000000-0005-0000-0000-000001070000}"/>
    <cellStyle name="40% - Cor4 3 2 4" xfId="1942" xr:uid="{00000000-0005-0000-0000-000002070000}"/>
    <cellStyle name="40% - Cor4 3 2 4 2" xfId="5962" xr:uid="{00000000-0005-0000-0000-000003070000}"/>
    <cellStyle name="40% - Cor4 3 2 4 3" xfId="7189" xr:uid="{00000000-0005-0000-0000-000004070000}"/>
    <cellStyle name="40% - Cor4 3 2 5" xfId="5380" xr:uid="{00000000-0005-0000-0000-000005070000}"/>
    <cellStyle name="40% - Cor4 3 2 6" xfId="6598" xr:uid="{00000000-0005-0000-0000-000006070000}"/>
    <cellStyle name="40% - Cor4 3 3" xfId="1504" xr:uid="{00000000-0005-0000-0000-000007070000}"/>
    <cellStyle name="40% - Cor4 3 3 2" xfId="5532" xr:uid="{00000000-0005-0000-0000-000008070000}"/>
    <cellStyle name="40% - Cor4 3 3 3" xfId="6756" xr:uid="{00000000-0005-0000-0000-000009070000}"/>
    <cellStyle name="40% - Cor4 3 4" xfId="1711" xr:uid="{00000000-0005-0000-0000-00000A070000}"/>
    <cellStyle name="40% - Cor4 3 4 2" xfId="5733" xr:uid="{00000000-0005-0000-0000-00000B070000}"/>
    <cellStyle name="40% - Cor4 3 4 3" xfId="6958" xr:uid="{00000000-0005-0000-0000-00000C070000}"/>
    <cellStyle name="40% - Cor4 3 5" xfId="1688" xr:uid="{00000000-0005-0000-0000-00000D070000}"/>
    <cellStyle name="40% - Cor4 3 5 2" xfId="5710" xr:uid="{00000000-0005-0000-0000-00000E070000}"/>
    <cellStyle name="40% - Cor4 3 5 3" xfId="6935" xr:uid="{00000000-0005-0000-0000-00000F070000}"/>
    <cellStyle name="40% - Cor4 3 6" xfId="5273" xr:uid="{00000000-0005-0000-0000-000010070000}"/>
    <cellStyle name="40% - Cor4 3 7" xfId="6486" xr:uid="{00000000-0005-0000-0000-000011070000}"/>
    <cellStyle name="40% - Cor4 3 8" xfId="1234" xr:uid="{00000000-0005-0000-0000-000012070000}"/>
    <cellStyle name="40% - Cor4 4" xfId="78" xr:uid="{00000000-0005-0000-0000-000013070000}"/>
    <cellStyle name="40% - Cor4 4 2" xfId="1487" xr:uid="{00000000-0005-0000-0000-000014070000}"/>
    <cellStyle name="40% - Cor4 4 2 2" xfId="5515" xr:uid="{00000000-0005-0000-0000-000015070000}"/>
    <cellStyle name="40% - Cor4 4 2 3" xfId="6739" xr:uid="{00000000-0005-0000-0000-000016070000}"/>
    <cellStyle name="40% - Cor4 4 3" xfId="1694" xr:uid="{00000000-0005-0000-0000-000017070000}"/>
    <cellStyle name="40% - Cor4 4 3 2" xfId="5716" xr:uid="{00000000-0005-0000-0000-000018070000}"/>
    <cellStyle name="40% - Cor4 4 3 3" xfId="6941" xr:uid="{00000000-0005-0000-0000-000019070000}"/>
    <cellStyle name="40% - Cor4 4 4" xfId="1916" xr:uid="{00000000-0005-0000-0000-00001A070000}"/>
    <cellStyle name="40% - Cor4 4 4 2" xfId="5936" xr:uid="{00000000-0005-0000-0000-00001B070000}"/>
    <cellStyle name="40% - Cor4 4 4 3" xfId="7163" xr:uid="{00000000-0005-0000-0000-00001C070000}"/>
    <cellStyle name="40% - Cor4 4 5" xfId="5256" xr:uid="{00000000-0005-0000-0000-00001D070000}"/>
    <cellStyle name="40% - Cor4 4 6" xfId="6469" xr:uid="{00000000-0005-0000-0000-00001E070000}"/>
    <cellStyle name="40% - Cor4 4 7" xfId="1217" xr:uid="{00000000-0005-0000-0000-00001F070000}"/>
    <cellStyle name="40% - Cor4 5" xfId="1383" xr:uid="{00000000-0005-0000-0000-000020070000}"/>
    <cellStyle name="40% - Cor4 5 2" xfId="1653" xr:uid="{00000000-0005-0000-0000-000021070000}"/>
    <cellStyle name="40% - Cor4 5 2 2" xfId="5677" xr:uid="{00000000-0005-0000-0000-000022070000}"/>
    <cellStyle name="40% - Cor4 5 2 3" xfId="6902" xr:uid="{00000000-0005-0000-0000-000023070000}"/>
    <cellStyle name="40% - Cor4 5 3" xfId="1849" xr:uid="{00000000-0005-0000-0000-000024070000}"/>
    <cellStyle name="40% - Cor4 5 3 2" xfId="5870" xr:uid="{00000000-0005-0000-0000-000025070000}"/>
    <cellStyle name="40% - Cor4 5 3 3" xfId="7096" xr:uid="{00000000-0005-0000-0000-000026070000}"/>
    <cellStyle name="40% - Cor4 5 4" xfId="2034" xr:uid="{00000000-0005-0000-0000-000027070000}"/>
    <cellStyle name="40% - Cor4 5 4 2" xfId="6053" xr:uid="{00000000-0005-0000-0000-000028070000}"/>
    <cellStyle name="40% - Cor4 5 4 3" xfId="7281" xr:uid="{00000000-0005-0000-0000-000029070000}"/>
    <cellStyle name="40% - Cor4 5 5" xfId="5414" xr:uid="{00000000-0005-0000-0000-00002A070000}"/>
    <cellStyle name="40% - Cor4 5 6" xfId="6635" xr:uid="{00000000-0005-0000-0000-00002B070000}"/>
    <cellStyle name="40% - Cor4 6" xfId="1397" xr:uid="{00000000-0005-0000-0000-00002C070000}"/>
    <cellStyle name="40% - Cor4 6 2" xfId="1667" xr:uid="{00000000-0005-0000-0000-00002D070000}"/>
    <cellStyle name="40% - Cor4 6 2 2" xfId="5691" xr:uid="{00000000-0005-0000-0000-00002E070000}"/>
    <cellStyle name="40% - Cor4 6 2 3" xfId="6916" xr:uid="{00000000-0005-0000-0000-00002F070000}"/>
    <cellStyle name="40% - Cor4 6 3" xfId="1863" xr:uid="{00000000-0005-0000-0000-000030070000}"/>
    <cellStyle name="40% - Cor4 6 3 2" xfId="5884" xr:uid="{00000000-0005-0000-0000-000031070000}"/>
    <cellStyle name="40% - Cor4 6 3 3" xfId="7110" xr:uid="{00000000-0005-0000-0000-000032070000}"/>
    <cellStyle name="40% - Cor4 6 4" xfId="2048" xr:uid="{00000000-0005-0000-0000-000033070000}"/>
    <cellStyle name="40% - Cor4 6 4 2" xfId="6067" xr:uid="{00000000-0005-0000-0000-000034070000}"/>
    <cellStyle name="40% - Cor4 6 4 3" xfId="7295" xr:uid="{00000000-0005-0000-0000-000035070000}"/>
    <cellStyle name="40% - Cor4 6 5" xfId="5428" xr:uid="{00000000-0005-0000-0000-000036070000}"/>
    <cellStyle name="40% - Cor4 6 6" xfId="6649" xr:uid="{00000000-0005-0000-0000-000037070000}"/>
    <cellStyle name="40% - Cor4 7" xfId="1429" xr:uid="{00000000-0005-0000-0000-000038070000}"/>
    <cellStyle name="40% - Cor4 7 2" xfId="1887" xr:uid="{00000000-0005-0000-0000-000039070000}"/>
    <cellStyle name="40% - Cor4 7 2 2" xfId="5907" xr:uid="{00000000-0005-0000-0000-00003A070000}"/>
    <cellStyle name="40% - Cor4 7 2 3" xfId="7134" xr:uid="{00000000-0005-0000-0000-00003B070000}"/>
    <cellStyle name="40% - Cor4 7 3" xfId="2060" xr:uid="{00000000-0005-0000-0000-00003C070000}"/>
    <cellStyle name="40% - Cor4 7 3 2" xfId="6079" xr:uid="{00000000-0005-0000-0000-00003D070000}"/>
    <cellStyle name="40% - Cor4 7 3 3" xfId="7307" xr:uid="{00000000-0005-0000-0000-00003E070000}"/>
    <cellStyle name="40% - Cor4 7 4" xfId="5459" xr:uid="{00000000-0005-0000-0000-00003F070000}"/>
    <cellStyle name="40% - Cor4 7 5" xfId="6681" xr:uid="{00000000-0005-0000-0000-000040070000}"/>
    <cellStyle name="40% - Cor4 8" xfId="1599" xr:uid="{00000000-0005-0000-0000-000041070000}"/>
    <cellStyle name="40% - Cor4 8 2" xfId="2074" xr:uid="{00000000-0005-0000-0000-000042070000}"/>
    <cellStyle name="40% - Cor4 8 2 2" xfId="6093" xr:uid="{00000000-0005-0000-0000-000043070000}"/>
    <cellStyle name="40% - Cor4 8 2 3" xfId="7321" xr:uid="{00000000-0005-0000-0000-000044070000}"/>
    <cellStyle name="40% - Cor4 8 3" xfId="5625" xr:uid="{00000000-0005-0000-0000-000045070000}"/>
    <cellStyle name="40% - Cor4 8 4" xfId="6850" xr:uid="{00000000-0005-0000-0000-000046070000}"/>
    <cellStyle name="40% - Cor4 9" xfId="1991" xr:uid="{00000000-0005-0000-0000-000047070000}"/>
    <cellStyle name="40% - Cor4 9 2" xfId="6010" xr:uid="{00000000-0005-0000-0000-000048070000}"/>
    <cellStyle name="40% - Cor4 9 3" xfId="7238" xr:uid="{00000000-0005-0000-0000-000049070000}"/>
    <cellStyle name="40% - Cor5 10" xfId="6314" xr:uid="{00000000-0005-0000-0000-00004A070000}"/>
    <cellStyle name="40% - Cor5 11" xfId="1032" xr:uid="{00000000-0005-0000-0000-00004B070000}"/>
    <cellStyle name="40% - Cor5 2" xfId="79" xr:uid="{00000000-0005-0000-0000-00004C070000}"/>
    <cellStyle name="40% - Cor5 2 2" xfId="1267" xr:uid="{00000000-0005-0000-0000-00004D070000}"/>
    <cellStyle name="40% - Cor5 2 2 2" xfId="1538" xr:uid="{00000000-0005-0000-0000-00004E070000}"/>
    <cellStyle name="40% - Cor5 2 2 2 2" xfId="5565" xr:uid="{00000000-0005-0000-0000-00004F070000}"/>
    <cellStyle name="40% - Cor5 2 2 2 3" xfId="6790" xr:uid="{00000000-0005-0000-0000-000050070000}"/>
    <cellStyle name="40% - Cor5 2 2 3" xfId="1743" xr:uid="{00000000-0005-0000-0000-000051070000}"/>
    <cellStyle name="40% - Cor5 2 2 3 2" xfId="5765" xr:uid="{00000000-0005-0000-0000-000052070000}"/>
    <cellStyle name="40% - Cor5 2 2 3 3" xfId="6990" xr:uid="{00000000-0005-0000-0000-000053070000}"/>
    <cellStyle name="40% - Cor5 2 2 4" xfId="1602" xr:uid="{00000000-0005-0000-0000-000054070000}"/>
    <cellStyle name="40% - Cor5 2 2 4 2" xfId="5628" xr:uid="{00000000-0005-0000-0000-000055070000}"/>
    <cellStyle name="40% - Cor5 2 2 4 3" xfId="6853" xr:uid="{00000000-0005-0000-0000-000056070000}"/>
    <cellStyle name="40% - Cor5 2 2 5" xfId="5304" xr:uid="{00000000-0005-0000-0000-000057070000}"/>
    <cellStyle name="40% - Cor5 2 2 6" xfId="6519" xr:uid="{00000000-0005-0000-0000-000058070000}"/>
    <cellStyle name="40% - Cor5 2 3" xfId="1314" xr:uid="{00000000-0005-0000-0000-000059070000}"/>
    <cellStyle name="40% - Cor5 2 3 2" xfId="1583" xr:uid="{00000000-0005-0000-0000-00005A070000}"/>
    <cellStyle name="40% - Cor5 2 3 2 2" xfId="5609" xr:uid="{00000000-0005-0000-0000-00005B070000}"/>
    <cellStyle name="40% - Cor5 2 3 2 3" xfId="6834" xr:uid="{00000000-0005-0000-0000-00005C070000}"/>
    <cellStyle name="40% - Cor5 2 3 3" xfId="1787" xr:uid="{00000000-0005-0000-0000-00005D070000}"/>
    <cellStyle name="40% - Cor5 2 3 3 2" xfId="5808" xr:uid="{00000000-0005-0000-0000-00005E070000}"/>
    <cellStyle name="40% - Cor5 2 3 3 3" xfId="7034" xr:uid="{00000000-0005-0000-0000-00005F070000}"/>
    <cellStyle name="40% - Cor5 2 3 4" xfId="1939" xr:uid="{00000000-0005-0000-0000-000060070000}"/>
    <cellStyle name="40% - Cor5 2 3 4 2" xfId="5959" xr:uid="{00000000-0005-0000-0000-000061070000}"/>
    <cellStyle name="40% - Cor5 2 3 4 3" xfId="7186" xr:uid="{00000000-0005-0000-0000-000062070000}"/>
    <cellStyle name="40% - Cor5 2 3 5" xfId="5350" xr:uid="{00000000-0005-0000-0000-000063070000}"/>
    <cellStyle name="40% - Cor5 2 3 6" xfId="6566" xr:uid="{00000000-0005-0000-0000-000064070000}"/>
    <cellStyle name="40% - Cor5 2 4" xfId="1463" xr:uid="{00000000-0005-0000-0000-000065070000}"/>
    <cellStyle name="40% - Cor5 2 4 2" xfId="5491" xr:uid="{00000000-0005-0000-0000-000066070000}"/>
    <cellStyle name="40% - Cor5 2 4 3" xfId="6715" xr:uid="{00000000-0005-0000-0000-000067070000}"/>
    <cellStyle name="40% - Cor5 2 5" xfId="1403" xr:uid="{00000000-0005-0000-0000-000068070000}"/>
    <cellStyle name="40% - Cor5 2 5 2" xfId="5434" xr:uid="{00000000-0005-0000-0000-000069070000}"/>
    <cellStyle name="40% - Cor5 2 5 3" xfId="6655" xr:uid="{00000000-0005-0000-0000-00006A070000}"/>
    <cellStyle name="40% - Cor5 2 6" xfId="1835" xr:uid="{00000000-0005-0000-0000-00006B070000}"/>
    <cellStyle name="40% - Cor5 2 6 2" xfId="5856" xr:uid="{00000000-0005-0000-0000-00006C070000}"/>
    <cellStyle name="40% - Cor5 2 6 3" xfId="7082" xr:uid="{00000000-0005-0000-0000-00006D070000}"/>
    <cellStyle name="40% - Cor5 2 7" xfId="5236" xr:uid="{00000000-0005-0000-0000-00006E070000}"/>
    <cellStyle name="40% - Cor5 2 8" xfId="6446" xr:uid="{00000000-0005-0000-0000-00006F070000}"/>
    <cellStyle name="40% - Cor5 2 9" xfId="1194" xr:uid="{00000000-0005-0000-0000-000070070000}"/>
    <cellStyle name="40% - Cor5 3" xfId="80" xr:uid="{00000000-0005-0000-0000-000071070000}"/>
    <cellStyle name="40% - Cor5 3 2" xfId="1348" xr:uid="{00000000-0005-0000-0000-000072070000}"/>
    <cellStyle name="40% - Cor5 3 2 2" xfId="1616" xr:uid="{00000000-0005-0000-0000-000073070000}"/>
    <cellStyle name="40% - Cor5 3 2 2 2" xfId="5642" xr:uid="{00000000-0005-0000-0000-000074070000}"/>
    <cellStyle name="40% - Cor5 3 2 2 3" xfId="6867" xr:uid="{00000000-0005-0000-0000-000075070000}"/>
    <cellStyle name="40% - Cor5 3 2 3" xfId="1817" xr:uid="{00000000-0005-0000-0000-000076070000}"/>
    <cellStyle name="40% - Cor5 3 2 3 2" xfId="5838" xr:uid="{00000000-0005-0000-0000-000077070000}"/>
    <cellStyle name="40% - Cor5 3 2 3 3" xfId="7064" xr:uid="{00000000-0005-0000-0000-000078070000}"/>
    <cellStyle name="40% - Cor5 3 2 4" xfId="1996" xr:uid="{00000000-0005-0000-0000-000079070000}"/>
    <cellStyle name="40% - Cor5 3 2 4 2" xfId="6015" xr:uid="{00000000-0005-0000-0000-00007A070000}"/>
    <cellStyle name="40% - Cor5 3 2 4 3" xfId="7243" xr:uid="{00000000-0005-0000-0000-00007B070000}"/>
    <cellStyle name="40% - Cor5 3 2 5" xfId="5382" xr:uid="{00000000-0005-0000-0000-00007C070000}"/>
    <cellStyle name="40% - Cor5 3 2 6" xfId="6600" xr:uid="{00000000-0005-0000-0000-00007D070000}"/>
    <cellStyle name="40% - Cor5 3 3" xfId="1507" xr:uid="{00000000-0005-0000-0000-00007E070000}"/>
    <cellStyle name="40% - Cor5 3 3 2" xfId="5535" xr:uid="{00000000-0005-0000-0000-00007F070000}"/>
    <cellStyle name="40% - Cor5 3 3 3" xfId="6759" xr:uid="{00000000-0005-0000-0000-000080070000}"/>
    <cellStyle name="40% - Cor5 3 4" xfId="1714" xr:uid="{00000000-0005-0000-0000-000081070000}"/>
    <cellStyle name="40% - Cor5 3 4 2" xfId="5736" xr:uid="{00000000-0005-0000-0000-000082070000}"/>
    <cellStyle name="40% - Cor5 3 4 3" xfId="6961" xr:uid="{00000000-0005-0000-0000-000083070000}"/>
    <cellStyle name="40% - Cor5 3 5" xfId="1938" xr:uid="{00000000-0005-0000-0000-000084070000}"/>
    <cellStyle name="40% - Cor5 3 5 2" xfId="5958" xr:uid="{00000000-0005-0000-0000-000085070000}"/>
    <cellStyle name="40% - Cor5 3 5 3" xfId="7185" xr:uid="{00000000-0005-0000-0000-000086070000}"/>
    <cellStyle name="40% - Cor5 3 6" xfId="5276" xr:uid="{00000000-0005-0000-0000-000087070000}"/>
    <cellStyle name="40% - Cor5 3 7" xfId="6489" xr:uid="{00000000-0005-0000-0000-000088070000}"/>
    <cellStyle name="40% - Cor5 3 8" xfId="1237" xr:uid="{00000000-0005-0000-0000-000089070000}"/>
    <cellStyle name="40% - Cor5 4" xfId="81" xr:uid="{00000000-0005-0000-0000-00008A070000}"/>
    <cellStyle name="40% - Cor5 4 2" xfId="1501" xr:uid="{00000000-0005-0000-0000-00008B070000}"/>
    <cellStyle name="40% - Cor5 4 2 2" xfId="5529" xr:uid="{00000000-0005-0000-0000-00008C070000}"/>
    <cellStyle name="40% - Cor5 4 2 3" xfId="6753" xr:uid="{00000000-0005-0000-0000-00008D070000}"/>
    <cellStyle name="40% - Cor5 4 3" xfId="1708" xr:uid="{00000000-0005-0000-0000-00008E070000}"/>
    <cellStyle name="40% - Cor5 4 3 2" xfId="5730" xr:uid="{00000000-0005-0000-0000-00008F070000}"/>
    <cellStyle name="40% - Cor5 4 3 3" xfId="6955" xr:uid="{00000000-0005-0000-0000-000090070000}"/>
    <cellStyle name="40% - Cor5 4 4" xfId="1967" xr:uid="{00000000-0005-0000-0000-000091070000}"/>
    <cellStyle name="40% - Cor5 4 4 2" xfId="5987" xr:uid="{00000000-0005-0000-0000-000092070000}"/>
    <cellStyle name="40% - Cor5 4 4 3" xfId="7214" xr:uid="{00000000-0005-0000-0000-000093070000}"/>
    <cellStyle name="40% - Cor5 4 5" xfId="5270" xr:uid="{00000000-0005-0000-0000-000094070000}"/>
    <cellStyle name="40% - Cor5 4 6" xfId="6483" xr:uid="{00000000-0005-0000-0000-000095070000}"/>
    <cellStyle name="40% - Cor5 4 7" xfId="1231" xr:uid="{00000000-0005-0000-0000-000096070000}"/>
    <cellStyle name="40% - Cor5 5" xfId="1385" xr:uid="{00000000-0005-0000-0000-000097070000}"/>
    <cellStyle name="40% - Cor5 5 2" xfId="1655" xr:uid="{00000000-0005-0000-0000-000098070000}"/>
    <cellStyle name="40% - Cor5 5 2 2" xfId="5679" xr:uid="{00000000-0005-0000-0000-000099070000}"/>
    <cellStyle name="40% - Cor5 5 2 3" xfId="6904" xr:uid="{00000000-0005-0000-0000-00009A070000}"/>
    <cellStyle name="40% - Cor5 5 3" xfId="1851" xr:uid="{00000000-0005-0000-0000-00009B070000}"/>
    <cellStyle name="40% - Cor5 5 3 2" xfId="5872" xr:uid="{00000000-0005-0000-0000-00009C070000}"/>
    <cellStyle name="40% - Cor5 5 3 3" xfId="7098" xr:uid="{00000000-0005-0000-0000-00009D070000}"/>
    <cellStyle name="40% - Cor5 5 4" xfId="2036" xr:uid="{00000000-0005-0000-0000-00009E070000}"/>
    <cellStyle name="40% - Cor5 5 4 2" xfId="6055" xr:uid="{00000000-0005-0000-0000-00009F070000}"/>
    <cellStyle name="40% - Cor5 5 4 3" xfId="7283" xr:uid="{00000000-0005-0000-0000-0000A0070000}"/>
    <cellStyle name="40% - Cor5 5 5" xfId="5416" xr:uid="{00000000-0005-0000-0000-0000A1070000}"/>
    <cellStyle name="40% - Cor5 5 6" xfId="6637" xr:uid="{00000000-0005-0000-0000-0000A2070000}"/>
    <cellStyle name="40% - Cor5 6" xfId="1399" xr:uid="{00000000-0005-0000-0000-0000A3070000}"/>
    <cellStyle name="40% - Cor5 6 2" xfId="1669" xr:uid="{00000000-0005-0000-0000-0000A4070000}"/>
    <cellStyle name="40% - Cor5 6 2 2" xfId="5693" xr:uid="{00000000-0005-0000-0000-0000A5070000}"/>
    <cellStyle name="40% - Cor5 6 2 3" xfId="6918" xr:uid="{00000000-0005-0000-0000-0000A6070000}"/>
    <cellStyle name="40% - Cor5 6 3" xfId="1865" xr:uid="{00000000-0005-0000-0000-0000A7070000}"/>
    <cellStyle name="40% - Cor5 6 3 2" xfId="5886" xr:uid="{00000000-0005-0000-0000-0000A8070000}"/>
    <cellStyle name="40% - Cor5 6 3 3" xfId="7112" xr:uid="{00000000-0005-0000-0000-0000A9070000}"/>
    <cellStyle name="40% - Cor5 6 4" xfId="2050" xr:uid="{00000000-0005-0000-0000-0000AA070000}"/>
    <cellStyle name="40% - Cor5 6 4 2" xfId="6069" xr:uid="{00000000-0005-0000-0000-0000AB070000}"/>
    <cellStyle name="40% - Cor5 6 4 3" xfId="7297" xr:uid="{00000000-0005-0000-0000-0000AC070000}"/>
    <cellStyle name="40% - Cor5 6 5" xfId="5430" xr:uid="{00000000-0005-0000-0000-0000AD070000}"/>
    <cellStyle name="40% - Cor5 6 6" xfId="6651" xr:uid="{00000000-0005-0000-0000-0000AE070000}"/>
    <cellStyle name="40% - Cor5 7" xfId="1433" xr:uid="{00000000-0005-0000-0000-0000AF070000}"/>
    <cellStyle name="40% - Cor5 7 2" xfId="1889" xr:uid="{00000000-0005-0000-0000-0000B0070000}"/>
    <cellStyle name="40% - Cor5 7 2 2" xfId="5909" xr:uid="{00000000-0005-0000-0000-0000B1070000}"/>
    <cellStyle name="40% - Cor5 7 2 3" xfId="7136" xr:uid="{00000000-0005-0000-0000-0000B2070000}"/>
    <cellStyle name="40% - Cor5 7 3" xfId="2062" xr:uid="{00000000-0005-0000-0000-0000B3070000}"/>
    <cellStyle name="40% - Cor5 7 3 2" xfId="6081" xr:uid="{00000000-0005-0000-0000-0000B4070000}"/>
    <cellStyle name="40% - Cor5 7 3 3" xfId="7309" xr:uid="{00000000-0005-0000-0000-0000B5070000}"/>
    <cellStyle name="40% - Cor5 7 4" xfId="5463" xr:uid="{00000000-0005-0000-0000-0000B6070000}"/>
    <cellStyle name="40% - Cor5 7 5" xfId="6685" xr:uid="{00000000-0005-0000-0000-0000B7070000}"/>
    <cellStyle name="40% - Cor5 8" xfId="1557" xr:uid="{00000000-0005-0000-0000-0000B8070000}"/>
    <cellStyle name="40% - Cor5 8 2" xfId="2071" xr:uid="{00000000-0005-0000-0000-0000B9070000}"/>
    <cellStyle name="40% - Cor5 8 2 2" xfId="6090" xr:uid="{00000000-0005-0000-0000-0000BA070000}"/>
    <cellStyle name="40% - Cor5 8 2 3" xfId="7318" xr:uid="{00000000-0005-0000-0000-0000BB070000}"/>
    <cellStyle name="40% - Cor5 8 3" xfId="5583" xr:uid="{00000000-0005-0000-0000-0000BC070000}"/>
    <cellStyle name="40% - Cor5 8 4" xfId="6808" xr:uid="{00000000-0005-0000-0000-0000BD070000}"/>
    <cellStyle name="40% - Cor5 9" xfId="1562" xr:uid="{00000000-0005-0000-0000-0000BE070000}"/>
    <cellStyle name="40% - Cor5 9 2" xfId="5588" xr:uid="{00000000-0005-0000-0000-0000BF070000}"/>
    <cellStyle name="40% - Cor5 9 3" xfId="6813" xr:uid="{00000000-0005-0000-0000-0000C0070000}"/>
    <cellStyle name="40% - Cor6 10" xfId="6318" xr:uid="{00000000-0005-0000-0000-0000C1070000}"/>
    <cellStyle name="40% - Cor6 11" xfId="1036" xr:uid="{00000000-0005-0000-0000-0000C2070000}"/>
    <cellStyle name="40% - Cor6 2" xfId="82" xr:uid="{00000000-0005-0000-0000-0000C3070000}"/>
    <cellStyle name="40% - Cor6 2 2" xfId="1269" xr:uid="{00000000-0005-0000-0000-0000C4070000}"/>
    <cellStyle name="40% - Cor6 2 2 2" xfId="1540" xr:uid="{00000000-0005-0000-0000-0000C5070000}"/>
    <cellStyle name="40% - Cor6 2 2 2 2" xfId="5567" xr:uid="{00000000-0005-0000-0000-0000C6070000}"/>
    <cellStyle name="40% - Cor6 2 2 2 3" xfId="6792" xr:uid="{00000000-0005-0000-0000-0000C7070000}"/>
    <cellStyle name="40% - Cor6 2 2 3" xfId="1745" xr:uid="{00000000-0005-0000-0000-0000C8070000}"/>
    <cellStyle name="40% - Cor6 2 2 3 2" xfId="5767" xr:uid="{00000000-0005-0000-0000-0000C9070000}"/>
    <cellStyle name="40% - Cor6 2 2 3 3" xfId="6992" xr:uid="{00000000-0005-0000-0000-0000CA070000}"/>
    <cellStyle name="40% - Cor6 2 2 4" xfId="2014" xr:uid="{00000000-0005-0000-0000-0000CB070000}"/>
    <cellStyle name="40% - Cor6 2 2 4 2" xfId="6033" xr:uid="{00000000-0005-0000-0000-0000CC070000}"/>
    <cellStyle name="40% - Cor6 2 2 4 3" xfId="7261" xr:uid="{00000000-0005-0000-0000-0000CD070000}"/>
    <cellStyle name="40% - Cor6 2 2 5" xfId="5306" xr:uid="{00000000-0005-0000-0000-0000CE070000}"/>
    <cellStyle name="40% - Cor6 2 2 6" xfId="6521" xr:uid="{00000000-0005-0000-0000-0000CF070000}"/>
    <cellStyle name="40% - Cor6 2 3" xfId="1316" xr:uid="{00000000-0005-0000-0000-0000D0070000}"/>
    <cellStyle name="40% - Cor6 2 3 2" xfId="1585" xr:uid="{00000000-0005-0000-0000-0000D1070000}"/>
    <cellStyle name="40% - Cor6 2 3 2 2" xfId="5611" xr:uid="{00000000-0005-0000-0000-0000D2070000}"/>
    <cellStyle name="40% - Cor6 2 3 2 3" xfId="6836" xr:uid="{00000000-0005-0000-0000-0000D3070000}"/>
    <cellStyle name="40% - Cor6 2 3 3" xfId="1789" xr:uid="{00000000-0005-0000-0000-0000D4070000}"/>
    <cellStyle name="40% - Cor6 2 3 3 2" xfId="5810" xr:uid="{00000000-0005-0000-0000-0000D5070000}"/>
    <cellStyle name="40% - Cor6 2 3 3 3" xfId="7036" xr:uid="{00000000-0005-0000-0000-0000D6070000}"/>
    <cellStyle name="40% - Cor6 2 3 4" xfId="2002" xr:uid="{00000000-0005-0000-0000-0000D7070000}"/>
    <cellStyle name="40% - Cor6 2 3 4 2" xfId="6021" xr:uid="{00000000-0005-0000-0000-0000D8070000}"/>
    <cellStyle name="40% - Cor6 2 3 4 3" xfId="7249" xr:uid="{00000000-0005-0000-0000-0000D9070000}"/>
    <cellStyle name="40% - Cor6 2 3 5" xfId="5352" xr:uid="{00000000-0005-0000-0000-0000DA070000}"/>
    <cellStyle name="40% - Cor6 2 3 6" xfId="6568" xr:uid="{00000000-0005-0000-0000-0000DB070000}"/>
    <cellStyle name="40% - Cor6 2 4" xfId="1465" xr:uid="{00000000-0005-0000-0000-0000DC070000}"/>
    <cellStyle name="40% - Cor6 2 4 2" xfId="5493" xr:uid="{00000000-0005-0000-0000-0000DD070000}"/>
    <cellStyle name="40% - Cor6 2 4 3" xfId="6717" xr:uid="{00000000-0005-0000-0000-0000DE070000}"/>
    <cellStyle name="40% - Cor6 2 5" xfId="1434" xr:uid="{00000000-0005-0000-0000-0000DF070000}"/>
    <cellStyle name="40% - Cor6 2 5 2" xfId="5464" xr:uid="{00000000-0005-0000-0000-0000E0070000}"/>
    <cellStyle name="40% - Cor6 2 5 3" xfId="6686" xr:uid="{00000000-0005-0000-0000-0000E1070000}"/>
    <cellStyle name="40% - Cor6 2 6" xfId="1821" xr:uid="{00000000-0005-0000-0000-0000E2070000}"/>
    <cellStyle name="40% - Cor6 2 6 2" xfId="5842" xr:uid="{00000000-0005-0000-0000-0000E3070000}"/>
    <cellStyle name="40% - Cor6 2 6 3" xfId="7068" xr:uid="{00000000-0005-0000-0000-0000E4070000}"/>
    <cellStyle name="40% - Cor6 2 7" xfId="5238" xr:uid="{00000000-0005-0000-0000-0000E5070000}"/>
    <cellStyle name="40% - Cor6 2 8" xfId="6448" xr:uid="{00000000-0005-0000-0000-0000E6070000}"/>
    <cellStyle name="40% - Cor6 2 9" xfId="1196" xr:uid="{00000000-0005-0000-0000-0000E7070000}"/>
    <cellStyle name="40% - Cor6 3" xfId="83" xr:uid="{00000000-0005-0000-0000-0000E8070000}"/>
    <cellStyle name="40% - Cor6 3 2" xfId="1350" xr:uid="{00000000-0005-0000-0000-0000E9070000}"/>
    <cellStyle name="40% - Cor6 3 2 2" xfId="1618" xr:uid="{00000000-0005-0000-0000-0000EA070000}"/>
    <cellStyle name="40% - Cor6 3 2 2 2" xfId="5644" xr:uid="{00000000-0005-0000-0000-0000EB070000}"/>
    <cellStyle name="40% - Cor6 3 2 2 3" xfId="6869" xr:uid="{00000000-0005-0000-0000-0000EC070000}"/>
    <cellStyle name="40% - Cor6 3 2 3" xfId="1819" xr:uid="{00000000-0005-0000-0000-0000ED070000}"/>
    <cellStyle name="40% - Cor6 3 2 3 2" xfId="5840" xr:uid="{00000000-0005-0000-0000-0000EE070000}"/>
    <cellStyle name="40% - Cor6 3 2 3 3" xfId="7066" xr:uid="{00000000-0005-0000-0000-0000EF070000}"/>
    <cellStyle name="40% - Cor6 3 2 4" xfId="1924" xr:uid="{00000000-0005-0000-0000-0000F0070000}"/>
    <cellStyle name="40% - Cor6 3 2 4 2" xfId="5944" xr:uid="{00000000-0005-0000-0000-0000F1070000}"/>
    <cellStyle name="40% - Cor6 3 2 4 3" xfId="7171" xr:uid="{00000000-0005-0000-0000-0000F2070000}"/>
    <cellStyle name="40% - Cor6 3 2 5" xfId="5384" xr:uid="{00000000-0005-0000-0000-0000F3070000}"/>
    <cellStyle name="40% - Cor6 3 2 6" xfId="6602" xr:uid="{00000000-0005-0000-0000-0000F4070000}"/>
    <cellStyle name="40% - Cor6 3 3" xfId="1509" xr:uid="{00000000-0005-0000-0000-0000F5070000}"/>
    <cellStyle name="40% - Cor6 3 3 2" xfId="5537" xr:uid="{00000000-0005-0000-0000-0000F6070000}"/>
    <cellStyle name="40% - Cor6 3 3 3" xfId="6761" xr:uid="{00000000-0005-0000-0000-0000F7070000}"/>
    <cellStyle name="40% - Cor6 3 4" xfId="1716" xr:uid="{00000000-0005-0000-0000-0000F8070000}"/>
    <cellStyle name="40% - Cor6 3 4 2" xfId="5738" xr:uid="{00000000-0005-0000-0000-0000F9070000}"/>
    <cellStyle name="40% - Cor6 3 4 3" xfId="6963" xr:uid="{00000000-0005-0000-0000-0000FA070000}"/>
    <cellStyle name="40% - Cor6 3 5" xfId="1957" xr:uid="{00000000-0005-0000-0000-0000FB070000}"/>
    <cellStyle name="40% - Cor6 3 5 2" xfId="5977" xr:uid="{00000000-0005-0000-0000-0000FC070000}"/>
    <cellStyle name="40% - Cor6 3 5 3" xfId="7204" xr:uid="{00000000-0005-0000-0000-0000FD070000}"/>
    <cellStyle name="40% - Cor6 3 6" xfId="5278" xr:uid="{00000000-0005-0000-0000-0000FE070000}"/>
    <cellStyle name="40% - Cor6 3 7" xfId="6491" xr:uid="{00000000-0005-0000-0000-0000FF070000}"/>
    <cellStyle name="40% - Cor6 3 8" xfId="1239" xr:uid="{00000000-0005-0000-0000-000000080000}"/>
    <cellStyle name="40% - Cor6 4" xfId="84" xr:uid="{00000000-0005-0000-0000-000001080000}"/>
    <cellStyle name="40% - Cor6 4 2" xfId="1560" xr:uid="{00000000-0005-0000-0000-000002080000}"/>
    <cellStyle name="40% - Cor6 4 2 2" xfId="5586" xr:uid="{00000000-0005-0000-0000-000003080000}"/>
    <cellStyle name="40% - Cor6 4 2 3" xfId="6811" xr:uid="{00000000-0005-0000-0000-000004080000}"/>
    <cellStyle name="40% - Cor6 4 3" xfId="1765" xr:uid="{00000000-0005-0000-0000-000005080000}"/>
    <cellStyle name="40% - Cor6 4 3 2" xfId="5787" xr:uid="{00000000-0005-0000-0000-000006080000}"/>
    <cellStyle name="40% - Cor6 4 3 3" xfId="7012" xr:uid="{00000000-0005-0000-0000-000007080000}"/>
    <cellStyle name="40% - Cor6 4 4" xfId="1963" xr:uid="{00000000-0005-0000-0000-000008080000}"/>
    <cellStyle name="40% - Cor6 4 4 2" xfId="5983" xr:uid="{00000000-0005-0000-0000-000009080000}"/>
    <cellStyle name="40% - Cor6 4 4 3" xfId="7210" xr:uid="{00000000-0005-0000-0000-00000A080000}"/>
    <cellStyle name="40% - Cor6 4 5" xfId="5326" xr:uid="{00000000-0005-0000-0000-00000B080000}"/>
    <cellStyle name="40% - Cor6 4 6" xfId="6542" xr:uid="{00000000-0005-0000-0000-00000C080000}"/>
    <cellStyle name="40% - Cor6 4 7" xfId="1290" xr:uid="{00000000-0005-0000-0000-00000D080000}"/>
    <cellStyle name="40% - Cor6 5" xfId="1387" xr:uid="{00000000-0005-0000-0000-00000E080000}"/>
    <cellStyle name="40% - Cor6 5 2" xfId="1657" xr:uid="{00000000-0005-0000-0000-00000F080000}"/>
    <cellStyle name="40% - Cor6 5 2 2" xfId="5681" xr:uid="{00000000-0005-0000-0000-000010080000}"/>
    <cellStyle name="40% - Cor6 5 2 3" xfId="6906" xr:uid="{00000000-0005-0000-0000-000011080000}"/>
    <cellStyle name="40% - Cor6 5 3" xfId="1853" xr:uid="{00000000-0005-0000-0000-000012080000}"/>
    <cellStyle name="40% - Cor6 5 3 2" xfId="5874" xr:uid="{00000000-0005-0000-0000-000013080000}"/>
    <cellStyle name="40% - Cor6 5 3 3" xfId="7100" xr:uid="{00000000-0005-0000-0000-000014080000}"/>
    <cellStyle name="40% - Cor6 5 4" xfId="2038" xr:uid="{00000000-0005-0000-0000-000015080000}"/>
    <cellStyle name="40% - Cor6 5 4 2" xfId="6057" xr:uid="{00000000-0005-0000-0000-000016080000}"/>
    <cellStyle name="40% - Cor6 5 4 3" xfId="7285" xr:uid="{00000000-0005-0000-0000-000017080000}"/>
    <cellStyle name="40% - Cor6 5 5" xfId="5418" xr:uid="{00000000-0005-0000-0000-000018080000}"/>
    <cellStyle name="40% - Cor6 5 6" xfId="6639" xr:uid="{00000000-0005-0000-0000-000019080000}"/>
    <cellStyle name="40% - Cor6 6" xfId="1401" xr:uid="{00000000-0005-0000-0000-00001A080000}"/>
    <cellStyle name="40% - Cor6 6 2" xfId="1671" xr:uid="{00000000-0005-0000-0000-00001B080000}"/>
    <cellStyle name="40% - Cor6 6 2 2" xfId="5695" xr:uid="{00000000-0005-0000-0000-00001C080000}"/>
    <cellStyle name="40% - Cor6 6 2 3" xfId="6920" xr:uid="{00000000-0005-0000-0000-00001D080000}"/>
    <cellStyle name="40% - Cor6 6 3" xfId="1867" xr:uid="{00000000-0005-0000-0000-00001E080000}"/>
    <cellStyle name="40% - Cor6 6 3 2" xfId="5888" xr:uid="{00000000-0005-0000-0000-00001F080000}"/>
    <cellStyle name="40% - Cor6 6 3 3" xfId="7114" xr:uid="{00000000-0005-0000-0000-000020080000}"/>
    <cellStyle name="40% - Cor6 6 4" xfId="2052" xr:uid="{00000000-0005-0000-0000-000021080000}"/>
    <cellStyle name="40% - Cor6 6 4 2" xfId="6071" xr:uid="{00000000-0005-0000-0000-000022080000}"/>
    <cellStyle name="40% - Cor6 6 4 3" xfId="7299" xr:uid="{00000000-0005-0000-0000-000023080000}"/>
    <cellStyle name="40% - Cor6 6 5" xfId="5432" xr:uid="{00000000-0005-0000-0000-000024080000}"/>
    <cellStyle name="40% - Cor6 6 6" xfId="6653" xr:uid="{00000000-0005-0000-0000-000025080000}"/>
    <cellStyle name="40% - Cor6 7" xfId="1437" xr:uid="{00000000-0005-0000-0000-000026080000}"/>
    <cellStyle name="40% - Cor6 7 2" xfId="1891" xr:uid="{00000000-0005-0000-0000-000027080000}"/>
    <cellStyle name="40% - Cor6 7 2 2" xfId="5911" xr:uid="{00000000-0005-0000-0000-000028080000}"/>
    <cellStyle name="40% - Cor6 7 2 3" xfId="7138" xr:uid="{00000000-0005-0000-0000-000029080000}"/>
    <cellStyle name="40% - Cor6 7 3" xfId="2064" xr:uid="{00000000-0005-0000-0000-00002A080000}"/>
    <cellStyle name="40% - Cor6 7 3 2" xfId="6083" xr:uid="{00000000-0005-0000-0000-00002B080000}"/>
    <cellStyle name="40% - Cor6 7 3 3" xfId="7311" xr:uid="{00000000-0005-0000-0000-00002C080000}"/>
    <cellStyle name="40% - Cor6 7 4" xfId="5467" xr:uid="{00000000-0005-0000-0000-00002D080000}"/>
    <cellStyle name="40% - Cor6 7 5" xfId="6689" xr:uid="{00000000-0005-0000-0000-00002E080000}"/>
    <cellStyle name="40% - Cor6 8" xfId="1586" xr:uid="{00000000-0005-0000-0000-00002F080000}"/>
    <cellStyle name="40% - Cor6 8 2" xfId="2073" xr:uid="{00000000-0005-0000-0000-000030080000}"/>
    <cellStyle name="40% - Cor6 8 2 2" xfId="6092" xr:uid="{00000000-0005-0000-0000-000031080000}"/>
    <cellStyle name="40% - Cor6 8 2 3" xfId="7320" xr:uid="{00000000-0005-0000-0000-000032080000}"/>
    <cellStyle name="40% - Cor6 8 3" xfId="5612" xr:uid="{00000000-0005-0000-0000-000033080000}"/>
    <cellStyle name="40% - Cor6 8 4" xfId="6837" xr:uid="{00000000-0005-0000-0000-000034080000}"/>
    <cellStyle name="40% - Cor6 9" xfId="1993" xr:uid="{00000000-0005-0000-0000-000035080000}"/>
    <cellStyle name="40% - Cor6 9 2" xfId="6012" xr:uid="{00000000-0005-0000-0000-000036080000}"/>
    <cellStyle name="40% - Cor6 9 3" xfId="7240" xr:uid="{00000000-0005-0000-0000-000037080000}"/>
    <cellStyle name="60% - Accent1" xfId="85" xr:uid="{00000000-0005-0000-0000-000038080000}"/>
    <cellStyle name="60% - Accent1 2" xfId="1059" xr:uid="{00000000-0005-0000-0000-000039080000}"/>
    <cellStyle name="60% - Accent1 2 2" xfId="3586" xr:uid="{00000000-0005-0000-0000-00003A080000}"/>
    <cellStyle name="60% - Accent1 2 2 2" xfId="5198" xr:uid="{00000000-0005-0000-0000-00003B080000}"/>
    <cellStyle name="60% - Accent1 2 2 3" xfId="8570" xr:uid="{00000000-0005-0000-0000-00003C080000}"/>
    <cellStyle name="60% - Accent1 2 3" xfId="3137" xr:uid="{00000000-0005-0000-0000-00003D080000}"/>
    <cellStyle name="60% - Accent1 2 3 2" xfId="4789" xr:uid="{00000000-0005-0000-0000-00003E080000}"/>
    <cellStyle name="60% - Accent1 2 3 3" xfId="8193" xr:uid="{00000000-0005-0000-0000-00003F080000}"/>
    <cellStyle name="60% - Accent1 2 4" xfId="3931" xr:uid="{00000000-0005-0000-0000-000040080000}"/>
    <cellStyle name="60% - Accent1 2 5" xfId="6340" xr:uid="{00000000-0005-0000-0000-000041080000}"/>
    <cellStyle name="60% - Accent1 3" xfId="3138" xr:uid="{00000000-0005-0000-0000-000042080000}"/>
    <cellStyle name="60% - Accent1 3 2" xfId="4790" xr:uid="{00000000-0005-0000-0000-000043080000}"/>
    <cellStyle name="60% - Accent1 3 3" xfId="8194" xr:uid="{00000000-0005-0000-0000-000044080000}"/>
    <cellStyle name="60% - Accent1 4" xfId="3139" xr:uid="{00000000-0005-0000-0000-000045080000}"/>
    <cellStyle name="60% - Accent1 4 2" xfId="4791" xr:uid="{00000000-0005-0000-0000-000046080000}"/>
    <cellStyle name="60% - Accent1 4 3" xfId="8195" xr:uid="{00000000-0005-0000-0000-000047080000}"/>
    <cellStyle name="60% - Accent1 5" xfId="3140" xr:uid="{00000000-0005-0000-0000-000048080000}"/>
    <cellStyle name="60% - Accent1 5 2" xfId="4792" xr:uid="{00000000-0005-0000-0000-000049080000}"/>
    <cellStyle name="60% - Accent1 5 3" xfId="8196" xr:uid="{00000000-0005-0000-0000-00004A080000}"/>
    <cellStyle name="60% - Accent1 6" xfId="3141" xr:uid="{00000000-0005-0000-0000-00004B080000}"/>
    <cellStyle name="60% - Accent1 6 2" xfId="4793" xr:uid="{00000000-0005-0000-0000-00004C080000}"/>
    <cellStyle name="60% - Accent1 6 3" xfId="8197" xr:uid="{00000000-0005-0000-0000-00004D080000}"/>
    <cellStyle name="60% - Accent1 7" xfId="3930" xr:uid="{00000000-0005-0000-0000-00004E080000}"/>
    <cellStyle name="60% - Accent1 8" xfId="7815" xr:uid="{00000000-0005-0000-0000-00004F080000}"/>
    <cellStyle name="60% - Accent1 9" xfId="2597" xr:uid="{00000000-0005-0000-0000-000050080000}"/>
    <cellStyle name="60% - Accent2" xfId="86" xr:uid="{00000000-0005-0000-0000-000051080000}"/>
    <cellStyle name="60% - Accent2 2" xfId="1060" xr:uid="{00000000-0005-0000-0000-000052080000}"/>
    <cellStyle name="60% - Accent2 2 2" xfId="3590" xr:uid="{00000000-0005-0000-0000-000053080000}"/>
    <cellStyle name="60% - Accent2 2 2 2" xfId="5202" xr:uid="{00000000-0005-0000-0000-000054080000}"/>
    <cellStyle name="60% - Accent2 2 2 3" xfId="8574" xr:uid="{00000000-0005-0000-0000-000055080000}"/>
    <cellStyle name="60% - Accent2 2 3" xfId="3142" xr:uid="{00000000-0005-0000-0000-000056080000}"/>
    <cellStyle name="60% - Accent2 2 3 2" xfId="4794" xr:uid="{00000000-0005-0000-0000-000057080000}"/>
    <cellStyle name="60% - Accent2 2 3 3" xfId="8198" xr:uid="{00000000-0005-0000-0000-000058080000}"/>
    <cellStyle name="60% - Accent2 2 4" xfId="3933" xr:uid="{00000000-0005-0000-0000-000059080000}"/>
    <cellStyle name="60% - Accent2 2 5" xfId="6341" xr:uid="{00000000-0005-0000-0000-00005A080000}"/>
    <cellStyle name="60% - Accent2 3" xfId="3143" xr:uid="{00000000-0005-0000-0000-00005B080000}"/>
    <cellStyle name="60% - Accent2 3 2" xfId="4795" xr:uid="{00000000-0005-0000-0000-00005C080000}"/>
    <cellStyle name="60% - Accent2 3 3" xfId="8199" xr:uid="{00000000-0005-0000-0000-00005D080000}"/>
    <cellStyle name="60% - Accent2 4" xfId="3144" xr:uid="{00000000-0005-0000-0000-00005E080000}"/>
    <cellStyle name="60% - Accent2 4 2" xfId="4796" xr:uid="{00000000-0005-0000-0000-00005F080000}"/>
    <cellStyle name="60% - Accent2 4 3" xfId="8200" xr:uid="{00000000-0005-0000-0000-000060080000}"/>
    <cellStyle name="60% - Accent2 5" xfId="3145" xr:uid="{00000000-0005-0000-0000-000061080000}"/>
    <cellStyle name="60% - Accent2 5 2" xfId="4797" xr:uid="{00000000-0005-0000-0000-000062080000}"/>
    <cellStyle name="60% - Accent2 5 3" xfId="8201" xr:uid="{00000000-0005-0000-0000-000063080000}"/>
    <cellStyle name="60% - Accent2 6" xfId="3146" xr:uid="{00000000-0005-0000-0000-000064080000}"/>
    <cellStyle name="60% - Accent2 6 2" xfId="4798" xr:uid="{00000000-0005-0000-0000-000065080000}"/>
    <cellStyle name="60% - Accent2 6 3" xfId="8202" xr:uid="{00000000-0005-0000-0000-000066080000}"/>
    <cellStyle name="60% - Accent2 7" xfId="3932" xr:uid="{00000000-0005-0000-0000-000067080000}"/>
    <cellStyle name="60% - Accent2 8" xfId="7814" xr:uid="{00000000-0005-0000-0000-000068080000}"/>
    <cellStyle name="60% - Accent2 9" xfId="2596" xr:uid="{00000000-0005-0000-0000-000069080000}"/>
    <cellStyle name="60% - Accent3" xfId="87" xr:uid="{00000000-0005-0000-0000-00006A080000}"/>
    <cellStyle name="60% - Accent3 2" xfId="1061" xr:uid="{00000000-0005-0000-0000-00006B080000}"/>
    <cellStyle name="60% - Accent3 2 2" xfId="3594" xr:uid="{00000000-0005-0000-0000-00006C080000}"/>
    <cellStyle name="60% - Accent3 2 2 2" xfId="5206" xr:uid="{00000000-0005-0000-0000-00006D080000}"/>
    <cellStyle name="60% - Accent3 2 2 3" xfId="8578" xr:uid="{00000000-0005-0000-0000-00006E080000}"/>
    <cellStyle name="60% - Accent3 2 3" xfId="3147" xr:uid="{00000000-0005-0000-0000-00006F080000}"/>
    <cellStyle name="60% - Accent3 2 3 2" xfId="4799" xr:uid="{00000000-0005-0000-0000-000070080000}"/>
    <cellStyle name="60% - Accent3 2 3 3" xfId="8203" xr:uid="{00000000-0005-0000-0000-000071080000}"/>
    <cellStyle name="60% - Accent3 2 4" xfId="3935" xr:uid="{00000000-0005-0000-0000-000072080000}"/>
    <cellStyle name="60% - Accent3 2 5" xfId="6342" xr:uid="{00000000-0005-0000-0000-000073080000}"/>
    <cellStyle name="60% - Accent3 3" xfId="3148" xr:uid="{00000000-0005-0000-0000-000074080000}"/>
    <cellStyle name="60% - Accent3 3 2" xfId="4800" xr:uid="{00000000-0005-0000-0000-000075080000}"/>
    <cellStyle name="60% - Accent3 3 3" xfId="8204" xr:uid="{00000000-0005-0000-0000-000076080000}"/>
    <cellStyle name="60% - Accent3 4" xfId="3149" xr:uid="{00000000-0005-0000-0000-000077080000}"/>
    <cellStyle name="60% - Accent3 4 2" xfId="4801" xr:uid="{00000000-0005-0000-0000-000078080000}"/>
    <cellStyle name="60% - Accent3 4 3" xfId="8205" xr:uid="{00000000-0005-0000-0000-000079080000}"/>
    <cellStyle name="60% - Accent3 5" xfId="3150" xr:uid="{00000000-0005-0000-0000-00007A080000}"/>
    <cellStyle name="60% - Accent3 5 2" xfId="4802" xr:uid="{00000000-0005-0000-0000-00007B080000}"/>
    <cellStyle name="60% - Accent3 5 3" xfId="8206" xr:uid="{00000000-0005-0000-0000-00007C080000}"/>
    <cellStyle name="60% - Accent3 6" xfId="3151" xr:uid="{00000000-0005-0000-0000-00007D080000}"/>
    <cellStyle name="60% - Accent3 6 2" xfId="4803" xr:uid="{00000000-0005-0000-0000-00007E080000}"/>
    <cellStyle name="60% - Accent3 6 3" xfId="8207" xr:uid="{00000000-0005-0000-0000-00007F080000}"/>
    <cellStyle name="60% - Accent3 7" xfId="3934" xr:uid="{00000000-0005-0000-0000-000080080000}"/>
    <cellStyle name="60% - Accent3 8" xfId="7813" xr:uid="{00000000-0005-0000-0000-000081080000}"/>
    <cellStyle name="60% - Accent3 9" xfId="2595" xr:uid="{00000000-0005-0000-0000-000082080000}"/>
    <cellStyle name="60% - Accent4" xfId="88" xr:uid="{00000000-0005-0000-0000-000083080000}"/>
    <cellStyle name="60% - Accent4 2" xfId="1062" xr:uid="{00000000-0005-0000-0000-000084080000}"/>
    <cellStyle name="60% - Accent4 2 2" xfId="3598" xr:uid="{00000000-0005-0000-0000-000085080000}"/>
    <cellStyle name="60% - Accent4 2 2 2" xfId="5210" xr:uid="{00000000-0005-0000-0000-000086080000}"/>
    <cellStyle name="60% - Accent4 2 2 3" xfId="8582" xr:uid="{00000000-0005-0000-0000-000087080000}"/>
    <cellStyle name="60% - Accent4 2 3" xfId="3152" xr:uid="{00000000-0005-0000-0000-000088080000}"/>
    <cellStyle name="60% - Accent4 2 3 2" xfId="4804" xr:uid="{00000000-0005-0000-0000-000089080000}"/>
    <cellStyle name="60% - Accent4 2 3 3" xfId="8208" xr:uid="{00000000-0005-0000-0000-00008A080000}"/>
    <cellStyle name="60% - Accent4 2 4" xfId="3937" xr:uid="{00000000-0005-0000-0000-00008B080000}"/>
    <cellStyle name="60% - Accent4 2 5" xfId="6343" xr:uid="{00000000-0005-0000-0000-00008C080000}"/>
    <cellStyle name="60% - Accent4 3" xfId="3153" xr:uid="{00000000-0005-0000-0000-00008D080000}"/>
    <cellStyle name="60% - Accent4 3 2" xfId="4805" xr:uid="{00000000-0005-0000-0000-00008E080000}"/>
    <cellStyle name="60% - Accent4 3 3" xfId="8209" xr:uid="{00000000-0005-0000-0000-00008F080000}"/>
    <cellStyle name="60% - Accent4 4" xfId="3154" xr:uid="{00000000-0005-0000-0000-000090080000}"/>
    <cellStyle name="60% - Accent4 4 2" xfId="4806" xr:uid="{00000000-0005-0000-0000-000091080000}"/>
    <cellStyle name="60% - Accent4 4 3" xfId="8210" xr:uid="{00000000-0005-0000-0000-000092080000}"/>
    <cellStyle name="60% - Accent4 5" xfId="3155" xr:uid="{00000000-0005-0000-0000-000093080000}"/>
    <cellStyle name="60% - Accent4 5 2" xfId="4807" xr:uid="{00000000-0005-0000-0000-000094080000}"/>
    <cellStyle name="60% - Accent4 5 3" xfId="8211" xr:uid="{00000000-0005-0000-0000-000095080000}"/>
    <cellStyle name="60% - Accent4 6" xfId="3156" xr:uid="{00000000-0005-0000-0000-000096080000}"/>
    <cellStyle name="60% - Accent4 6 2" xfId="4808" xr:uid="{00000000-0005-0000-0000-000097080000}"/>
    <cellStyle name="60% - Accent4 6 3" xfId="8212" xr:uid="{00000000-0005-0000-0000-000098080000}"/>
    <cellStyle name="60% - Accent4 7" xfId="3936" xr:uid="{00000000-0005-0000-0000-000099080000}"/>
    <cellStyle name="60% - Accent4 8" xfId="7812" xr:uid="{00000000-0005-0000-0000-00009A080000}"/>
    <cellStyle name="60% - Accent4 9" xfId="2594" xr:uid="{00000000-0005-0000-0000-00009B080000}"/>
    <cellStyle name="60% - Accent5" xfId="89" xr:uid="{00000000-0005-0000-0000-00009C080000}"/>
    <cellStyle name="60% - Accent5 2" xfId="1063" xr:uid="{00000000-0005-0000-0000-00009D080000}"/>
    <cellStyle name="60% - Accent5 2 2" xfId="3602" xr:uid="{00000000-0005-0000-0000-00009E080000}"/>
    <cellStyle name="60% - Accent5 2 2 2" xfId="5214" xr:uid="{00000000-0005-0000-0000-00009F080000}"/>
    <cellStyle name="60% - Accent5 2 2 3" xfId="8586" xr:uid="{00000000-0005-0000-0000-0000A0080000}"/>
    <cellStyle name="60% - Accent5 2 3" xfId="3157" xr:uid="{00000000-0005-0000-0000-0000A1080000}"/>
    <cellStyle name="60% - Accent5 2 3 2" xfId="4809" xr:uid="{00000000-0005-0000-0000-0000A2080000}"/>
    <cellStyle name="60% - Accent5 2 3 3" xfId="8213" xr:uid="{00000000-0005-0000-0000-0000A3080000}"/>
    <cellStyle name="60% - Accent5 2 4" xfId="3939" xr:uid="{00000000-0005-0000-0000-0000A4080000}"/>
    <cellStyle name="60% - Accent5 2 5" xfId="6344" xr:uid="{00000000-0005-0000-0000-0000A5080000}"/>
    <cellStyle name="60% - Accent5 3" xfId="3158" xr:uid="{00000000-0005-0000-0000-0000A6080000}"/>
    <cellStyle name="60% - Accent5 3 2" xfId="4810" xr:uid="{00000000-0005-0000-0000-0000A7080000}"/>
    <cellStyle name="60% - Accent5 3 3" xfId="8214" xr:uid="{00000000-0005-0000-0000-0000A8080000}"/>
    <cellStyle name="60% - Accent5 4" xfId="3159" xr:uid="{00000000-0005-0000-0000-0000A9080000}"/>
    <cellStyle name="60% - Accent5 4 2" xfId="4811" xr:uid="{00000000-0005-0000-0000-0000AA080000}"/>
    <cellStyle name="60% - Accent5 4 3" xfId="8215" xr:uid="{00000000-0005-0000-0000-0000AB080000}"/>
    <cellStyle name="60% - Accent5 5" xfId="3160" xr:uid="{00000000-0005-0000-0000-0000AC080000}"/>
    <cellStyle name="60% - Accent5 5 2" xfId="4812" xr:uid="{00000000-0005-0000-0000-0000AD080000}"/>
    <cellStyle name="60% - Accent5 5 3" xfId="8216" xr:uid="{00000000-0005-0000-0000-0000AE080000}"/>
    <cellStyle name="60% - Accent5 6" xfId="3161" xr:uid="{00000000-0005-0000-0000-0000AF080000}"/>
    <cellStyle name="60% - Accent5 6 2" xfId="4813" xr:uid="{00000000-0005-0000-0000-0000B0080000}"/>
    <cellStyle name="60% - Accent5 6 3" xfId="8217" xr:uid="{00000000-0005-0000-0000-0000B1080000}"/>
    <cellStyle name="60% - Accent5 7" xfId="3938" xr:uid="{00000000-0005-0000-0000-0000B2080000}"/>
    <cellStyle name="60% - Accent5 8" xfId="7811" xr:uid="{00000000-0005-0000-0000-0000B3080000}"/>
    <cellStyle name="60% - Accent5 9" xfId="2593" xr:uid="{00000000-0005-0000-0000-0000B4080000}"/>
    <cellStyle name="60% - Accent6" xfId="90" xr:uid="{00000000-0005-0000-0000-0000B5080000}"/>
    <cellStyle name="60% - Accent6 2" xfId="1064" xr:uid="{00000000-0005-0000-0000-0000B6080000}"/>
    <cellStyle name="60% - Accent6 2 2" xfId="3606" xr:uid="{00000000-0005-0000-0000-0000B7080000}"/>
    <cellStyle name="60% - Accent6 2 2 2" xfId="5218" xr:uid="{00000000-0005-0000-0000-0000B8080000}"/>
    <cellStyle name="60% - Accent6 2 2 3" xfId="8590" xr:uid="{00000000-0005-0000-0000-0000B9080000}"/>
    <cellStyle name="60% - Accent6 2 3" xfId="3162" xr:uid="{00000000-0005-0000-0000-0000BA080000}"/>
    <cellStyle name="60% - Accent6 2 3 2" xfId="4814" xr:uid="{00000000-0005-0000-0000-0000BB080000}"/>
    <cellStyle name="60% - Accent6 2 3 3" xfId="8218" xr:uid="{00000000-0005-0000-0000-0000BC080000}"/>
    <cellStyle name="60% - Accent6 2 4" xfId="3941" xr:uid="{00000000-0005-0000-0000-0000BD080000}"/>
    <cellStyle name="60% - Accent6 2 5" xfId="6345" xr:uid="{00000000-0005-0000-0000-0000BE080000}"/>
    <cellStyle name="60% - Accent6 3" xfId="3163" xr:uid="{00000000-0005-0000-0000-0000BF080000}"/>
    <cellStyle name="60% - Accent6 3 2" xfId="4815" xr:uid="{00000000-0005-0000-0000-0000C0080000}"/>
    <cellStyle name="60% - Accent6 3 3" xfId="8219" xr:uid="{00000000-0005-0000-0000-0000C1080000}"/>
    <cellStyle name="60% - Accent6 4" xfId="3164" xr:uid="{00000000-0005-0000-0000-0000C2080000}"/>
    <cellStyle name="60% - Accent6 4 2" xfId="4816" xr:uid="{00000000-0005-0000-0000-0000C3080000}"/>
    <cellStyle name="60% - Accent6 4 3" xfId="8220" xr:uid="{00000000-0005-0000-0000-0000C4080000}"/>
    <cellStyle name="60% - Accent6 5" xfId="3165" xr:uid="{00000000-0005-0000-0000-0000C5080000}"/>
    <cellStyle name="60% - Accent6 5 2" xfId="4817" xr:uid="{00000000-0005-0000-0000-0000C6080000}"/>
    <cellStyle name="60% - Accent6 5 3" xfId="8221" xr:uid="{00000000-0005-0000-0000-0000C7080000}"/>
    <cellStyle name="60% - Accent6 6" xfId="3166" xr:uid="{00000000-0005-0000-0000-0000C8080000}"/>
    <cellStyle name="60% - Accent6 6 2" xfId="4818" xr:uid="{00000000-0005-0000-0000-0000C9080000}"/>
    <cellStyle name="60% - Accent6 6 3" xfId="8222" xr:uid="{00000000-0005-0000-0000-0000CA080000}"/>
    <cellStyle name="60% - Accent6 7" xfId="3940" xr:uid="{00000000-0005-0000-0000-0000CB080000}"/>
    <cellStyle name="60% - Accent6 8" xfId="7810" xr:uid="{00000000-0005-0000-0000-0000CC080000}"/>
    <cellStyle name="60% - Accent6 9" xfId="2592" xr:uid="{00000000-0005-0000-0000-0000CD080000}"/>
    <cellStyle name="60% - Cor1 2" xfId="91" xr:uid="{00000000-0005-0000-0000-0000CE080000}"/>
    <cellStyle name="60% - Cor1 2 2" xfId="6299" xr:uid="{00000000-0005-0000-0000-0000CF080000}"/>
    <cellStyle name="60% - Cor1 3" xfId="92" xr:uid="{00000000-0005-0000-0000-0000D0080000}"/>
    <cellStyle name="60% - Cor1 3 2" xfId="1017" xr:uid="{00000000-0005-0000-0000-0000D1080000}"/>
    <cellStyle name="60% - Cor1 4" xfId="93" xr:uid="{00000000-0005-0000-0000-0000D2080000}"/>
    <cellStyle name="60% - Cor2 2" xfId="94" xr:uid="{00000000-0005-0000-0000-0000D3080000}"/>
    <cellStyle name="60% - Cor2 2 2" xfId="6303" xr:uid="{00000000-0005-0000-0000-0000D4080000}"/>
    <cellStyle name="60% - Cor2 3" xfId="95" xr:uid="{00000000-0005-0000-0000-0000D5080000}"/>
    <cellStyle name="60% - Cor2 3 2" xfId="1021" xr:uid="{00000000-0005-0000-0000-0000D6080000}"/>
    <cellStyle name="60% - Cor2 4" xfId="96" xr:uid="{00000000-0005-0000-0000-0000D7080000}"/>
    <cellStyle name="60% - Cor3 2" xfId="97" xr:uid="{00000000-0005-0000-0000-0000D8080000}"/>
    <cellStyle name="60% - Cor3 2 2" xfId="6307" xr:uid="{00000000-0005-0000-0000-0000D9080000}"/>
    <cellStyle name="60% - Cor3 3" xfId="98" xr:uid="{00000000-0005-0000-0000-0000DA080000}"/>
    <cellStyle name="60% - Cor3 3 2" xfId="1025" xr:uid="{00000000-0005-0000-0000-0000DB080000}"/>
    <cellStyle name="60% - Cor3 4" xfId="99" xr:uid="{00000000-0005-0000-0000-0000DC080000}"/>
    <cellStyle name="60% - Cor4 2" xfId="100" xr:uid="{00000000-0005-0000-0000-0000DD080000}"/>
    <cellStyle name="60% - Cor4 2 2" xfId="6311" xr:uid="{00000000-0005-0000-0000-0000DE080000}"/>
    <cellStyle name="60% - Cor4 3" xfId="101" xr:uid="{00000000-0005-0000-0000-0000DF080000}"/>
    <cellStyle name="60% - Cor4 3 2" xfId="1029" xr:uid="{00000000-0005-0000-0000-0000E0080000}"/>
    <cellStyle name="60% - Cor4 4" xfId="102" xr:uid="{00000000-0005-0000-0000-0000E1080000}"/>
    <cellStyle name="60% - Cor5 2" xfId="103" xr:uid="{00000000-0005-0000-0000-0000E2080000}"/>
    <cellStyle name="60% - Cor5 2 2" xfId="6315" xr:uid="{00000000-0005-0000-0000-0000E3080000}"/>
    <cellStyle name="60% - Cor5 3" xfId="104" xr:uid="{00000000-0005-0000-0000-0000E4080000}"/>
    <cellStyle name="60% - Cor5 3 2" xfId="1033" xr:uid="{00000000-0005-0000-0000-0000E5080000}"/>
    <cellStyle name="60% - Cor5 4" xfId="105" xr:uid="{00000000-0005-0000-0000-0000E6080000}"/>
    <cellStyle name="60% - Cor6 2" xfId="106" xr:uid="{00000000-0005-0000-0000-0000E7080000}"/>
    <cellStyle name="60% - Cor6 2 2" xfId="6319" xr:uid="{00000000-0005-0000-0000-0000E8080000}"/>
    <cellStyle name="60% - Cor6 3" xfId="107" xr:uid="{00000000-0005-0000-0000-0000E9080000}"/>
    <cellStyle name="60% - Cor6 3 2" xfId="1037" xr:uid="{00000000-0005-0000-0000-0000EA080000}"/>
    <cellStyle name="60% - Cor6 4" xfId="108" xr:uid="{00000000-0005-0000-0000-0000EB080000}"/>
    <cellStyle name="Accent1" xfId="109" xr:uid="{00000000-0005-0000-0000-0000EC080000}"/>
    <cellStyle name="Accent1 - 20%" xfId="110" xr:uid="{00000000-0005-0000-0000-0000ED080000}"/>
    <cellStyle name="Accent1 - 20% 2" xfId="4820" xr:uid="{00000000-0005-0000-0000-0000EE080000}"/>
    <cellStyle name="Accent1 - 20% 3" xfId="8224" xr:uid="{00000000-0005-0000-0000-0000EF080000}"/>
    <cellStyle name="Accent1 - 20% 4" xfId="3168" xr:uid="{00000000-0005-0000-0000-0000F0080000}"/>
    <cellStyle name="Accent1 - 40%" xfId="111" xr:uid="{00000000-0005-0000-0000-0000F1080000}"/>
    <cellStyle name="Accent1 - 40% 2" xfId="4821" xr:uid="{00000000-0005-0000-0000-0000F2080000}"/>
    <cellStyle name="Accent1 - 40% 3" xfId="8225" xr:uid="{00000000-0005-0000-0000-0000F3080000}"/>
    <cellStyle name="Accent1 - 40% 4" xfId="3169" xr:uid="{00000000-0005-0000-0000-0000F4080000}"/>
    <cellStyle name="Accent1 - 60%" xfId="112" xr:uid="{00000000-0005-0000-0000-0000F5080000}"/>
    <cellStyle name="Accent1 - 60% 2" xfId="4822" xr:uid="{00000000-0005-0000-0000-0000F6080000}"/>
    <cellStyle name="Accent1 - 60% 3" xfId="8226" xr:uid="{00000000-0005-0000-0000-0000F7080000}"/>
    <cellStyle name="Accent1 - 60% 4" xfId="3170" xr:uid="{00000000-0005-0000-0000-0000F8080000}"/>
    <cellStyle name="Accent1 10" xfId="3942" xr:uid="{00000000-0005-0000-0000-0000F9080000}"/>
    <cellStyle name="Accent1 11" xfId="4516" xr:uid="{00000000-0005-0000-0000-0000FA080000}"/>
    <cellStyle name="Accent1 12" xfId="4527" xr:uid="{00000000-0005-0000-0000-0000FB080000}"/>
    <cellStyle name="Accent1 13" xfId="4535" xr:uid="{00000000-0005-0000-0000-0000FC080000}"/>
    <cellStyle name="Accent1 14" xfId="4600" xr:uid="{00000000-0005-0000-0000-0000FD080000}"/>
    <cellStyle name="Accent1 15" xfId="7809" xr:uid="{00000000-0005-0000-0000-0000FE080000}"/>
    <cellStyle name="Accent1 16" xfId="6264" xr:uid="{00000000-0005-0000-0000-0000FF080000}"/>
    <cellStyle name="Accent1 17" xfId="8768" xr:uid="{00000000-0005-0000-0000-000000090000}"/>
    <cellStyle name="Accent1 18" xfId="2591" xr:uid="{00000000-0005-0000-0000-000001090000}"/>
    <cellStyle name="Accent1 2" xfId="1065" xr:uid="{00000000-0005-0000-0000-000002090000}"/>
    <cellStyle name="Accent1 2 2" xfId="3585" xr:uid="{00000000-0005-0000-0000-000003090000}"/>
    <cellStyle name="Accent1 2 2 2" xfId="5197" xr:uid="{00000000-0005-0000-0000-000004090000}"/>
    <cellStyle name="Accent1 2 2 3" xfId="8569" xr:uid="{00000000-0005-0000-0000-000005090000}"/>
    <cellStyle name="Accent1 2 3" xfId="3171" xr:uid="{00000000-0005-0000-0000-000006090000}"/>
    <cellStyle name="Accent1 2 3 2" xfId="4823" xr:uid="{00000000-0005-0000-0000-000007090000}"/>
    <cellStyle name="Accent1 2 3 3" xfId="8227" xr:uid="{00000000-0005-0000-0000-000008090000}"/>
    <cellStyle name="Accent1 2 4" xfId="3943" xr:uid="{00000000-0005-0000-0000-000009090000}"/>
    <cellStyle name="Accent1 2 5" xfId="6346" xr:uid="{00000000-0005-0000-0000-00000A090000}"/>
    <cellStyle name="Accent1 3" xfId="3172" xr:uid="{00000000-0005-0000-0000-00000B090000}"/>
    <cellStyle name="Accent1 3 2" xfId="4824" xr:uid="{00000000-0005-0000-0000-00000C090000}"/>
    <cellStyle name="Accent1 3 3" xfId="8228" xr:uid="{00000000-0005-0000-0000-00000D090000}"/>
    <cellStyle name="Accent1 4" xfId="3173" xr:uid="{00000000-0005-0000-0000-00000E090000}"/>
    <cellStyle name="Accent1 4 2" xfId="4825" xr:uid="{00000000-0005-0000-0000-00000F090000}"/>
    <cellStyle name="Accent1 4 3" xfId="8229" xr:uid="{00000000-0005-0000-0000-000010090000}"/>
    <cellStyle name="Accent1 5" xfId="3174" xr:uid="{00000000-0005-0000-0000-000011090000}"/>
    <cellStyle name="Accent1 5 2" xfId="4826" xr:uid="{00000000-0005-0000-0000-000012090000}"/>
    <cellStyle name="Accent1 5 3" xfId="8230" xr:uid="{00000000-0005-0000-0000-000013090000}"/>
    <cellStyle name="Accent1 6" xfId="3175" xr:uid="{00000000-0005-0000-0000-000014090000}"/>
    <cellStyle name="Accent1 6 2" xfId="4827" xr:uid="{00000000-0005-0000-0000-000015090000}"/>
    <cellStyle name="Accent1 6 3" xfId="8231" xr:uid="{00000000-0005-0000-0000-000016090000}"/>
    <cellStyle name="Accent1 7" xfId="3167" xr:uid="{00000000-0005-0000-0000-000017090000}"/>
    <cellStyle name="Accent1 7 2" xfId="4819" xr:uid="{00000000-0005-0000-0000-000018090000}"/>
    <cellStyle name="Accent1 7 3" xfId="8223" xr:uid="{00000000-0005-0000-0000-000019090000}"/>
    <cellStyle name="Accent1 8" xfId="3729" xr:uid="{00000000-0005-0000-0000-00001A090000}"/>
    <cellStyle name="Accent1 8 2" xfId="6131" xr:uid="{00000000-0005-0000-0000-00001B090000}"/>
    <cellStyle name="Accent1 8 3" xfId="8643" xr:uid="{00000000-0005-0000-0000-00001C090000}"/>
    <cellStyle name="Accent1 9" xfId="3763" xr:uid="{00000000-0005-0000-0000-00001D090000}"/>
    <cellStyle name="Accent1 9 2" xfId="6159" xr:uid="{00000000-0005-0000-0000-00001E090000}"/>
    <cellStyle name="Accent1 9 3" xfId="8676" xr:uid="{00000000-0005-0000-0000-00001F090000}"/>
    <cellStyle name="Accent1_Saldos" xfId="113" xr:uid="{00000000-0005-0000-0000-000020090000}"/>
    <cellStyle name="Accent2" xfId="114" xr:uid="{00000000-0005-0000-0000-000021090000}"/>
    <cellStyle name="Accent2 - 20%" xfId="115" xr:uid="{00000000-0005-0000-0000-000022090000}"/>
    <cellStyle name="Accent2 - 20% 2" xfId="4829" xr:uid="{00000000-0005-0000-0000-000023090000}"/>
    <cellStyle name="Accent2 - 20% 3" xfId="8233" xr:uid="{00000000-0005-0000-0000-000024090000}"/>
    <cellStyle name="Accent2 - 20% 4" xfId="3177" xr:uid="{00000000-0005-0000-0000-000025090000}"/>
    <cellStyle name="Accent2 - 40%" xfId="116" xr:uid="{00000000-0005-0000-0000-000026090000}"/>
    <cellStyle name="Accent2 - 40% 2" xfId="4830" xr:uid="{00000000-0005-0000-0000-000027090000}"/>
    <cellStyle name="Accent2 - 40% 3" xfId="8234" xr:uid="{00000000-0005-0000-0000-000028090000}"/>
    <cellStyle name="Accent2 - 40% 4" xfId="3178" xr:uid="{00000000-0005-0000-0000-000029090000}"/>
    <cellStyle name="Accent2 - 60%" xfId="117" xr:uid="{00000000-0005-0000-0000-00002A090000}"/>
    <cellStyle name="Accent2 - 60% 2" xfId="4831" xr:uid="{00000000-0005-0000-0000-00002B090000}"/>
    <cellStyle name="Accent2 - 60% 3" xfId="8235" xr:uid="{00000000-0005-0000-0000-00002C090000}"/>
    <cellStyle name="Accent2 - 60% 4" xfId="3179" xr:uid="{00000000-0005-0000-0000-00002D090000}"/>
    <cellStyle name="Accent2 10" xfId="3944" xr:uid="{00000000-0005-0000-0000-00002E090000}"/>
    <cellStyle name="Accent2 11" xfId="4517" xr:uid="{00000000-0005-0000-0000-00002F090000}"/>
    <cellStyle name="Accent2 12" xfId="4526" xr:uid="{00000000-0005-0000-0000-000030090000}"/>
    <cellStyle name="Accent2 13" xfId="4536" xr:uid="{00000000-0005-0000-0000-000031090000}"/>
    <cellStyle name="Accent2 14" xfId="4545" xr:uid="{00000000-0005-0000-0000-000032090000}"/>
    <cellStyle name="Accent2 15" xfId="7808" xr:uid="{00000000-0005-0000-0000-000033090000}"/>
    <cellStyle name="Accent2 16" xfId="6265" xr:uid="{00000000-0005-0000-0000-000034090000}"/>
    <cellStyle name="Accent2 17" xfId="8766" xr:uid="{00000000-0005-0000-0000-000035090000}"/>
    <cellStyle name="Accent2 18" xfId="2590" xr:uid="{00000000-0005-0000-0000-000036090000}"/>
    <cellStyle name="Accent2 2" xfId="1066" xr:uid="{00000000-0005-0000-0000-000037090000}"/>
    <cellStyle name="Accent2 2 2" xfId="3587" xr:uid="{00000000-0005-0000-0000-000038090000}"/>
    <cellStyle name="Accent2 2 2 2" xfId="5199" xr:uid="{00000000-0005-0000-0000-000039090000}"/>
    <cellStyle name="Accent2 2 2 3" xfId="8571" xr:uid="{00000000-0005-0000-0000-00003A090000}"/>
    <cellStyle name="Accent2 2 3" xfId="3180" xr:uid="{00000000-0005-0000-0000-00003B090000}"/>
    <cellStyle name="Accent2 2 3 2" xfId="4832" xr:uid="{00000000-0005-0000-0000-00003C090000}"/>
    <cellStyle name="Accent2 2 3 3" xfId="8236" xr:uid="{00000000-0005-0000-0000-00003D090000}"/>
    <cellStyle name="Accent2 2 4" xfId="3945" xr:uid="{00000000-0005-0000-0000-00003E090000}"/>
    <cellStyle name="Accent2 2 5" xfId="6347" xr:uid="{00000000-0005-0000-0000-00003F090000}"/>
    <cellStyle name="Accent2 3" xfId="3181" xr:uid="{00000000-0005-0000-0000-000040090000}"/>
    <cellStyle name="Accent2 3 2" xfId="4833" xr:uid="{00000000-0005-0000-0000-000041090000}"/>
    <cellStyle name="Accent2 3 3" xfId="8237" xr:uid="{00000000-0005-0000-0000-000042090000}"/>
    <cellStyle name="Accent2 4" xfId="3182" xr:uid="{00000000-0005-0000-0000-000043090000}"/>
    <cellStyle name="Accent2 4 2" xfId="4834" xr:uid="{00000000-0005-0000-0000-000044090000}"/>
    <cellStyle name="Accent2 4 3" xfId="8238" xr:uid="{00000000-0005-0000-0000-000045090000}"/>
    <cellStyle name="Accent2 5" xfId="3183" xr:uid="{00000000-0005-0000-0000-000046090000}"/>
    <cellStyle name="Accent2 5 2" xfId="4835" xr:uid="{00000000-0005-0000-0000-000047090000}"/>
    <cellStyle name="Accent2 5 3" xfId="8239" xr:uid="{00000000-0005-0000-0000-000048090000}"/>
    <cellStyle name="Accent2 6" xfId="3184" xr:uid="{00000000-0005-0000-0000-000049090000}"/>
    <cellStyle name="Accent2 6 2" xfId="4836" xr:uid="{00000000-0005-0000-0000-00004A090000}"/>
    <cellStyle name="Accent2 6 3" xfId="8240" xr:uid="{00000000-0005-0000-0000-00004B090000}"/>
    <cellStyle name="Accent2 7" xfId="3176" xr:uid="{00000000-0005-0000-0000-00004C090000}"/>
    <cellStyle name="Accent2 7 2" xfId="4828" xr:uid="{00000000-0005-0000-0000-00004D090000}"/>
    <cellStyle name="Accent2 7 3" xfId="8232" xr:uid="{00000000-0005-0000-0000-00004E090000}"/>
    <cellStyle name="Accent2 8" xfId="3730" xr:uid="{00000000-0005-0000-0000-00004F090000}"/>
    <cellStyle name="Accent2 8 2" xfId="6132" xr:uid="{00000000-0005-0000-0000-000050090000}"/>
    <cellStyle name="Accent2 8 3" xfId="8644" xr:uid="{00000000-0005-0000-0000-000051090000}"/>
    <cellStyle name="Accent2 9" xfId="3762" xr:uid="{00000000-0005-0000-0000-000052090000}"/>
    <cellStyle name="Accent2 9 2" xfId="6158" xr:uid="{00000000-0005-0000-0000-000053090000}"/>
    <cellStyle name="Accent2 9 3" xfId="8675" xr:uid="{00000000-0005-0000-0000-000054090000}"/>
    <cellStyle name="Accent2_Saldos" xfId="118" xr:uid="{00000000-0005-0000-0000-000055090000}"/>
    <cellStyle name="Accent3" xfId="119" xr:uid="{00000000-0005-0000-0000-000056090000}"/>
    <cellStyle name="Accent3 - 20%" xfId="120" xr:uid="{00000000-0005-0000-0000-000057090000}"/>
    <cellStyle name="Accent3 - 20% 2" xfId="4838" xr:uid="{00000000-0005-0000-0000-000058090000}"/>
    <cellStyle name="Accent3 - 20% 3" xfId="8242" xr:uid="{00000000-0005-0000-0000-000059090000}"/>
    <cellStyle name="Accent3 - 20% 4" xfId="3186" xr:uid="{00000000-0005-0000-0000-00005A090000}"/>
    <cellStyle name="Accent3 - 40%" xfId="121" xr:uid="{00000000-0005-0000-0000-00005B090000}"/>
    <cellStyle name="Accent3 - 40% 2" xfId="4839" xr:uid="{00000000-0005-0000-0000-00005C090000}"/>
    <cellStyle name="Accent3 - 40% 3" xfId="8243" xr:uid="{00000000-0005-0000-0000-00005D090000}"/>
    <cellStyle name="Accent3 - 40% 4" xfId="3187" xr:uid="{00000000-0005-0000-0000-00005E090000}"/>
    <cellStyle name="Accent3 - 60%" xfId="122" xr:uid="{00000000-0005-0000-0000-00005F090000}"/>
    <cellStyle name="Accent3 - 60% 2" xfId="4840" xr:uid="{00000000-0005-0000-0000-000060090000}"/>
    <cellStyle name="Accent3 - 60% 3" xfId="8244" xr:uid="{00000000-0005-0000-0000-000061090000}"/>
    <cellStyle name="Accent3 - 60% 4" xfId="3188" xr:uid="{00000000-0005-0000-0000-000062090000}"/>
    <cellStyle name="Accent3 10" xfId="3946" xr:uid="{00000000-0005-0000-0000-000063090000}"/>
    <cellStyle name="Accent3 11" xfId="4518" xr:uid="{00000000-0005-0000-0000-000064090000}"/>
    <cellStyle name="Accent3 12" xfId="4525" xr:uid="{00000000-0005-0000-0000-000065090000}"/>
    <cellStyle name="Accent3 13" xfId="4537" xr:uid="{00000000-0005-0000-0000-000066090000}"/>
    <cellStyle name="Accent3 14" xfId="5147" xr:uid="{00000000-0005-0000-0000-000067090000}"/>
    <cellStyle name="Accent3 15" xfId="7807" xr:uid="{00000000-0005-0000-0000-000068090000}"/>
    <cellStyle name="Accent3 16" xfId="6266" xr:uid="{00000000-0005-0000-0000-000069090000}"/>
    <cellStyle name="Accent3 17" xfId="6272" xr:uid="{00000000-0005-0000-0000-00006A090000}"/>
    <cellStyle name="Accent3 18" xfId="2589" xr:uid="{00000000-0005-0000-0000-00006B090000}"/>
    <cellStyle name="Accent3 2" xfId="1067" xr:uid="{00000000-0005-0000-0000-00006C090000}"/>
    <cellStyle name="Accent3 2 2" xfId="3591" xr:uid="{00000000-0005-0000-0000-00006D090000}"/>
    <cellStyle name="Accent3 2 2 2" xfId="5203" xr:uid="{00000000-0005-0000-0000-00006E090000}"/>
    <cellStyle name="Accent3 2 2 3" xfId="8575" xr:uid="{00000000-0005-0000-0000-00006F090000}"/>
    <cellStyle name="Accent3 2 3" xfId="3189" xr:uid="{00000000-0005-0000-0000-000070090000}"/>
    <cellStyle name="Accent3 2 3 2" xfId="4841" xr:uid="{00000000-0005-0000-0000-000071090000}"/>
    <cellStyle name="Accent3 2 3 3" xfId="8245" xr:uid="{00000000-0005-0000-0000-000072090000}"/>
    <cellStyle name="Accent3 2 4" xfId="3947" xr:uid="{00000000-0005-0000-0000-000073090000}"/>
    <cellStyle name="Accent3 2 5" xfId="6348" xr:uid="{00000000-0005-0000-0000-000074090000}"/>
    <cellStyle name="Accent3 3" xfId="3190" xr:uid="{00000000-0005-0000-0000-000075090000}"/>
    <cellStyle name="Accent3 3 2" xfId="4842" xr:uid="{00000000-0005-0000-0000-000076090000}"/>
    <cellStyle name="Accent3 3 3" xfId="8246" xr:uid="{00000000-0005-0000-0000-000077090000}"/>
    <cellStyle name="Accent3 4" xfId="3191" xr:uid="{00000000-0005-0000-0000-000078090000}"/>
    <cellStyle name="Accent3 4 2" xfId="4843" xr:uid="{00000000-0005-0000-0000-000079090000}"/>
    <cellStyle name="Accent3 4 3" xfId="8247" xr:uid="{00000000-0005-0000-0000-00007A090000}"/>
    <cellStyle name="Accent3 5" xfId="3192" xr:uid="{00000000-0005-0000-0000-00007B090000}"/>
    <cellStyle name="Accent3 5 2" xfId="4844" xr:uid="{00000000-0005-0000-0000-00007C090000}"/>
    <cellStyle name="Accent3 5 3" xfId="8248" xr:uid="{00000000-0005-0000-0000-00007D090000}"/>
    <cellStyle name="Accent3 6" xfId="3193" xr:uid="{00000000-0005-0000-0000-00007E090000}"/>
    <cellStyle name="Accent3 6 2" xfId="4845" xr:uid="{00000000-0005-0000-0000-00007F090000}"/>
    <cellStyle name="Accent3 6 3" xfId="8249" xr:uid="{00000000-0005-0000-0000-000080090000}"/>
    <cellStyle name="Accent3 7" xfId="3185" xr:uid="{00000000-0005-0000-0000-000081090000}"/>
    <cellStyle name="Accent3 7 2" xfId="4837" xr:uid="{00000000-0005-0000-0000-000082090000}"/>
    <cellStyle name="Accent3 7 3" xfId="8241" xr:uid="{00000000-0005-0000-0000-000083090000}"/>
    <cellStyle name="Accent3 8" xfId="3731" xr:uid="{00000000-0005-0000-0000-000084090000}"/>
    <cellStyle name="Accent3 8 2" xfId="6133" xr:uid="{00000000-0005-0000-0000-000085090000}"/>
    <cellStyle name="Accent3 8 3" xfId="8645" xr:uid="{00000000-0005-0000-0000-000086090000}"/>
    <cellStyle name="Accent3 9" xfId="3761" xr:uid="{00000000-0005-0000-0000-000087090000}"/>
    <cellStyle name="Accent3 9 2" xfId="6157" xr:uid="{00000000-0005-0000-0000-000088090000}"/>
    <cellStyle name="Accent3 9 3" xfId="8674" xr:uid="{00000000-0005-0000-0000-000089090000}"/>
    <cellStyle name="Accent3_Saldos" xfId="123" xr:uid="{00000000-0005-0000-0000-00008A090000}"/>
    <cellStyle name="Accent4" xfId="124" xr:uid="{00000000-0005-0000-0000-00008B090000}"/>
    <cellStyle name="Accent4 - 20%" xfId="125" xr:uid="{00000000-0005-0000-0000-00008C090000}"/>
    <cellStyle name="Accent4 - 20% 2" xfId="4847" xr:uid="{00000000-0005-0000-0000-00008D090000}"/>
    <cellStyle name="Accent4 - 20% 3" xfId="8251" xr:uid="{00000000-0005-0000-0000-00008E090000}"/>
    <cellStyle name="Accent4 - 20% 4" xfId="3195" xr:uid="{00000000-0005-0000-0000-00008F090000}"/>
    <cellStyle name="Accent4 - 40%" xfId="126" xr:uid="{00000000-0005-0000-0000-000090090000}"/>
    <cellStyle name="Accent4 - 40% 2" xfId="4848" xr:uid="{00000000-0005-0000-0000-000091090000}"/>
    <cellStyle name="Accent4 - 40% 3" xfId="8252" xr:uid="{00000000-0005-0000-0000-000092090000}"/>
    <cellStyle name="Accent4 - 40% 4" xfId="3196" xr:uid="{00000000-0005-0000-0000-000093090000}"/>
    <cellStyle name="Accent4 - 60%" xfId="127" xr:uid="{00000000-0005-0000-0000-000094090000}"/>
    <cellStyle name="Accent4 - 60% 2" xfId="4849" xr:uid="{00000000-0005-0000-0000-000095090000}"/>
    <cellStyle name="Accent4 - 60% 3" xfId="8253" xr:uid="{00000000-0005-0000-0000-000096090000}"/>
    <cellStyle name="Accent4 - 60% 4" xfId="3197" xr:uid="{00000000-0005-0000-0000-000097090000}"/>
    <cellStyle name="Accent4 10" xfId="3948" xr:uid="{00000000-0005-0000-0000-000098090000}"/>
    <cellStyle name="Accent4 11" xfId="4519" xr:uid="{00000000-0005-0000-0000-000099090000}"/>
    <cellStyle name="Accent4 12" xfId="4524" xr:uid="{00000000-0005-0000-0000-00009A090000}"/>
    <cellStyle name="Accent4 13" xfId="4538" xr:uid="{00000000-0005-0000-0000-00009B090000}"/>
    <cellStyle name="Accent4 14" xfId="4601" xr:uid="{00000000-0005-0000-0000-00009C090000}"/>
    <cellStyle name="Accent4 15" xfId="7806" xr:uid="{00000000-0005-0000-0000-00009D090000}"/>
    <cellStyle name="Accent4 16" xfId="6267" xr:uid="{00000000-0005-0000-0000-00009E090000}"/>
    <cellStyle name="Accent4 17" xfId="8765" xr:uid="{00000000-0005-0000-0000-00009F090000}"/>
    <cellStyle name="Accent4 18" xfId="2588" xr:uid="{00000000-0005-0000-0000-0000A0090000}"/>
    <cellStyle name="Accent4 2" xfId="1068" xr:uid="{00000000-0005-0000-0000-0000A1090000}"/>
    <cellStyle name="Accent4 2 2" xfId="3595" xr:uid="{00000000-0005-0000-0000-0000A2090000}"/>
    <cellStyle name="Accent4 2 2 2" xfId="5207" xr:uid="{00000000-0005-0000-0000-0000A3090000}"/>
    <cellStyle name="Accent4 2 2 3" xfId="8579" xr:uid="{00000000-0005-0000-0000-0000A4090000}"/>
    <cellStyle name="Accent4 2 3" xfId="3198" xr:uid="{00000000-0005-0000-0000-0000A5090000}"/>
    <cellStyle name="Accent4 2 3 2" xfId="4850" xr:uid="{00000000-0005-0000-0000-0000A6090000}"/>
    <cellStyle name="Accent4 2 3 3" xfId="8254" xr:uid="{00000000-0005-0000-0000-0000A7090000}"/>
    <cellStyle name="Accent4 2 4" xfId="3949" xr:uid="{00000000-0005-0000-0000-0000A8090000}"/>
    <cellStyle name="Accent4 2 5" xfId="6349" xr:uid="{00000000-0005-0000-0000-0000A9090000}"/>
    <cellStyle name="Accent4 3" xfId="3199" xr:uid="{00000000-0005-0000-0000-0000AA090000}"/>
    <cellStyle name="Accent4 3 2" xfId="4851" xr:uid="{00000000-0005-0000-0000-0000AB090000}"/>
    <cellStyle name="Accent4 3 3" xfId="8255" xr:uid="{00000000-0005-0000-0000-0000AC090000}"/>
    <cellStyle name="Accent4 4" xfId="3200" xr:uid="{00000000-0005-0000-0000-0000AD090000}"/>
    <cellStyle name="Accent4 4 2" xfId="4852" xr:uid="{00000000-0005-0000-0000-0000AE090000}"/>
    <cellStyle name="Accent4 4 3" xfId="8256" xr:uid="{00000000-0005-0000-0000-0000AF090000}"/>
    <cellStyle name="Accent4 5" xfId="3201" xr:uid="{00000000-0005-0000-0000-0000B0090000}"/>
    <cellStyle name="Accent4 5 2" xfId="4853" xr:uid="{00000000-0005-0000-0000-0000B1090000}"/>
    <cellStyle name="Accent4 5 3" xfId="8257" xr:uid="{00000000-0005-0000-0000-0000B2090000}"/>
    <cellStyle name="Accent4 6" xfId="3202" xr:uid="{00000000-0005-0000-0000-0000B3090000}"/>
    <cellStyle name="Accent4 6 2" xfId="4854" xr:uid="{00000000-0005-0000-0000-0000B4090000}"/>
    <cellStyle name="Accent4 6 3" xfId="8258" xr:uid="{00000000-0005-0000-0000-0000B5090000}"/>
    <cellStyle name="Accent4 7" xfId="3194" xr:uid="{00000000-0005-0000-0000-0000B6090000}"/>
    <cellStyle name="Accent4 7 2" xfId="4846" xr:uid="{00000000-0005-0000-0000-0000B7090000}"/>
    <cellStyle name="Accent4 7 3" xfId="8250" xr:uid="{00000000-0005-0000-0000-0000B8090000}"/>
    <cellStyle name="Accent4 8" xfId="3734" xr:uid="{00000000-0005-0000-0000-0000B9090000}"/>
    <cellStyle name="Accent4 8 2" xfId="6135" xr:uid="{00000000-0005-0000-0000-0000BA090000}"/>
    <cellStyle name="Accent4 8 3" xfId="8648" xr:uid="{00000000-0005-0000-0000-0000BB090000}"/>
    <cellStyle name="Accent4 9" xfId="3760" xr:uid="{00000000-0005-0000-0000-0000BC090000}"/>
    <cellStyle name="Accent4 9 2" xfId="6156" xr:uid="{00000000-0005-0000-0000-0000BD090000}"/>
    <cellStyle name="Accent4 9 3" xfId="8673" xr:uid="{00000000-0005-0000-0000-0000BE090000}"/>
    <cellStyle name="Accent4_Saldos" xfId="128" xr:uid="{00000000-0005-0000-0000-0000BF090000}"/>
    <cellStyle name="Accent5" xfId="129" xr:uid="{00000000-0005-0000-0000-0000C0090000}"/>
    <cellStyle name="Accent5 - 20%" xfId="130" xr:uid="{00000000-0005-0000-0000-0000C1090000}"/>
    <cellStyle name="Accent5 - 20% 2" xfId="4856" xr:uid="{00000000-0005-0000-0000-0000C2090000}"/>
    <cellStyle name="Accent5 - 20% 3" xfId="8260" xr:uid="{00000000-0005-0000-0000-0000C3090000}"/>
    <cellStyle name="Accent5 - 20% 4" xfId="3204" xr:uid="{00000000-0005-0000-0000-0000C4090000}"/>
    <cellStyle name="Accent5 - 40%" xfId="131" xr:uid="{00000000-0005-0000-0000-0000C5090000}"/>
    <cellStyle name="Accent5 - 40% 2" xfId="4857" xr:uid="{00000000-0005-0000-0000-0000C6090000}"/>
    <cellStyle name="Accent5 - 40% 3" xfId="8261" xr:uid="{00000000-0005-0000-0000-0000C7090000}"/>
    <cellStyle name="Accent5 - 40% 4" xfId="3205" xr:uid="{00000000-0005-0000-0000-0000C8090000}"/>
    <cellStyle name="Accent5 - 60%" xfId="132" xr:uid="{00000000-0005-0000-0000-0000C9090000}"/>
    <cellStyle name="Accent5 - 60% 2" xfId="4858" xr:uid="{00000000-0005-0000-0000-0000CA090000}"/>
    <cellStyle name="Accent5 - 60% 3" xfId="8262" xr:uid="{00000000-0005-0000-0000-0000CB090000}"/>
    <cellStyle name="Accent5 - 60% 4" xfId="3206" xr:uid="{00000000-0005-0000-0000-0000CC090000}"/>
    <cellStyle name="Accent5 10" xfId="3950" xr:uid="{00000000-0005-0000-0000-0000CD090000}"/>
    <cellStyle name="Accent5 11" xfId="4520" xr:uid="{00000000-0005-0000-0000-0000CE090000}"/>
    <cellStyle name="Accent5 12" xfId="4523" xr:uid="{00000000-0005-0000-0000-0000CF090000}"/>
    <cellStyle name="Accent5 13" xfId="4539" xr:uid="{00000000-0005-0000-0000-0000D0090000}"/>
    <cellStyle name="Accent5 14" xfId="4684" xr:uid="{00000000-0005-0000-0000-0000D1090000}"/>
    <cellStyle name="Accent5 15" xfId="7805" xr:uid="{00000000-0005-0000-0000-0000D2090000}"/>
    <cellStyle name="Accent5 16" xfId="6268" xr:uid="{00000000-0005-0000-0000-0000D3090000}"/>
    <cellStyle name="Accent5 17" xfId="6271" xr:uid="{00000000-0005-0000-0000-0000D4090000}"/>
    <cellStyle name="Accent5 18" xfId="2587" xr:uid="{00000000-0005-0000-0000-0000D5090000}"/>
    <cellStyle name="Accent5 2" xfId="1069" xr:uid="{00000000-0005-0000-0000-0000D6090000}"/>
    <cellStyle name="Accent5 2 2" xfId="3599" xr:uid="{00000000-0005-0000-0000-0000D7090000}"/>
    <cellStyle name="Accent5 2 2 2" xfId="5211" xr:uid="{00000000-0005-0000-0000-0000D8090000}"/>
    <cellStyle name="Accent5 2 2 3" xfId="8583" xr:uid="{00000000-0005-0000-0000-0000D9090000}"/>
    <cellStyle name="Accent5 2 3" xfId="3207" xr:uid="{00000000-0005-0000-0000-0000DA090000}"/>
    <cellStyle name="Accent5 2 3 2" xfId="4859" xr:uid="{00000000-0005-0000-0000-0000DB090000}"/>
    <cellStyle name="Accent5 2 3 3" xfId="8263" xr:uid="{00000000-0005-0000-0000-0000DC090000}"/>
    <cellStyle name="Accent5 2 4" xfId="3951" xr:uid="{00000000-0005-0000-0000-0000DD090000}"/>
    <cellStyle name="Accent5 2 5" xfId="6350" xr:uid="{00000000-0005-0000-0000-0000DE090000}"/>
    <cellStyle name="Accent5 3" xfId="3208" xr:uid="{00000000-0005-0000-0000-0000DF090000}"/>
    <cellStyle name="Accent5 3 2" xfId="4860" xr:uid="{00000000-0005-0000-0000-0000E0090000}"/>
    <cellStyle name="Accent5 3 3" xfId="8264" xr:uid="{00000000-0005-0000-0000-0000E1090000}"/>
    <cellStyle name="Accent5 4" xfId="3209" xr:uid="{00000000-0005-0000-0000-0000E2090000}"/>
    <cellStyle name="Accent5 4 2" xfId="4861" xr:uid="{00000000-0005-0000-0000-0000E3090000}"/>
    <cellStyle name="Accent5 4 3" xfId="8265" xr:uid="{00000000-0005-0000-0000-0000E4090000}"/>
    <cellStyle name="Accent5 5" xfId="3210" xr:uid="{00000000-0005-0000-0000-0000E5090000}"/>
    <cellStyle name="Accent5 5 2" xfId="4862" xr:uid="{00000000-0005-0000-0000-0000E6090000}"/>
    <cellStyle name="Accent5 5 3" xfId="8266" xr:uid="{00000000-0005-0000-0000-0000E7090000}"/>
    <cellStyle name="Accent5 6" xfId="3211" xr:uid="{00000000-0005-0000-0000-0000E8090000}"/>
    <cellStyle name="Accent5 6 2" xfId="4863" xr:uid="{00000000-0005-0000-0000-0000E9090000}"/>
    <cellStyle name="Accent5 6 3" xfId="8267" xr:uid="{00000000-0005-0000-0000-0000EA090000}"/>
    <cellStyle name="Accent5 7" xfId="3203" xr:uid="{00000000-0005-0000-0000-0000EB090000}"/>
    <cellStyle name="Accent5 7 2" xfId="4855" xr:uid="{00000000-0005-0000-0000-0000EC090000}"/>
    <cellStyle name="Accent5 7 3" xfId="8259" xr:uid="{00000000-0005-0000-0000-0000ED090000}"/>
    <cellStyle name="Accent5 8" xfId="3737" xr:uid="{00000000-0005-0000-0000-0000EE090000}"/>
    <cellStyle name="Accent5 8 2" xfId="6138" xr:uid="{00000000-0005-0000-0000-0000EF090000}"/>
    <cellStyle name="Accent5 8 3" xfId="8651" xr:uid="{00000000-0005-0000-0000-0000F0090000}"/>
    <cellStyle name="Accent5 9" xfId="3759" xr:uid="{00000000-0005-0000-0000-0000F1090000}"/>
    <cellStyle name="Accent5 9 2" xfId="6155" xr:uid="{00000000-0005-0000-0000-0000F2090000}"/>
    <cellStyle name="Accent5 9 3" xfId="8672" xr:uid="{00000000-0005-0000-0000-0000F3090000}"/>
    <cellStyle name="Accent5_Saldos" xfId="133" xr:uid="{00000000-0005-0000-0000-0000F4090000}"/>
    <cellStyle name="Accent6" xfId="134" xr:uid="{00000000-0005-0000-0000-0000F5090000}"/>
    <cellStyle name="Accent6 - 20%" xfId="135" xr:uid="{00000000-0005-0000-0000-0000F6090000}"/>
    <cellStyle name="Accent6 - 20% 2" xfId="4865" xr:uid="{00000000-0005-0000-0000-0000F7090000}"/>
    <cellStyle name="Accent6 - 20% 3" xfId="8269" xr:uid="{00000000-0005-0000-0000-0000F8090000}"/>
    <cellStyle name="Accent6 - 20% 4" xfId="3213" xr:uid="{00000000-0005-0000-0000-0000F9090000}"/>
    <cellStyle name="Accent6 - 40%" xfId="136" xr:uid="{00000000-0005-0000-0000-0000FA090000}"/>
    <cellStyle name="Accent6 - 40% 2" xfId="4866" xr:uid="{00000000-0005-0000-0000-0000FB090000}"/>
    <cellStyle name="Accent6 - 40% 3" xfId="8270" xr:uid="{00000000-0005-0000-0000-0000FC090000}"/>
    <cellStyle name="Accent6 - 40% 4" xfId="3214" xr:uid="{00000000-0005-0000-0000-0000FD090000}"/>
    <cellStyle name="Accent6 - 60%" xfId="137" xr:uid="{00000000-0005-0000-0000-0000FE090000}"/>
    <cellStyle name="Accent6 - 60% 2" xfId="4867" xr:uid="{00000000-0005-0000-0000-0000FF090000}"/>
    <cellStyle name="Accent6 - 60% 3" xfId="8271" xr:uid="{00000000-0005-0000-0000-0000000A0000}"/>
    <cellStyle name="Accent6 - 60% 4" xfId="3215" xr:uid="{00000000-0005-0000-0000-0000010A0000}"/>
    <cellStyle name="Accent6 10" xfId="3952" xr:uid="{00000000-0005-0000-0000-0000020A0000}"/>
    <cellStyle name="Accent6 11" xfId="4521" xr:uid="{00000000-0005-0000-0000-0000030A0000}"/>
    <cellStyle name="Accent6 12" xfId="4522" xr:uid="{00000000-0005-0000-0000-0000040A0000}"/>
    <cellStyle name="Accent6 13" xfId="4540" xr:uid="{00000000-0005-0000-0000-0000050A0000}"/>
    <cellStyle name="Accent6 14" xfId="4546" xr:uid="{00000000-0005-0000-0000-0000060A0000}"/>
    <cellStyle name="Accent6 15" xfId="7804" xr:uid="{00000000-0005-0000-0000-0000070A0000}"/>
    <cellStyle name="Accent6 16" xfId="6269" xr:uid="{00000000-0005-0000-0000-0000080A0000}"/>
    <cellStyle name="Accent6 17" xfId="8764" xr:uid="{00000000-0005-0000-0000-0000090A0000}"/>
    <cellStyle name="Accent6 18" xfId="2586" xr:uid="{00000000-0005-0000-0000-00000A0A0000}"/>
    <cellStyle name="Accent6 2" xfId="1070" xr:uid="{00000000-0005-0000-0000-00000B0A0000}"/>
    <cellStyle name="Accent6 2 2" xfId="3603" xr:uid="{00000000-0005-0000-0000-00000C0A0000}"/>
    <cellStyle name="Accent6 2 2 2" xfId="5215" xr:uid="{00000000-0005-0000-0000-00000D0A0000}"/>
    <cellStyle name="Accent6 2 2 3" xfId="8587" xr:uid="{00000000-0005-0000-0000-00000E0A0000}"/>
    <cellStyle name="Accent6 2 3" xfId="3216" xr:uid="{00000000-0005-0000-0000-00000F0A0000}"/>
    <cellStyle name="Accent6 2 3 2" xfId="4868" xr:uid="{00000000-0005-0000-0000-0000100A0000}"/>
    <cellStyle name="Accent6 2 3 3" xfId="8272" xr:uid="{00000000-0005-0000-0000-0000110A0000}"/>
    <cellStyle name="Accent6 2 4" xfId="3953" xr:uid="{00000000-0005-0000-0000-0000120A0000}"/>
    <cellStyle name="Accent6 2 5" xfId="6351" xr:uid="{00000000-0005-0000-0000-0000130A0000}"/>
    <cellStyle name="Accent6 3" xfId="3217" xr:uid="{00000000-0005-0000-0000-0000140A0000}"/>
    <cellStyle name="Accent6 3 2" xfId="4869" xr:uid="{00000000-0005-0000-0000-0000150A0000}"/>
    <cellStyle name="Accent6 3 3" xfId="8273" xr:uid="{00000000-0005-0000-0000-0000160A0000}"/>
    <cellStyle name="Accent6 4" xfId="3218" xr:uid="{00000000-0005-0000-0000-0000170A0000}"/>
    <cellStyle name="Accent6 4 2" xfId="4870" xr:uid="{00000000-0005-0000-0000-0000180A0000}"/>
    <cellStyle name="Accent6 4 3" xfId="8274" xr:uid="{00000000-0005-0000-0000-0000190A0000}"/>
    <cellStyle name="Accent6 5" xfId="3219" xr:uid="{00000000-0005-0000-0000-00001A0A0000}"/>
    <cellStyle name="Accent6 5 2" xfId="4871" xr:uid="{00000000-0005-0000-0000-00001B0A0000}"/>
    <cellStyle name="Accent6 5 3" xfId="8275" xr:uid="{00000000-0005-0000-0000-00001C0A0000}"/>
    <cellStyle name="Accent6 6" xfId="3220" xr:uid="{00000000-0005-0000-0000-00001D0A0000}"/>
    <cellStyle name="Accent6 6 2" xfId="4872" xr:uid="{00000000-0005-0000-0000-00001E0A0000}"/>
    <cellStyle name="Accent6 6 3" xfId="8276" xr:uid="{00000000-0005-0000-0000-00001F0A0000}"/>
    <cellStyle name="Accent6 7" xfId="3212" xr:uid="{00000000-0005-0000-0000-0000200A0000}"/>
    <cellStyle name="Accent6 7 2" xfId="4864" xr:uid="{00000000-0005-0000-0000-0000210A0000}"/>
    <cellStyle name="Accent6 7 3" xfId="8268" xr:uid="{00000000-0005-0000-0000-0000220A0000}"/>
    <cellStyle name="Accent6 8" xfId="3738" xr:uid="{00000000-0005-0000-0000-0000230A0000}"/>
    <cellStyle name="Accent6 8 2" xfId="6139" xr:uid="{00000000-0005-0000-0000-0000240A0000}"/>
    <cellStyle name="Accent6 8 3" xfId="8652" xr:uid="{00000000-0005-0000-0000-0000250A0000}"/>
    <cellStyle name="Accent6 9" xfId="3757" xr:uid="{00000000-0005-0000-0000-0000260A0000}"/>
    <cellStyle name="Accent6 9 2" xfId="6153" xr:uid="{00000000-0005-0000-0000-0000270A0000}"/>
    <cellStyle name="Accent6 9 3" xfId="8670" xr:uid="{00000000-0005-0000-0000-0000280A0000}"/>
    <cellStyle name="Accent6_Saldos" xfId="138" xr:uid="{00000000-0005-0000-0000-0000290A0000}"/>
    <cellStyle name="Annotations Cell - PerformancePoint" xfId="8774" xr:uid="{00000000-0005-0000-0000-00002A0A0000}"/>
    <cellStyle name="Anos" xfId="139" xr:uid="{00000000-0005-0000-0000-00002B0A0000}"/>
    <cellStyle name="Bad" xfId="140" xr:uid="{00000000-0005-0000-0000-00002C0A0000}"/>
    <cellStyle name="Bad 10" xfId="7803" xr:uid="{00000000-0005-0000-0000-00002D0A0000}"/>
    <cellStyle name="Bad 11" xfId="2585" xr:uid="{00000000-0005-0000-0000-00002E0A0000}"/>
    <cellStyle name="Bad 2" xfId="1071" xr:uid="{00000000-0005-0000-0000-00002F0A0000}"/>
    <cellStyle name="Bad 2 2" xfId="3575" xr:uid="{00000000-0005-0000-0000-0000300A0000}"/>
    <cellStyle name="Bad 2 2 2" xfId="5187" xr:uid="{00000000-0005-0000-0000-0000310A0000}"/>
    <cellStyle name="Bad 2 2 3" xfId="8559" xr:uid="{00000000-0005-0000-0000-0000320A0000}"/>
    <cellStyle name="Bad 2 3" xfId="3222" xr:uid="{00000000-0005-0000-0000-0000330A0000}"/>
    <cellStyle name="Bad 2 3 2" xfId="4874" xr:uid="{00000000-0005-0000-0000-0000340A0000}"/>
    <cellStyle name="Bad 2 3 3" xfId="8278" xr:uid="{00000000-0005-0000-0000-0000350A0000}"/>
    <cellStyle name="Bad 2 4" xfId="3955" xr:uid="{00000000-0005-0000-0000-0000360A0000}"/>
    <cellStyle name="Bad 2 5" xfId="6352" xr:uid="{00000000-0005-0000-0000-0000370A0000}"/>
    <cellStyle name="Bad 3" xfId="3223" xr:uid="{00000000-0005-0000-0000-0000380A0000}"/>
    <cellStyle name="Bad 3 2" xfId="4875" xr:uid="{00000000-0005-0000-0000-0000390A0000}"/>
    <cellStyle name="Bad 3 3" xfId="8279" xr:uid="{00000000-0005-0000-0000-00003A0A0000}"/>
    <cellStyle name="Bad 4" xfId="3224" xr:uid="{00000000-0005-0000-0000-00003B0A0000}"/>
    <cellStyle name="Bad 4 2" xfId="4876" xr:uid="{00000000-0005-0000-0000-00003C0A0000}"/>
    <cellStyle name="Bad 4 3" xfId="8280" xr:uid="{00000000-0005-0000-0000-00003D0A0000}"/>
    <cellStyle name="Bad 5" xfId="3225" xr:uid="{00000000-0005-0000-0000-00003E0A0000}"/>
    <cellStyle name="Bad 5 2" xfId="4877" xr:uid="{00000000-0005-0000-0000-00003F0A0000}"/>
    <cellStyle name="Bad 5 3" xfId="8281" xr:uid="{00000000-0005-0000-0000-0000400A0000}"/>
    <cellStyle name="Bad 6" xfId="3226" xr:uid="{00000000-0005-0000-0000-0000410A0000}"/>
    <cellStyle name="Bad 6 2" xfId="4878" xr:uid="{00000000-0005-0000-0000-0000420A0000}"/>
    <cellStyle name="Bad 6 3" xfId="8282" xr:uid="{00000000-0005-0000-0000-0000430A0000}"/>
    <cellStyle name="Bad 7" xfId="3227" xr:uid="{00000000-0005-0000-0000-0000440A0000}"/>
    <cellStyle name="Bad 7 2" xfId="4879" xr:uid="{00000000-0005-0000-0000-0000450A0000}"/>
    <cellStyle name="Bad 7 3" xfId="8283" xr:uid="{00000000-0005-0000-0000-0000460A0000}"/>
    <cellStyle name="Bad 8" xfId="3221" xr:uid="{00000000-0005-0000-0000-0000470A0000}"/>
    <cellStyle name="Bad 8 2" xfId="4873" xr:uid="{00000000-0005-0000-0000-0000480A0000}"/>
    <cellStyle name="Bad 8 3" xfId="8277" xr:uid="{00000000-0005-0000-0000-0000490A0000}"/>
    <cellStyle name="Bad 9" xfId="3954" xr:uid="{00000000-0005-0000-0000-00004A0A0000}"/>
    <cellStyle name="CABECALHO" xfId="3228" xr:uid="{00000000-0005-0000-0000-00004B0A0000}"/>
    <cellStyle name="Cabeçalho 1" xfId="141" builtinId="16"/>
    <cellStyle name="Cabeçalho 1 10" xfId="142" xr:uid="{00000000-0005-0000-0000-00004D0A0000}"/>
    <cellStyle name="Cabeçalho 1 11" xfId="143" xr:uid="{00000000-0005-0000-0000-00004E0A0000}"/>
    <cellStyle name="Cabeçalho 1 12" xfId="144" xr:uid="{00000000-0005-0000-0000-00004F0A0000}"/>
    <cellStyle name="Cabeçalho 1 13" xfId="145" xr:uid="{00000000-0005-0000-0000-0000500A0000}"/>
    <cellStyle name="Cabeçalho 1 2" xfId="146" xr:uid="{00000000-0005-0000-0000-0000510A0000}"/>
    <cellStyle name="Cabeçalho 1 2 10" xfId="147" xr:uid="{00000000-0005-0000-0000-0000520A0000}"/>
    <cellStyle name="Cabeçalho 1 2 11" xfId="148" xr:uid="{00000000-0005-0000-0000-0000530A0000}"/>
    <cellStyle name="Cabeçalho 1 2 12" xfId="2129" xr:uid="{00000000-0005-0000-0000-0000540A0000}"/>
    <cellStyle name="Cabeçalho 1 2 2" xfId="149" xr:uid="{00000000-0005-0000-0000-0000550A0000}"/>
    <cellStyle name="Cabeçalho 1 2 2 2" xfId="3956" xr:uid="{00000000-0005-0000-0000-0000560A0000}"/>
    <cellStyle name="Cabeçalho 1 2 3" xfId="150" xr:uid="{00000000-0005-0000-0000-0000570A0000}"/>
    <cellStyle name="Cabeçalho 1 2 3 2" xfId="7369" xr:uid="{00000000-0005-0000-0000-0000580A0000}"/>
    <cellStyle name="Cabeçalho 1 2 4" xfId="151" xr:uid="{00000000-0005-0000-0000-0000590A0000}"/>
    <cellStyle name="Cabeçalho 1 2 5" xfId="152" xr:uid="{00000000-0005-0000-0000-00005A0A0000}"/>
    <cellStyle name="Cabeçalho 1 2 6" xfId="153" xr:uid="{00000000-0005-0000-0000-00005B0A0000}"/>
    <cellStyle name="Cabeçalho 1 2 7" xfId="154" xr:uid="{00000000-0005-0000-0000-00005C0A0000}"/>
    <cellStyle name="Cabeçalho 1 2 8" xfId="155" xr:uid="{00000000-0005-0000-0000-00005D0A0000}"/>
    <cellStyle name="Cabeçalho 1 2 9" xfId="156" xr:uid="{00000000-0005-0000-0000-00005E0A0000}"/>
    <cellStyle name="Cabeçalho 1 3" xfId="157" xr:uid="{00000000-0005-0000-0000-00005F0A0000}"/>
    <cellStyle name="Cabeçalho 1 3 2" xfId="4716" xr:uid="{00000000-0005-0000-0000-0000600A0000}"/>
    <cellStyle name="Cabeçalho 1 4" xfId="158" xr:uid="{00000000-0005-0000-0000-0000610A0000}"/>
    <cellStyle name="Cabeçalho 1 4 2" xfId="6280" xr:uid="{00000000-0005-0000-0000-0000620A0000}"/>
    <cellStyle name="Cabeçalho 1 5" xfId="159" xr:uid="{00000000-0005-0000-0000-0000630A0000}"/>
    <cellStyle name="Cabeçalho 1 5 2" xfId="998" xr:uid="{00000000-0005-0000-0000-0000640A0000}"/>
    <cellStyle name="Cabeçalho 1 6" xfId="160" xr:uid="{00000000-0005-0000-0000-0000650A0000}"/>
    <cellStyle name="Cabeçalho 1 7" xfId="161" xr:uid="{00000000-0005-0000-0000-0000660A0000}"/>
    <cellStyle name="Cabeçalho 1 8" xfId="162" xr:uid="{00000000-0005-0000-0000-0000670A0000}"/>
    <cellStyle name="Cabeçalho 1 9" xfId="163" xr:uid="{00000000-0005-0000-0000-0000680A0000}"/>
    <cellStyle name="CABECALHO 2" xfId="3229" xr:uid="{00000000-0005-0000-0000-0000690A0000}"/>
    <cellStyle name="Cabeçalho 2 10" xfId="164" xr:uid="{00000000-0005-0000-0000-00006A0A0000}"/>
    <cellStyle name="Cabeçalho 2 11" xfId="165" xr:uid="{00000000-0005-0000-0000-00006B0A0000}"/>
    <cellStyle name="CABECALHO 2 2" xfId="4881" xr:uid="{00000000-0005-0000-0000-00006C0A0000}"/>
    <cellStyle name="Cabeçalho 2 2" xfId="166" xr:uid="{00000000-0005-0000-0000-00006D0A0000}"/>
    <cellStyle name="Cabeçalho 2 2 10" xfId="167" xr:uid="{00000000-0005-0000-0000-00006E0A0000}"/>
    <cellStyle name="Cabeçalho 2 2 11" xfId="168" xr:uid="{00000000-0005-0000-0000-00006F0A0000}"/>
    <cellStyle name="Cabeçalho 2 2 12" xfId="2130" xr:uid="{00000000-0005-0000-0000-0000700A0000}"/>
    <cellStyle name="Cabeçalho 2 2 2" xfId="169" xr:uid="{00000000-0005-0000-0000-0000710A0000}"/>
    <cellStyle name="Cabeçalho 2 2 2 2" xfId="3957" xr:uid="{00000000-0005-0000-0000-0000720A0000}"/>
    <cellStyle name="Cabeçalho 2 2 3" xfId="170" xr:uid="{00000000-0005-0000-0000-0000730A0000}"/>
    <cellStyle name="Cabeçalho 2 2 3 2" xfId="7370" xr:uid="{00000000-0005-0000-0000-0000740A0000}"/>
    <cellStyle name="Cabeçalho 2 2 4" xfId="171" xr:uid="{00000000-0005-0000-0000-0000750A0000}"/>
    <cellStyle name="Cabeçalho 2 2 5" xfId="172" xr:uid="{00000000-0005-0000-0000-0000760A0000}"/>
    <cellStyle name="Cabeçalho 2 2 6" xfId="173" xr:uid="{00000000-0005-0000-0000-0000770A0000}"/>
    <cellStyle name="Cabeçalho 2 2 7" xfId="174" xr:uid="{00000000-0005-0000-0000-0000780A0000}"/>
    <cellStyle name="Cabeçalho 2 2 8" xfId="175" xr:uid="{00000000-0005-0000-0000-0000790A0000}"/>
    <cellStyle name="Cabeçalho 2 2 9" xfId="176" xr:uid="{00000000-0005-0000-0000-00007A0A0000}"/>
    <cellStyle name="CABECALHO 2 3" xfId="8285" xr:uid="{00000000-0005-0000-0000-00007B0A0000}"/>
    <cellStyle name="Cabeçalho 2 3" xfId="177" xr:uid="{00000000-0005-0000-0000-00007C0A0000}"/>
    <cellStyle name="Cabeçalho 2 3 2" xfId="4717" xr:uid="{00000000-0005-0000-0000-00007D0A0000}"/>
    <cellStyle name="Cabeçalho 2 4" xfId="178" xr:uid="{00000000-0005-0000-0000-00007E0A0000}"/>
    <cellStyle name="Cabeçalho 2 4 2" xfId="6230" xr:uid="{00000000-0005-0000-0000-00007F0A0000}"/>
    <cellStyle name="Cabeçalho 2 5" xfId="179" xr:uid="{00000000-0005-0000-0000-0000800A0000}"/>
    <cellStyle name="Cabeçalho 2 5 2" xfId="6281" xr:uid="{00000000-0005-0000-0000-0000810A0000}"/>
    <cellStyle name="Cabeçalho 2 6" xfId="180" xr:uid="{00000000-0005-0000-0000-0000820A0000}"/>
    <cellStyle name="Cabeçalho 2 6 2" xfId="6270" xr:uid="{00000000-0005-0000-0000-0000830A0000}"/>
    <cellStyle name="Cabeçalho 2 7" xfId="181" xr:uid="{00000000-0005-0000-0000-0000840A0000}"/>
    <cellStyle name="Cabeçalho 2 7 2" xfId="8536" xr:uid="{00000000-0005-0000-0000-0000850A0000}"/>
    <cellStyle name="Cabeçalho 2 8" xfId="182" xr:uid="{00000000-0005-0000-0000-0000860A0000}"/>
    <cellStyle name="Cabeçalho 2 8 2" xfId="999" xr:uid="{00000000-0005-0000-0000-0000870A0000}"/>
    <cellStyle name="Cabeçalho 2 9" xfId="183" xr:uid="{00000000-0005-0000-0000-0000880A0000}"/>
    <cellStyle name="Cabeçalho 2 9 2" xfId="8868" xr:uid="{00000000-0005-0000-0000-0000890A0000}"/>
    <cellStyle name="CABECALHO 3" xfId="4880" xr:uid="{00000000-0005-0000-0000-00008A0A0000}"/>
    <cellStyle name="Cabeçalho 3 10" xfId="184" xr:uid="{00000000-0005-0000-0000-00008B0A0000}"/>
    <cellStyle name="Cabeçalho 3 11" xfId="185" xr:uid="{00000000-0005-0000-0000-00008C0A0000}"/>
    <cellStyle name="Cabeçalho 3 2" xfId="186" xr:uid="{00000000-0005-0000-0000-00008D0A0000}"/>
    <cellStyle name="Cabeçalho 3 2 10" xfId="187" xr:uid="{00000000-0005-0000-0000-00008E0A0000}"/>
    <cellStyle name="Cabeçalho 3 2 11" xfId="188" xr:uid="{00000000-0005-0000-0000-00008F0A0000}"/>
    <cellStyle name="Cabeçalho 3 2 12" xfId="2131" xr:uid="{00000000-0005-0000-0000-0000900A0000}"/>
    <cellStyle name="Cabeçalho 3 2 2" xfId="189" xr:uid="{00000000-0005-0000-0000-0000910A0000}"/>
    <cellStyle name="Cabeçalho 3 2 2 2" xfId="3958" xr:uid="{00000000-0005-0000-0000-0000920A0000}"/>
    <cellStyle name="Cabeçalho 3 2 3" xfId="190" xr:uid="{00000000-0005-0000-0000-0000930A0000}"/>
    <cellStyle name="Cabeçalho 3 2 3 2" xfId="7371" xr:uid="{00000000-0005-0000-0000-0000940A0000}"/>
    <cellStyle name="Cabeçalho 3 2 4" xfId="191" xr:uid="{00000000-0005-0000-0000-0000950A0000}"/>
    <cellStyle name="Cabeçalho 3 2 5" xfId="192" xr:uid="{00000000-0005-0000-0000-0000960A0000}"/>
    <cellStyle name="Cabeçalho 3 2 6" xfId="193" xr:uid="{00000000-0005-0000-0000-0000970A0000}"/>
    <cellStyle name="Cabeçalho 3 2 7" xfId="194" xr:uid="{00000000-0005-0000-0000-0000980A0000}"/>
    <cellStyle name="Cabeçalho 3 2 8" xfId="195" xr:uid="{00000000-0005-0000-0000-0000990A0000}"/>
    <cellStyle name="Cabeçalho 3 2 9" xfId="196" xr:uid="{00000000-0005-0000-0000-00009A0A0000}"/>
    <cellStyle name="Cabeçalho 3 3" xfId="197" xr:uid="{00000000-0005-0000-0000-00009B0A0000}"/>
    <cellStyle name="Cabeçalho 3 3 2" xfId="4718" xr:uid="{00000000-0005-0000-0000-00009C0A0000}"/>
    <cellStyle name="Cabeçalho 3 4" xfId="198" xr:uid="{00000000-0005-0000-0000-00009D0A0000}"/>
    <cellStyle name="Cabeçalho 3 4 2" xfId="6282" xr:uid="{00000000-0005-0000-0000-00009E0A0000}"/>
    <cellStyle name="Cabeçalho 3 5" xfId="199" xr:uid="{00000000-0005-0000-0000-00009F0A0000}"/>
    <cellStyle name="Cabeçalho 3 5 2" xfId="1000" xr:uid="{00000000-0005-0000-0000-0000A00A0000}"/>
    <cellStyle name="Cabeçalho 3 6" xfId="200" xr:uid="{00000000-0005-0000-0000-0000A10A0000}"/>
    <cellStyle name="Cabeçalho 3 7" xfId="201" xr:uid="{00000000-0005-0000-0000-0000A20A0000}"/>
    <cellStyle name="Cabeçalho 3 8" xfId="202" xr:uid="{00000000-0005-0000-0000-0000A30A0000}"/>
    <cellStyle name="Cabeçalho 3 9" xfId="203" xr:uid="{00000000-0005-0000-0000-0000A40A0000}"/>
    <cellStyle name="CABECALHO 4" xfId="6231" xr:uid="{00000000-0005-0000-0000-0000A50A0000}"/>
    <cellStyle name="Cabeçalho 4 10" xfId="204" xr:uid="{00000000-0005-0000-0000-0000A60A0000}"/>
    <cellStyle name="Cabeçalho 4 11" xfId="205" xr:uid="{00000000-0005-0000-0000-0000A70A0000}"/>
    <cellStyle name="Cabeçalho 4 2" xfId="206" xr:uid="{00000000-0005-0000-0000-0000A80A0000}"/>
    <cellStyle name="Cabeçalho 4 2 10" xfId="207" xr:uid="{00000000-0005-0000-0000-0000A90A0000}"/>
    <cellStyle name="Cabeçalho 4 2 11" xfId="208" xr:uid="{00000000-0005-0000-0000-0000AA0A0000}"/>
    <cellStyle name="Cabeçalho 4 2 12" xfId="2132" xr:uid="{00000000-0005-0000-0000-0000AB0A0000}"/>
    <cellStyle name="Cabeçalho 4 2 2" xfId="209" xr:uid="{00000000-0005-0000-0000-0000AC0A0000}"/>
    <cellStyle name="Cabeçalho 4 2 2 2" xfId="3959" xr:uid="{00000000-0005-0000-0000-0000AD0A0000}"/>
    <cellStyle name="Cabeçalho 4 2 3" xfId="210" xr:uid="{00000000-0005-0000-0000-0000AE0A0000}"/>
    <cellStyle name="Cabeçalho 4 2 3 2" xfId="7372" xr:uid="{00000000-0005-0000-0000-0000AF0A0000}"/>
    <cellStyle name="Cabeçalho 4 2 4" xfId="211" xr:uid="{00000000-0005-0000-0000-0000B00A0000}"/>
    <cellStyle name="Cabeçalho 4 2 5" xfId="212" xr:uid="{00000000-0005-0000-0000-0000B10A0000}"/>
    <cellStyle name="Cabeçalho 4 2 6" xfId="213" xr:uid="{00000000-0005-0000-0000-0000B20A0000}"/>
    <cellStyle name="Cabeçalho 4 2 7" xfId="214" xr:uid="{00000000-0005-0000-0000-0000B30A0000}"/>
    <cellStyle name="Cabeçalho 4 2 8" xfId="215" xr:uid="{00000000-0005-0000-0000-0000B40A0000}"/>
    <cellStyle name="Cabeçalho 4 2 9" xfId="216" xr:uid="{00000000-0005-0000-0000-0000B50A0000}"/>
    <cellStyle name="Cabeçalho 4 3" xfId="217" xr:uid="{00000000-0005-0000-0000-0000B60A0000}"/>
    <cellStyle name="Cabeçalho 4 3 2" xfId="4719" xr:uid="{00000000-0005-0000-0000-0000B70A0000}"/>
    <cellStyle name="Cabeçalho 4 4" xfId="218" xr:uid="{00000000-0005-0000-0000-0000B80A0000}"/>
    <cellStyle name="Cabeçalho 4 4 2" xfId="6283" xr:uid="{00000000-0005-0000-0000-0000B90A0000}"/>
    <cellStyle name="Cabeçalho 4 5" xfId="219" xr:uid="{00000000-0005-0000-0000-0000BA0A0000}"/>
    <cellStyle name="Cabeçalho 4 5 2" xfId="1001" xr:uid="{00000000-0005-0000-0000-0000BB0A0000}"/>
    <cellStyle name="Cabeçalho 4 6" xfId="220" xr:uid="{00000000-0005-0000-0000-0000BC0A0000}"/>
    <cellStyle name="Cabeçalho 4 7" xfId="221" xr:uid="{00000000-0005-0000-0000-0000BD0A0000}"/>
    <cellStyle name="Cabeçalho 4 8" xfId="222" xr:uid="{00000000-0005-0000-0000-0000BE0A0000}"/>
    <cellStyle name="Cabeçalho 4 9" xfId="223" xr:uid="{00000000-0005-0000-0000-0000BF0A0000}"/>
    <cellStyle name="CABECALHO 5" xfId="8284" xr:uid="{00000000-0005-0000-0000-0000C00A0000}"/>
    <cellStyle name="CABECALHO 6" xfId="6273" xr:uid="{00000000-0005-0000-0000-0000C10A0000}"/>
    <cellStyle name="CABECALHO 7" xfId="8763" xr:uid="{00000000-0005-0000-0000-0000C20A0000}"/>
    <cellStyle name="cal" xfId="224" xr:uid="{00000000-0005-0000-0000-0000C30A0000}"/>
    <cellStyle name="Calc" xfId="225" xr:uid="{00000000-0005-0000-0000-0000C40A0000}"/>
    <cellStyle name="Calc - Blue" xfId="226" xr:uid="{00000000-0005-0000-0000-0000C50A0000}"/>
    <cellStyle name="Calc - Green" xfId="227" xr:uid="{00000000-0005-0000-0000-0000C60A0000}"/>
    <cellStyle name="Calc - Grey" xfId="228" xr:uid="{00000000-0005-0000-0000-0000C70A0000}"/>
    <cellStyle name="Calc - White" xfId="229" xr:uid="{00000000-0005-0000-0000-0000C80A0000}"/>
    <cellStyle name="Calculation" xfId="230" xr:uid="{00000000-0005-0000-0000-0000C90A0000}"/>
    <cellStyle name="Calculation 10" xfId="3230" xr:uid="{00000000-0005-0000-0000-0000CA0A0000}"/>
    <cellStyle name="Calculation 10 2" xfId="4882" xr:uid="{00000000-0005-0000-0000-0000CB0A0000}"/>
    <cellStyle name="Calculation 10 3" xfId="8286" xr:uid="{00000000-0005-0000-0000-0000CC0A0000}"/>
    <cellStyle name="Calculation 11" xfId="3960" xr:uid="{00000000-0005-0000-0000-0000CD0A0000}"/>
    <cellStyle name="Calculation 12" xfId="7802" xr:uid="{00000000-0005-0000-0000-0000CE0A0000}"/>
    <cellStyle name="Calculation 13" xfId="2584" xr:uid="{00000000-0005-0000-0000-0000CF0A0000}"/>
    <cellStyle name="Calculation 2" xfId="231" xr:uid="{00000000-0005-0000-0000-0000D00A0000}"/>
    <cellStyle name="Calculation 2 2" xfId="3232" xr:uid="{00000000-0005-0000-0000-0000D10A0000}"/>
    <cellStyle name="Calculation 2 2 2" xfId="4884" xr:uid="{00000000-0005-0000-0000-0000D20A0000}"/>
    <cellStyle name="Calculation 2 2 3" xfId="8288" xr:uid="{00000000-0005-0000-0000-0000D30A0000}"/>
    <cellStyle name="Calculation 2 3" xfId="3233" xr:uid="{00000000-0005-0000-0000-0000D40A0000}"/>
    <cellStyle name="Calculation 2 3 2" xfId="4885" xr:uid="{00000000-0005-0000-0000-0000D50A0000}"/>
    <cellStyle name="Calculation 2 3 3" xfId="8289" xr:uid="{00000000-0005-0000-0000-0000D60A0000}"/>
    <cellStyle name="Calculation 2 4" xfId="3234" xr:uid="{00000000-0005-0000-0000-0000D70A0000}"/>
    <cellStyle name="Calculation 2 4 2" xfId="4886" xr:uid="{00000000-0005-0000-0000-0000D80A0000}"/>
    <cellStyle name="Calculation 2 4 3" xfId="8290" xr:uid="{00000000-0005-0000-0000-0000D90A0000}"/>
    <cellStyle name="Calculation 2 5" xfId="3579" xr:uid="{00000000-0005-0000-0000-0000DA0A0000}"/>
    <cellStyle name="Calculation 2 5 2" xfId="5191" xr:uid="{00000000-0005-0000-0000-0000DB0A0000}"/>
    <cellStyle name="Calculation 2 5 3" xfId="8563" xr:uid="{00000000-0005-0000-0000-0000DC0A0000}"/>
    <cellStyle name="Calculation 2 6" xfId="3231" xr:uid="{00000000-0005-0000-0000-0000DD0A0000}"/>
    <cellStyle name="Calculation 2 6 2" xfId="4883" xr:uid="{00000000-0005-0000-0000-0000DE0A0000}"/>
    <cellStyle name="Calculation 2 6 3" xfId="8287" xr:uid="{00000000-0005-0000-0000-0000DF0A0000}"/>
    <cellStyle name="Calculation 2 7" xfId="3961" xr:uid="{00000000-0005-0000-0000-0000E00A0000}"/>
    <cellStyle name="Calculation 2 8" xfId="6353" xr:uid="{00000000-0005-0000-0000-0000E10A0000}"/>
    <cellStyle name="Calculation 2 9" xfId="1072" xr:uid="{00000000-0005-0000-0000-0000E20A0000}"/>
    <cellStyle name="Calculation 3" xfId="3235" xr:uid="{00000000-0005-0000-0000-0000E30A0000}"/>
    <cellStyle name="Calculation 3 2" xfId="3236" xr:uid="{00000000-0005-0000-0000-0000E40A0000}"/>
    <cellStyle name="Calculation 3 2 2" xfId="4888" xr:uid="{00000000-0005-0000-0000-0000E50A0000}"/>
    <cellStyle name="Calculation 3 2 3" xfId="8292" xr:uid="{00000000-0005-0000-0000-0000E60A0000}"/>
    <cellStyle name="Calculation 3 3" xfId="3237" xr:uid="{00000000-0005-0000-0000-0000E70A0000}"/>
    <cellStyle name="Calculation 3 3 2" xfId="4889" xr:uid="{00000000-0005-0000-0000-0000E80A0000}"/>
    <cellStyle name="Calculation 3 3 3" xfId="8293" xr:uid="{00000000-0005-0000-0000-0000E90A0000}"/>
    <cellStyle name="Calculation 3 4" xfId="3238" xr:uid="{00000000-0005-0000-0000-0000EA0A0000}"/>
    <cellStyle name="Calculation 3 4 2" xfId="4890" xr:uid="{00000000-0005-0000-0000-0000EB0A0000}"/>
    <cellStyle name="Calculation 3 4 3" xfId="8294" xr:uid="{00000000-0005-0000-0000-0000EC0A0000}"/>
    <cellStyle name="Calculation 3 5" xfId="4887" xr:uid="{00000000-0005-0000-0000-0000ED0A0000}"/>
    <cellStyle name="Calculation 3 6" xfId="8291" xr:uid="{00000000-0005-0000-0000-0000EE0A0000}"/>
    <cellStyle name="Calculation 4" xfId="3239" xr:uid="{00000000-0005-0000-0000-0000EF0A0000}"/>
    <cellStyle name="Calculation 4 2" xfId="3240" xr:uid="{00000000-0005-0000-0000-0000F00A0000}"/>
    <cellStyle name="Calculation 4 2 2" xfId="4892" xr:uid="{00000000-0005-0000-0000-0000F10A0000}"/>
    <cellStyle name="Calculation 4 2 3" xfId="8296" xr:uid="{00000000-0005-0000-0000-0000F20A0000}"/>
    <cellStyle name="Calculation 4 3" xfId="3241" xr:uid="{00000000-0005-0000-0000-0000F30A0000}"/>
    <cellStyle name="Calculation 4 3 2" xfId="4893" xr:uid="{00000000-0005-0000-0000-0000F40A0000}"/>
    <cellStyle name="Calculation 4 3 3" xfId="8297" xr:uid="{00000000-0005-0000-0000-0000F50A0000}"/>
    <cellStyle name="Calculation 4 4" xfId="3242" xr:uid="{00000000-0005-0000-0000-0000F60A0000}"/>
    <cellStyle name="Calculation 4 4 2" xfId="4894" xr:uid="{00000000-0005-0000-0000-0000F70A0000}"/>
    <cellStyle name="Calculation 4 4 3" xfId="8298" xr:uid="{00000000-0005-0000-0000-0000F80A0000}"/>
    <cellStyle name="Calculation 4 5" xfId="4891" xr:uid="{00000000-0005-0000-0000-0000F90A0000}"/>
    <cellStyle name="Calculation 4 6" xfId="8295" xr:uid="{00000000-0005-0000-0000-0000FA0A0000}"/>
    <cellStyle name="Calculation 5" xfId="3243" xr:uid="{00000000-0005-0000-0000-0000FB0A0000}"/>
    <cellStyle name="Calculation 5 2" xfId="3244" xr:uid="{00000000-0005-0000-0000-0000FC0A0000}"/>
    <cellStyle name="Calculation 5 2 2" xfId="4896" xr:uid="{00000000-0005-0000-0000-0000FD0A0000}"/>
    <cellStyle name="Calculation 5 2 3" xfId="8300" xr:uid="{00000000-0005-0000-0000-0000FE0A0000}"/>
    <cellStyle name="Calculation 5 3" xfId="3245" xr:uid="{00000000-0005-0000-0000-0000FF0A0000}"/>
    <cellStyle name="Calculation 5 3 2" xfId="4897" xr:uid="{00000000-0005-0000-0000-0000000B0000}"/>
    <cellStyle name="Calculation 5 3 3" xfId="8301" xr:uid="{00000000-0005-0000-0000-0000010B0000}"/>
    <cellStyle name="Calculation 5 4" xfId="3246" xr:uid="{00000000-0005-0000-0000-0000020B0000}"/>
    <cellStyle name="Calculation 5 4 2" xfId="4898" xr:uid="{00000000-0005-0000-0000-0000030B0000}"/>
    <cellStyle name="Calculation 5 4 3" xfId="8302" xr:uid="{00000000-0005-0000-0000-0000040B0000}"/>
    <cellStyle name="Calculation 5 5" xfId="4895" xr:uid="{00000000-0005-0000-0000-0000050B0000}"/>
    <cellStyle name="Calculation 5 6" xfId="8299" xr:uid="{00000000-0005-0000-0000-0000060B0000}"/>
    <cellStyle name="Calculation 6" xfId="3247" xr:uid="{00000000-0005-0000-0000-0000070B0000}"/>
    <cellStyle name="Calculation 6 2" xfId="3248" xr:uid="{00000000-0005-0000-0000-0000080B0000}"/>
    <cellStyle name="Calculation 6 2 2" xfId="4900" xr:uid="{00000000-0005-0000-0000-0000090B0000}"/>
    <cellStyle name="Calculation 6 2 3" xfId="8304" xr:uid="{00000000-0005-0000-0000-00000A0B0000}"/>
    <cellStyle name="Calculation 6 3" xfId="3249" xr:uid="{00000000-0005-0000-0000-00000B0B0000}"/>
    <cellStyle name="Calculation 6 3 2" xfId="4901" xr:uid="{00000000-0005-0000-0000-00000C0B0000}"/>
    <cellStyle name="Calculation 6 3 3" xfId="8305" xr:uid="{00000000-0005-0000-0000-00000D0B0000}"/>
    <cellStyle name="Calculation 6 4" xfId="3250" xr:uid="{00000000-0005-0000-0000-00000E0B0000}"/>
    <cellStyle name="Calculation 6 4 2" xfId="4902" xr:uid="{00000000-0005-0000-0000-00000F0B0000}"/>
    <cellStyle name="Calculation 6 4 3" xfId="8306" xr:uid="{00000000-0005-0000-0000-0000100B0000}"/>
    <cellStyle name="Calculation 6 5" xfId="4899" xr:uid="{00000000-0005-0000-0000-0000110B0000}"/>
    <cellStyle name="Calculation 6 6" xfId="8303" xr:uid="{00000000-0005-0000-0000-0000120B0000}"/>
    <cellStyle name="Calculation 7" xfId="3251" xr:uid="{00000000-0005-0000-0000-0000130B0000}"/>
    <cellStyle name="Calculation 7 2" xfId="4903" xr:uid="{00000000-0005-0000-0000-0000140B0000}"/>
    <cellStyle name="Calculation 7 3" xfId="8307" xr:uid="{00000000-0005-0000-0000-0000150B0000}"/>
    <cellStyle name="Calculation 8" xfId="3252" xr:uid="{00000000-0005-0000-0000-0000160B0000}"/>
    <cellStyle name="Calculation 8 2" xfId="4904" xr:uid="{00000000-0005-0000-0000-0000170B0000}"/>
    <cellStyle name="Calculation 8 3" xfId="8308" xr:uid="{00000000-0005-0000-0000-0000180B0000}"/>
    <cellStyle name="Calculation 9" xfId="3253" xr:uid="{00000000-0005-0000-0000-0000190B0000}"/>
    <cellStyle name="Calculation 9 2" xfId="4905" xr:uid="{00000000-0005-0000-0000-00001A0B0000}"/>
    <cellStyle name="Calculation 9 3" xfId="8309" xr:uid="{00000000-0005-0000-0000-00001B0B0000}"/>
    <cellStyle name="Cálculo 2" xfId="232" xr:uid="{00000000-0005-0000-0000-00001C0B0000}"/>
    <cellStyle name="Cálculo 2 2" xfId="6289" xr:uid="{00000000-0005-0000-0000-00001D0B0000}"/>
    <cellStyle name="Cálculo 3" xfId="233" xr:uid="{00000000-0005-0000-0000-00001E0B0000}"/>
    <cellStyle name="Cálculo 3 2" xfId="1007" xr:uid="{00000000-0005-0000-0000-00001F0B0000}"/>
    <cellStyle name="Cálculo 4" xfId="234" xr:uid="{00000000-0005-0000-0000-0000200B0000}"/>
    <cellStyle name="Cancel" xfId="2632" xr:uid="{00000000-0005-0000-0000-0000210B0000}"/>
    <cellStyle name="Cancel 2" xfId="3962" xr:uid="{00000000-0005-0000-0000-0000220B0000}"/>
    <cellStyle name="Cancel 3" xfId="7848" xr:uid="{00000000-0005-0000-0000-0000230B0000}"/>
    <cellStyle name="Célula Ligada 10" xfId="235" xr:uid="{00000000-0005-0000-0000-0000240B0000}"/>
    <cellStyle name="Célula Ligada 11" xfId="236" xr:uid="{00000000-0005-0000-0000-0000250B0000}"/>
    <cellStyle name="Célula Ligada 2" xfId="237" xr:uid="{00000000-0005-0000-0000-0000260B0000}"/>
    <cellStyle name="Célula Ligada 2 10" xfId="238" xr:uid="{00000000-0005-0000-0000-0000270B0000}"/>
    <cellStyle name="Célula Ligada 2 11" xfId="239" xr:uid="{00000000-0005-0000-0000-0000280B0000}"/>
    <cellStyle name="Célula Ligada 2 12" xfId="2133" xr:uid="{00000000-0005-0000-0000-0000290B0000}"/>
    <cellStyle name="Célula Ligada 2 2" xfId="240" xr:uid="{00000000-0005-0000-0000-00002A0B0000}"/>
    <cellStyle name="Célula Ligada 2 2 2" xfId="3963" xr:uid="{00000000-0005-0000-0000-00002B0B0000}"/>
    <cellStyle name="Célula Ligada 2 3" xfId="241" xr:uid="{00000000-0005-0000-0000-00002C0B0000}"/>
    <cellStyle name="Célula Ligada 2 3 2" xfId="7373" xr:uid="{00000000-0005-0000-0000-00002D0B0000}"/>
    <cellStyle name="Célula Ligada 2 4" xfId="242" xr:uid="{00000000-0005-0000-0000-00002E0B0000}"/>
    <cellStyle name="Célula Ligada 2 5" xfId="243" xr:uid="{00000000-0005-0000-0000-00002F0B0000}"/>
    <cellStyle name="Célula Ligada 2 6" xfId="244" xr:uid="{00000000-0005-0000-0000-0000300B0000}"/>
    <cellStyle name="Célula Ligada 2 7" xfId="245" xr:uid="{00000000-0005-0000-0000-0000310B0000}"/>
    <cellStyle name="Célula Ligada 2 8" xfId="246" xr:uid="{00000000-0005-0000-0000-0000320B0000}"/>
    <cellStyle name="Célula Ligada 2 9" xfId="247" xr:uid="{00000000-0005-0000-0000-0000330B0000}"/>
    <cellStyle name="Célula Ligada 3" xfId="248" xr:uid="{00000000-0005-0000-0000-0000340B0000}"/>
    <cellStyle name="Célula Ligada 3 2" xfId="4722" xr:uid="{00000000-0005-0000-0000-0000350B0000}"/>
    <cellStyle name="Célula Ligada 4" xfId="249" xr:uid="{00000000-0005-0000-0000-0000360B0000}"/>
    <cellStyle name="Célula Ligada 4 2" xfId="6290" xr:uid="{00000000-0005-0000-0000-0000370B0000}"/>
    <cellStyle name="Célula Ligada 5" xfId="250" xr:uid="{00000000-0005-0000-0000-0000380B0000}"/>
    <cellStyle name="Célula Ligada 5 2" xfId="1008" xr:uid="{00000000-0005-0000-0000-0000390B0000}"/>
    <cellStyle name="Célula Ligada 6" xfId="251" xr:uid="{00000000-0005-0000-0000-00003A0B0000}"/>
    <cellStyle name="Célula Ligada 7" xfId="252" xr:uid="{00000000-0005-0000-0000-00003B0B0000}"/>
    <cellStyle name="Célula Ligada 8" xfId="253" xr:uid="{00000000-0005-0000-0000-00003C0B0000}"/>
    <cellStyle name="Célula Ligada 9" xfId="254" xr:uid="{00000000-0005-0000-0000-00003D0B0000}"/>
    <cellStyle name="Check Cell" xfId="255" xr:uid="{00000000-0005-0000-0000-00003E0B0000}"/>
    <cellStyle name="Check Cell 10" xfId="2583" xr:uid="{00000000-0005-0000-0000-00003F0B0000}"/>
    <cellStyle name="Check Cell 2" xfId="1073" xr:uid="{00000000-0005-0000-0000-0000400B0000}"/>
    <cellStyle name="Check Cell 2 2" xfId="3581" xr:uid="{00000000-0005-0000-0000-0000410B0000}"/>
    <cellStyle name="Check Cell 2 2 2" xfId="5193" xr:uid="{00000000-0005-0000-0000-0000420B0000}"/>
    <cellStyle name="Check Cell 2 2 3" xfId="8565" xr:uid="{00000000-0005-0000-0000-0000430B0000}"/>
    <cellStyle name="Check Cell 2 3" xfId="3255" xr:uid="{00000000-0005-0000-0000-0000440B0000}"/>
    <cellStyle name="Check Cell 2 3 2" xfId="4907" xr:uid="{00000000-0005-0000-0000-0000450B0000}"/>
    <cellStyle name="Check Cell 2 3 3" xfId="8311" xr:uid="{00000000-0005-0000-0000-0000460B0000}"/>
    <cellStyle name="Check Cell 2 4" xfId="3965" xr:uid="{00000000-0005-0000-0000-0000470B0000}"/>
    <cellStyle name="Check Cell 2 5" xfId="6354" xr:uid="{00000000-0005-0000-0000-0000480B0000}"/>
    <cellStyle name="Check Cell 3" xfId="3256" xr:uid="{00000000-0005-0000-0000-0000490B0000}"/>
    <cellStyle name="Check Cell 3 2" xfId="4908" xr:uid="{00000000-0005-0000-0000-00004A0B0000}"/>
    <cellStyle name="Check Cell 3 3" xfId="8312" xr:uid="{00000000-0005-0000-0000-00004B0B0000}"/>
    <cellStyle name="Check Cell 4" xfId="3257" xr:uid="{00000000-0005-0000-0000-00004C0B0000}"/>
    <cellStyle name="Check Cell 4 2" xfId="4909" xr:uid="{00000000-0005-0000-0000-00004D0B0000}"/>
    <cellStyle name="Check Cell 4 3" xfId="8313" xr:uid="{00000000-0005-0000-0000-00004E0B0000}"/>
    <cellStyle name="Check Cell 5" xfId="3258" xr:uid="{00000000-0005-0000-0000-00004F0B0000}"/>
    <cellStyle name="Check Cell 5 2" xfId="4910" xr:uid="{00000000-0005-0000-0000-0000500B0000}"/>
    <cellStyle name="Check Cell 5 3" xfId="8314" xr:uid="{00000000-0005-0000-0000-0000510B0000}"/>
    <cellStyle name="Check Cell 6" xfId="3259" xr:uid="{00000000-0005-0000-0000-0000520B0000}"/>
    <cellStyle name="Check Cell 6 2" xfId="4911" xr:uid="{00000000-0005-0000-0000-0000530B0000}"/>
    <cellStyle name="Check Cell 6 3" xfId="8315" xr:uid="{00000000-0005-0000-0000-0000540B0000}"/>
    <cellStyle name="Check Cell 7" xfId="3254" xr:uid="{00000000-0005-0000-0000-0000550B0000}"/>
    <cellStyle name="Check Cell 7 2" xfId="4906" xr:uid="{00000000-0005-0000-0000-0000560B0000}"/>
    <cellStyle name="Check Cell 7 3" xfId="8310" xr:uid="{00000000-0005-0000-0000-0000570B0000}"/>
    <cellStyle name="Check Cell 8" xfId="3964" xr:uid="{00000000-0005-0000-0000-0000580B0000}"/>
    <cellStyle name="Check Cell 9" xfId="7801" xr:uid="{00000000-0005-0000-0000-0000590B0000}"/>
    <cellStyle name="COMMA" xfId="256" xr:uid="{00000000-0005-0000-0000-00005A0B0000}"/>
    <cellStyle name="Comma [0] 2" xfId="257" xr:uid="{00000000-0005-0000-0000-00005B0B0000}"/>
    <cellStyle name="Comma [0] 2 2" xfId="258" xr:uid="{00000000-0005-0000-0000-00005C0B0000}"/>
    <cellStyle name="Comma [0] 2 2 2" xfId="259" xr:uid="{00000000-0005-0000-0000-00005D0B0000}"/>
    <cellStyle name="Comma [0] 2 2 2 10" xfId="260" xr:uid="{00000000-0005-0000-0000-00005E0B0000}"/>
    <cellStyle name="Comma [0] 2 2 2 11" xfId="261" xr:uid="{00000000-0005-0000-0000-00005F0B0000}"/>
    <cellStyle name="Comma [0] 2 2 2 12" xfId="262" xr:uid="{00000000-0005-0000-0000-0000600B0000}"/>
    <cellStyle name="Comma [0] 2 2 2 13" xfId="263" xr:uid="{00000000-0005-0000-0000-0000610B0000}"/>
    <cellStyle name="Comma [0] 2 2 2 14" xfId="264" xr:uid="{00000000-0005-0000-0000-0000620B0000}"/>
    <cellStyle name="Comma [0] 2 2 2 2" xfId="265" xr:uid="{00000000-0005-0000-0000-0000630B0000}"/>
    <cellStyle name="Comma [0] 2 2 2 3" xfId="266" xr:uid="{00000000-0005-0000-0000-0000640B0000}"/>
    <cellStyle name="Comma [0] 2 2 2 4" xfId="267" xr:uid="{00000000-0005-0000-0000-0000650B0000}"/>
    <cellStyle name="Comma [0] 2 2 2 5" xfId="268" xr:uid="{00000000-0005-0000-0000-0000660B0000}"/>
    <cellStyle name="Comma [0] 2 2 2 6" xfId="269" xr:uid="{00000000-0005-0000-0000-0000670B0000}"/>
    <cellStyle name="Comma [0] 2 2 2 7" xfId="270" xr:uid="{00000000-0005-0000-0000-0000680B0000}"/>
    <cellStyle name="Comma [0] 2 2 2 8" xfId="271" xr:uid="{00000000-0005-0000-0000-0000690B0000}"/>
    <cellStyle name="Comma [0] 2 2 2 9" xfId="272" xr:uid="{00000000-0005-0000-0000-00006A0B0000}"/>
    <cellStyle name="Comma [0] 2 2 3" xfId="273" xr:uid="{00000000-0005-0000-0000-00006B0B0000}"/>
    <cellStyle name="Comma [0] 2 2 3 10" xfId="274" xr:uid="{00000000-0005-0000-0000-00006C0B0000}"/>
    <cellStyle name="Comma [0] 2 2 3 2" xfId="275" xr:uid="{00000000-0005-0000-0000-00006D0B0000}"/>
    <cellStyle name="Comma [0] 2 2 3 2 2" xfId="276" xr:uid="{00000000-0005-0000-0000-00006E0B0000}"/>
    <cellStyle name="Comma [0] 2 2 3 3" xfId="277" xr:uid="{00000000-0005-0000-0000-00006F0B0000}"/>
    <cellStyle name="Comma [0] 2 2 3 4" xfId="278" xr:uid="{00000000-0005-0000-0000-0000700B0000}"/>
    <cellStyle name="Comma [0] 2 2 3 5" xfId="279" xr:uid="{00000000-0005-0000-0000-0000710B0000}"/>
    <cellStyle name="Comma [0] 2 2 3 6" xfId="280" xr:uid="{00000000-0005-0000-0000-0000720B0000}"/>
    <cellStyle name="Comma [0] 2 2 3 7" xfId="281" xr:uid="{00000000-0005-0000-0000-0000730B0000}"/>
    <cellStyle name="Comma [0] 2 2 3 8" xfId="282" xr:uid="{00000000-0005-0000-0000-0000740B0000}"/>
    <cellStyle name="Comma [0] 2 2 3 9" xfId="283" xr:uid="{00000000-0005-0000-0000-0000750B0000}"/>
    <cellStyle name="Comma 2" xfId="284" xr:uid="{00000000-0005-0000-0000-0000760B0000}"/>
    <cellStyle name="Comma 2 10" xfId="1174" xr:uid="{00000000-0005-0000-0000-0000770B0000}"/>
    <cellStyle name="Comma 2 2" xfId="285" xr:uid="{00000000-0005-0000-0000-0000780B0000}"/>
    <cellStyle name="Comma 2 2 2" xfId="3565" xr:uid="{00000000-0005-0000-0000-0000790B0000}"/>
    <cellStyle name="Comma 2 3" xfId="286" xr:uid="{00000000-0005-0000-0000-00007A0B0000}"/>
    <cellStyle name="Comma 2 3 2" xfId="3261" xr:uid="{00000000-0005-0000-0000-00007B0B0000}"/>
    <cellStyle name="Comma 2 4" xfId="287" xr:uid="{00000000-0005-0000-0000-00007C0B0000}"/>
    <cellStyle name="Comma 2 5" xfId="288" xr:uid="{00000000-0005-0000-0000-00007D0B0000}"/>
    <cellStyle name="Comma 2 6" xfId="289" xr:uid="{00000000-0005-0000-0000-00007E0B0000}"/>
    <cellStyle name="Comma 2 7" xfId="290" xr:uid="{00000000-0005-0000-0000-00007F0B0000}"/>
    <cellStyle name="Comma 2 7 2" xfId="291" xr:uid="{00000000-0005-0000-0000-0000800B0000}"/>
    <cellStyle name="Comma 2 7 2 2" xfId="292" xr:uid="{00000000-0005-0000-0000-0000810B0000}"/>
    <cellStyle name="Comma 2 7 3" xfId="293" xr:uid="{00000000-0005-0000-0000-0000820B0000}"/>
    <cellStyle name="Comma 2 7 3 2" xfId="294" xr:uid="{00000000-0005-0000-0000-0000830B0000}"/>
    <cellStyle name="Comma 2 7 4" xfId="295" xr:uid="{00000000-0005-0000-0000-0000840B0000}"/>
    <cellStyle name="Comma 2 7 4 2" xfId="296" xr:uid="{00000000-0005-0000-0000-0000850B0000}"/>
    <cellStyle name="Comma 2 8" xfId="297" xr:uid="{00000000-0005-0000-0000-0000860B0000}"/>
    <cellStyle name="Comma 2 9" xfId="298" xr:uid="{00000000-0005-0000-0000-0000870B0000}"/>
    <cellStyle name="Comma 3" xfId="299" xr:uid="{00000000-0005-0000-0000-0000880B0000}"/>
    <cellStyle name="Comma 3 2" xfId="300" xr:uid="{00000000-0005-0000-0000-0000890B0000}"/>
    <cellStyle name="Comma 3 3" xfId="301" xr:uid="{00000000-0005-0000-0000-00008A0B0000}"/>
    <cellStyle name="Comma 3 4" xfId="3262" xr:uid="{00000000-0005-0000-0000-00008B0B0000}"/>
    <cellStyle name="Comma 4" xfId="3260" xr:uid="{00000000-0005-0000-0000-00008C0B0000}"/>
    <cellStyle name="Comma 8" xfId="302" xr:uid="{00000000-0005-0000-0000-00008D0B0000}"/>
    <cellStyle name="Comma 8 2" xfId="303" xr:uid="{00000000-0005-0000-0000-00008E0B0000}"/>
    <cellStyle name="Comma 8 2 2" xfId="304" xr:uid="{00000000-0005-0000-0000-00008F0B0000}"/>
    <cellStyle name="Comma 8 3" xfId="305" xr:uid="{00000000-0005-0000-0000-0000900B0000}"/>
    <cellStyle name="Comma 8 3 2" xfId="306" xr:uid="{00000000-0005-0000-0000-0000910B0000}"/>
    <cellStyle name="Comma 8 4" xfId="307" xr:uid="{00000000-0005-0000-0000-0000920B0000}"/>
    <cellStyle name="Comma 8 4 2" xfId="308" xr:uid="{00000000-0005-0000-0000-0000930B0000}"/>
    <cellStyle name="Comma 8 5" xfId="309" xr:uid="{00000000-0005-0000-0000-0000940B0000}"/>
    <cellStyle name="Comma0" xfId="310" xr:uid="{00000000-0005-0000-0000-0000950B0000}"/>
    <cellStyle name="Comma0 2" xfId="3264" xr:uid="{00000000-0005-0000-0000-0000960B0000}"/>
    <cellStyle name="Comma0 3" xfId="3265" xr:uid="{00000000-0005-0000-0000-0000970B0000}"/>
    <cellStyle name="Comma0 4" xfId="3266" xr:uid="{00000000-0005-0000-0000-0000980B0000}"/>
    <cellStyle name="Comma0 5" xfId="3263" xr:uid="{00000000-0005-0000-0000-0000990B0000}"/>
    <cellStyle name="Cor1 2" xfId="311" xr:uid="{00000000-0005-0000-0000-00009A0B0000}"/>
    <cellStyle name="Cor1 2 2" xfId="6296" xr:uid="{00000000-0005-0000-0000-00009B0B0000}"/>
    <cellStyle name="Cor1 3" xfId="312" xr:uid="{00000000-0005-0000-0000-00009C0B0000}"/>
    <cellStyle name="Cor1 3 2" xfId="1014" xr:uid="{00000000-0005-0000-0000-00009D0B0000}"/>
    <cellStyle name="Cor1 4" xfId="313" xr:uid="{00000000-0005-0000-0000-00009E0B0000}"/>
    <cellStyle name="Cor2 2" xfId="314" xr:uid="{00000000-0005-0000-0000-00009F0B0000}"/>
    <cellStyle name="Cor2 2 2" xfId="6300" xr:uid="{00000000-0005-0000-0000-0000A00B0000}"/>
    <cellStyle name="Cor2 3" xfId="315" xr:uid="{00000000-0005-0000-0000-0000A10B0000}"/>
    <cellStyle name="Cor2 3 2" xfId="1018" xr:uid="{00000000-0005-0000-0000-0000A20B0000}"/>
    <cellStyle name="Cor2 4" xfId="316" xr:uid="{00000000-0005-0000-0000-0000A30B0000}"/>
    <cellStyle name="Cor3 2" xfId="317" xr:uid="{00000000-0005-0000-0000-0000A40B0000}"/>
    <cellStyle name="Cor3 2 2" xfId="6304" xr:uid="{00000000-0005-0000-0000-0000A50B0000}"/>
    <cellStyle name="Cor3 3" xfId="318" xr:uid="{00000000-0005-0000-0000-0000A60B0000}"/>
    <cellStyle name="Cor3 3 2" xfId="1022" xr:uid="{00000000-0005-0000-0000-0000A70B0000}"/>
    <cellStyle name="Cor3 4" xfId="319" xr:uid="{00000000-0005-0000-0000-0000A80B0000}"/>
    <cellStyle name="Cor4 2" xfId="320" xr:uid="{00000000-0005-0000-0000-0000A90B0000}"/>
    <cellStyle name="Cor4 2 2" xfId="6308" xr:uid="{00000000-0005-0000-0000-0000AA0B0000}"/>
    <cellStyle name="Cor4 3" xfId="321" xr:uid="{00000000-0005-0000-0000-0000AB0B0000}"/>
    <cellStyle name="Cor4 3 2" xfId="1026" xr:uid="{00000000-0005-0000-0000-0000AC0B0000}"/>
    <cellStyle name="Cor4 4" xfId="322" xr:uid="{00000000-0005-0000-0000-0000AD0B0000}"/>
    <cellStyle name="Cor5 2" xfId="323" xr:uid="{00000000-0005-0000-0000-0000AE0B0000}"/>
    <cellStyle name="Cor5 2 2" xfId="6312" xr:uid="{00000000-0005-0000-0000-0000AF0B0000}"/>
    <cellStyle name="Cor5 3" xfId="324" xr:uid="{00000000-0005-0000-0000-0000B00B0000}"/>
    <cellStyle name="Cor5 3 2" xfId="1030" xr:uid="{00000000-0005-0000-0000-0000B10B0000}"/>
    <cellStyle name="Cor5 4" xfId="325" xr:uid="{00000000-0005-0000-0000-0000B20B0000}"/>
    <cellStyle name="Cor6 2" xfId="326" xr:uid="{00000000-0005-0000-0000-0000B30B0000}"/>
    <cellStyle name="Cor6 2 2" xfId="6316" xr:uid="{00000000-0005-0000-0000-0000B40B0000}"/>
    <cellStyle name="Cor6 3" xfId="327" xr:uid="{00000000-0005-0000-0000-0000B50B0000}"/>
    <cellStyle name="Cor6 3 2" xfId="1034" xr:uid="{00000000-0005-0000-0000-0000B60B0000}"/>
    <cellStyle name="Cor6 4" xfId="328" xr:uid="{00000000-0005-0000-0000-0000B70B0000}"/>
    <cellStyle name="Correcto 10" xfId="329" xr:uid="{00000000-0005-0000-0000-0000B80B0000}"/>
    <cellStyle name="Correcto 11" xfId="330" xr:uid="{00000000-0005-0000-0000-0000B90B0000}"/>
    <cellStyle name="Correcto 2" xfId="331" xr:uid="{00000000-0005-0000-0000-0000BA0B0000}"/>
    <cellStyle name="Correcto 2 10" xfId="332" xr:uid="{00000000-0005-0000-0000-0000BB0B0000}"/>
    <cellStyle name="Correcto 2 11" xfId="333" xr:uid="{00000000-0005-0000-0000-0000BC0B0000}"/>
    <cellStyle name="Correcto 2 12" xfId="2135" xr:uid="{00000000-0005-0000-0000-0000BD0B0000}"/>
    <cellStyle name="Correcto 2 2" xfId="334" xr:uid="{00000000-0005-0000-0000-0000BE0B0000}"/>
    <cellStyle name="Correcto 2 2 2" xfId="3966" xr:uid="{00000000-0005-0000-0000-0000BF0B0000}"/>
    <cellStyle name="Correcto 2 3" xfId="335" xr:uid="{00000000-0005-0000-0000-0000C00B0000}"/>
    <cellStyle name="Correcto 2 3 2" xfId="7375" xr:uid="{00000000-0005-0000-0000-0000C10B0000}"/>
    <cellStyle name="Correcto 2 4" xfId="336" xr:uid="{00000000-0005-0000-0000-0000C20B0000}"/>
    <cellStyle name="Correcto 2 5" xfId="337" xr:uid="{00000000-0005-0000-0000-0000C30B0000}"/>
    <cellStyle name="Correcto 2 6" xfId="338" xr:uid="{00000000-0005-0000-0000-0000C40B0000}"/>
    <cellStyle name="Correcto 2 7" xfId="339" xr:uid="{00000000-0005-0000-0000-0000C50B0000}"/>
    <cellStyle name="Correcto 2 8" xfId="340" xr:uid="{00000000-0005-0000-0000-0000C60B0000}"/>
    <cellStyle name="Correcto 2 9" xfId="341" xr:uid="{00000000-0005-0000-0000-0000C70B0000}"/>
    <cellStyle name="Correcto 3" xfId="342" xr:uid="{00000000-0005-0000-0000-0000C80B0000}"/>
    <cellStyle name="Correcto 3 2" xfId="4720" xr:uid="{00000000-0005-0000-0000-0000C90B0000}"/>
    <cellStyle name="Correcto 4" xfId="343" xr:uid="{00000000-0005-0000-0000-0000CA0B0000}"/>
    <cellStyle name="Correcto 4 2" xfId="6284" xr:uid="{00000000-0005-0000-0000-0000CB0B0000}"/>
    <cellStyle name="Correcto 5" xfId="344" xr:uid="{00000000-0005-0000-0000-0000CC0B0000}"/>
    <cellStyle name="Correcto 5 2" xfId="1002" xr:uid="{00000000-0005-0000-0000-0000CD0B0000}"/>
    <cellStyle name="Correcto 6" xfId="345" xr:uid="{00000000-0005-0000-0000-0000CE0B0000}"/>
    <cellStyle name="Correcto 7" xfId="346" xr:uid="{00000000-0005-0000-0000-0000CF0B0000}"/>
    <cellStyle name="Correcto 8" xfId="347" xr:uid="{00000000-0005-0000-0000-0000D00B0000}"/>
    <cellStyle name="Correcto 9" xfId="348" xr:uid="{00000000-0005-0000-0000-0000D10B0000}"/>
    <cellStyle name="Correto" xfId="349" builtinId="26"/>
    <cellStyle name="CURRENCY" xfId="350" xr:uid="{00000000-0005-0000-0000-0000D30B0000}"/>
    <cellStyle name="Currency (2)" xfId="8775" xr:uid="{00000000-0005-0000-0000-0000D40B0000}"/>
    <cellStyle name="Currency [2]" xfId="351" xr:uid="{00000000-0005-0000-0000-0000D50B0000}"/>
    <cellStyle name="Currency 2" xfId="352" xr:uid="{00000000-0005-0000-0000-0000D60B0000}"/>
    <cellStyle name="Currency 2 2" xfId="353" xr:uid="{00000000-0005-0000-0000-0000D70B0000}"/>
    <cellStyle name="Currency 2 2 2" xfId="8776" xr:uid="{00000000-0005-0000-0000-0000D80B0000}"/>
    <cellStyle name="Currency 2 2 2 2" xfId="8959" xr:uid="{00000000-0005-0000-0000-0000D90B0000}"/>
    <cellStyle name="Currency 2 2 2 2 2" xfId="9123" xr:uid="{00000000-0005-0000-0000-0000DA0B0000}"/>
    <cellStyle name="Currency 2 2 2 2 2 2" xfId="9496" xr:uid="{013647C1-4EA8-4483-83BC-DB9A8B2C1D47}"/>
    <cellStyle name="Currency 2 2 2 2 2 3" xfId="9832" xr:uid="{7A8A5402-2D9F-4C97-BA7E-4A2CB0486DF1}"/>
    <cellStyle name="Currency 2 2 2 2 3" xfId="9342" xr:uid="{8D6E1FE3-CA03-4F03-B93E-633CD77176F1}"/>
    <cellStyle name="Currency 2 2 2 2 4" xfId="9678" xr:uid="{604F30ED-04A0-47A1-A24D-8209D9D3266F}"/>
    <cellStyle name="Currency 2 2 2 3" xfId="9046" xr:uid="{00000000-0005-0000-0000-0000DB0B0000}"/>
    <cellStyle name="Currency 2 2 2 3 2" xfId="9419" xr:uid="{02A43607-E2F8-4792-95F2-3516A0A8C177}"/>
    <cellStyle name="Currency 2 2 2 3 3" xfId="9755" xr:uid="{8F5B17EA-E900-4AB3-94D5-AD0E43F82B09}"/>
    <cellStyle name="Currency 2 2 2 4" xfId="9264" xr:uid="{8438F584-BE26-4C74-9FCF-F17A14EFED4A}"/>
    <cellStyle name="Currency 2 2 2 5" xfId="9600" xr:uid="{9B6365A2-7E8E-4535-A716-23B342EB93F8}"/>
    <cellStyle name="Currency 2 2 3" xfId="8891" xr:uid="{00000000-0005-0000-0000-0000DC0B0000}"/>
    <cellStyle name="Currency 2 2 3 2" xfId="9055" xr:uid="{00000000-0005-0000-0000-0000DD0B0000}"/>
    <cellStyle name="Currency 2 2 3 2 2" xfId="9428" xr:uid="{C6EFA546-B47B-4390-9EB3-D8CCF4B3EFA9}"/>
    <cellStyle name="Currency 2 2 3 2 3" xfId="9764" xr:uid="{0497EE95-E485-4308-A4B2-CE7D5E3BCB6A}"/>
    <cellStyle name="Currency 2 2 3 3" xfId="9274" xr:uid="{495D20E5-23AD-4DED-B073-4B7C04566156}"/>
    <cellStyle name="Currency 2 2 3 4" xfId="9610" xr:uid="{36A05F5E-156B-4ABA-9096-A1307248EC24}"/>
    <cellStyle name="Currency 2 2 4" xfId="8980" xr:uid="{00000000-0005-0000-0000-0000DE0B0000}"/>
    <cellStyle name="Currency 2 2 4 2" xfId="9353" xr:uid="{F5528376-A0FF-4E71-BB12-4EE19A18BA2D}"/>
    <cellStyle name="Currency 2 2 4 3" xfId="9689" xr:uid="{828BEC76-FA2E-4B06-8200-122F5E7C1802}"/>
    <cellStyle name="Currency 2 2 5" xfId="2136" xr:uid="{00000000-0005-0000-0000-0000DF0B0000}"/>
    <cellStyle name="Currency 2 2 5 2" xfId="9196" xr:uid="{07B594F7-3698-433A-8EEB-191D20C067A8}"/>
    <cellStyle name="Currency 2 2 5 3" xfId="9532" xr:uid="{AAE0A185-EFCA-428B-B384-E8C758A316BE}"/>
    <cellStyle name="Currency 2 3" xfId="354" xr:uid="{00000000-0005-0000-0000-0000E00B0000}"/>
    <cellStyle name="Currency 2 3 2" xfId="8777" xr:uid="{00000000-0005-0000-0000-0000E10B0000}"/>
    <cellStyle name="Currency 2 3 2 2" xfId="8960" xr:uid="{00000000-0005-0000-0000-0000E20B0000}"/>
    <cellStyle name="Currency 2 3 2 2 2" xfId="9124" xr:uid="{00000000-0005-0000-0000-0000E30B0000}"/>
    <cellStyle name="Currency 2 3 2 2 2 2" xfId="9497" xr:uid="{A5338F2A-4806-40F0-B7B1-7E0375A2B737}"/>
    <cellStyle name="Currency 2 3 2 2 2 3" xfId="9833" xr:uid="{E571A9BB-C4D8-446E-9112-778447264CA2}"/>
    <cellStyle name="Currency 2 3 2 2 3" xfId="9343" xr:uid="{F83AEA7E-5DD7-4498-B71F-FF59858FB1A2}"/>
    <cellStyle name="Currency 2 3 2 2 4" xfId="9679" xr:uid="{234EB10A-F4C3-4367-BBF0-C7DB1EDB4248}"/>
    <cellStyle name="Currency 2 3 2 3" xfId="9047" xr:uid="{00000000-0005-0000-0000-0000E40B0000}"/>
    <cellStyle name="Currency 2 3 2 3 2" xfId="9420" xr:uid="{B5DEDDF5-8A3B-4848-9F94-85B0A41F318B}"/>
    <cellStyle name="Currency 2 3 2 3 3" xfId="9756" xr:uid="{7A446B2E-F850-4E58-B601-0B765FDE97C0}"/>
    <cellStyle name="Currency 2 3 2 4" xfId="9265" xr:uid="{D39878D1-1082-494F-A8F0-CEF05AA84531}"/>
    <cellStyle name="Currency 2 3 2 5" xfId="9601" xr:uid="{7B3A8673-297D-4A64-92E6-00075A365C49}"/>
    <cellStyle name="Currency 2 3 3" xfId="8892" xr:uid="{00000000-0005-0000-0000-0000E50B0000}"/>
    <cellStyle name="Currency 2 3 3 2" xfId="9056" xr:uid="{00000000-0005-0000-0000-0000E60B0000}"/>
    <cellStyle name="Currency 2 3 3 2 2" xfId="9429" xr:uid="{DF453108-1356-4CD8-BB6D-33C7E8033185}"/>
    <cellStyle name="Currency 2 3 3 2 3" xfId="9765" xr:uid="{D8BC0830-D567-48B0-9AF4-AA96B1B64F25}"/>
    <cellStyle name="Currency 2 3 3 3" xfId="9275" xr:uid="{A1D286D1-8381-4CF7-B1E2-343DB78D3BB5}"/>
    <cellStyle name="Currency 2 3 3 4" xfId="9611" xr:uid="{48C217A0-036D-4FF3-A5CC-4BBCEC877300}"/>
    <cellStyle name="Currency 2 3 4" xfId="8981" xr:uid="{00000000-0005-0000-0000-0000E70B0000}"/>
    <cellStyle name="Currency 2 3 4 2" xfId="9354" xr:uid="{64BD9B08-EAF7-440A-8901-A0E52E1D8A48}"/>
    <cellStyle name="Currency 2 3 4 3" xfId="9690" xr:uid="{71224236-0A12-4732-965A-F85662A8A1F9}"/>
    <cellStyle name="Currency 2 3 5" xfId="2137" xr:uid="{00000000-0005-0000-0000-0000E80B0000}"/>
    <cellStyle name="Currency 2 3 5 2" xfId="9197" xr:uid="{B96A9392-9F48-4761-AC2E-5BFF47A7BD78}"/>
    <cellStyle name="Currency 2 3 5 3" xfId="9533" xr:uid="{EE9F4C19-E843-467C-BAB3-5146AEC6F3BD}"/>
    <cellStyle name="Currency 2 4" xfId="355" xr:uid="{00000000-0005-0000-0000-0000E90B0000}"/>
    <cellStyle name="Currency 2 4 2" xfId="8893" xr:uid="{00000000-0005-0000-0000-0000EA0B0000}"/>
    <cellStyle name="Currency 2 4 2 2" xfId="9057" xr:uid="{00000000-0005-0000-0000-0000EB0B0000}"/>
    <cellStyle name="Currency 2 4 2 2 2" xfId="9430" xr:uid="{3BA3DDF3-8A9E-44E0-AA29-C7C6A01A8F1D}"/>
    <cellStyle name="Currency 2 4 2 2 3" xfId="9766" xr:uid="{A280BB1E-BEA2-44FE-8D6F-72E005C58764}"/>
    <cellStyle name="Currency 2 4 2 3" xfId="9276" xr:uid="{A8E0928F-30C3-4B42-B97A-D4109BDB2892}"/>
    <cellStyle name="Currency 2 4 2 4" xfId="9612" xr:uid="{5C97BCF6-3821-4FBF-895C-22AC4B73FD50}"/>
    <cellStyle name="Currency 2 4 3" xfId="8982" xr:uid="{00000000-0005-0000-0000-0000EC0B0000}"/>
    <cellStyle name="Currency 2 4 3 2" xfId="9355" xr:uid="{084F573D-D31F-4720-8770-343A49FAADA5}"/>
    <cellStyle name="Currency 2 4 3 3" xfId="9691" xr:uid="{F81FFCA7-3E53-46AC-A5C4-F5F0779021E8}"/>
    <cellStyle name="Currency 2 4 4" xfId="2138" xr:uid="{00000000-0005-0000-0000-0000ED0B0000}"/>
    <cellStyle name="Currency 2 4 4 2" xfId="9198" xr:uid="{BB917849-A6D3-4087-9424-1E3D35489AE5}"/>
    <cellStyle name="Currency 2 4 4 3" xfId="9534" xr:uid="{5CAB1E76-073E-4DAA-BE2D-ABD8339F58DC}"/>
    <cellStyle name="Currency 2 5" xfId="356" xr:uid="{00000000-0005-0000-0000-0000EE0B0000}"/>
    <cellStyle name="Currency 2 5 2" xfId="3268" xr:uid="{00000000-0005-0000-0000-0000EF0B0000}"/>
    <cellStyle name="Currency 2 6" xfId="357" xr:uid="{00000000-0005-0000-0000-0000F00B0000}"/>
    <cellStyle name="Currency 2 6 2" xfId="9053" xr:uid="{00000000-0005-0000-0000-0000F10B0000}"/>
    <cellStyle name="Currency 2 6 2 2" xfId="9426" xr:uid="{4EF17B4D-A177-44C7-9361-2C96A0BB2BC2}"/>
    <cellStyle name="Currency 2 6 2 3" xfId="9762" xr:uid="{B1F9CFE3-0C88-4F95-A827-B4754602A2C9}"/>
    <cellStyle name="Currency 2 6 3" xfId="8889" xr:uid="{00000000-0005-0000-0000-0000F20B0000}"/>
    <cellStyle name="Currency 2 6 3 2" xfId="9272" xr:uid="{57FE8902-E594-4014-8A4C-1A3498D61114}"/>
    <cellStyle name="Currency 2 6 3 3" xfId="9608" xr:uid="{775AFAB5-2A85-4631-8C6B-1E04FC4A3761}"/>
    <cellStyle name="Currency 2 7" xfId="358" xr:uid="{00000000-0005-0000-0000-0000F30B0000}"/>
    <cellStyle name="Currency 2 7 2" xfId="8978" xr:uid="{00000000-0005-0000-0000-0000F40B0000}"/>
    <cellStyle name="Currency 2 7 2 2" xfId="9351" xr:uid="{7A96508A-FB3E-4A97-93CF-E52A2978EAE0}"/>
    <cellStyle name="Currency 2 7 2 3" xfId="9687" xr:uid="{E0D8F348-E924-4146-811C-0A8E3502EC05}"/>
    <cellStyle name="Currency 2 8" xfId="359" xr:uid="{00000000-0005-0000-0000-0000F50B0000}"/>
    <cellStyle name="Currency 2 9" xfId="2119" xr:uid="{00000000-0005-0000-0000-0000F60B0000}"/>
    <cellStyle name="Currency 2 9 2" xfId="9194" xr:uid="{F14CD1E2-D09C-47BC-A135-CA0DBCF322F9}"/>
    <cellStyle name="Currency 2 9 3" xfId="9530" xr:uid="{9EB84501-5EA5-45E5-BA24-AF8D1F3DAA3A}"/>
    <cellStyle name="Currency 2_ON2_ListaOperacoesAprovadas SI - Apoio (30-06-2010)" xfId="3269" xr:uid="{00000000-0005-0000-0000-0000F70B0000}"/>
    <cellStyle name="Currency 3" xfId="3270" xr:uid="{00000000-0005-0000-0000-0000F80B0000}"/>
    <cellStyle name="Currency 4" xfId="3267" xr:uid="{00000000-0005-0000-0000-0000F90B0000}"/>
    <cellStyle name="Currency0" xfId="360" xr:uid="{00000000-0005-0000-0000-0000FA0B0000}"/>
    <cellStyle name="Currency0 2" xfId="3272" xr:uid="{00000000-0005-0000-0000-0000FB0B0000}"/>
    <cellStyle name="Currency0 3" xfId="3273" xr:uid="{00000000-0005-0000-0000-0000FC0B0000}"/>
    <cellStyle name="Currency0 4" xfId="3274" xr:uid="{00000000-0005-0000-0000-0000FD0B0000}"/>
    <cellStyle name="Currency0 5" xfId="3271" xr:uid="{00000000-0005-0000-0000-0000FE0B0000}"/>
    <cellStyle name="Data Cell - PerformancePoint" xfId="8778" xr:uid="{00000000-0005-0000-0000-0000FF0B0000}"/>
    <cellStyle name="Data Entry Cell - PerformancePoint" xfId="8779" xr:uid="{00000000-0005-0000-0000-0000000C0000}"/>
    <cellStyle name="DATE" xfId="361" xr:uid="{00000000-0005-0000-0000-0000010C0000}"/>
    <cellStyle name="Date [mmm-yy]" xfId="362" xr:uid="{00000000-0005-0000-0000-0000020C0000}"/>
    <cellStyle name="Date 2" xfId="3276" xr:uid="{00000000-0005-0000-0000-0000030C0000}"/>
    <cellStyle name="Date 2 2" xfId="4913" xr:uid="{00000000-0005-0000-0000-0000040C0000}"/>
    <cellStyle name="Date 2 3" xfId="8317" xr:uid="{00000000-0005-0000-0000-0000050C0000}"/>
    <cellStyle name="Date 3" xfId="3277" xr:uid="{00000000-0005-0000-0000-0000060C0000}"/>
    <cellStyle name="Date 3 2" xfId="4914" xr:uid="{00000000-0005-0000-0000-0000070C0000}"/>
    <cellStyle name="Date 3 3" xfId="8318" xr:uid="{00000000-0005-0000-0000-0000080C0000}"/>
    <cellStyle name="Date 4" xfId="3278" xr:uid="{00000000-0005-0000-0000-0000090C0000}"/>
    <cellStyle name="Date 4 2" xfId="4915" xr:uid="{00000000-0005-0000-0000-00000A0C0000}"/>
    <cellStyle name="Date 4 3" xfId="8319" xr:uid="{00000000-0005-0000-0000-00000B0C0000}"/>
    <cellStyle name="Date 5" xfId="4912" xr:uid="{00000000-0005-0000-0000-00000C0C0000}"/>
    <cellStyle name="Date 6" xfId="8316" xr:uid="{00000000-0005-0000-0000-00000D0C0000}"/>
    <cellStyle name="Date 7" xfId="3275" xr:uid="{00000000-0005-0000-0000-00000E0C0000}"/>
    <cellStyle name="DateLong" xfId="2139" xr:uid="{00000000-0005-0000-0000-00000F0C0000}"/>
    <cellStyle name="dsf" xfId="363" xr:uid="{00000000-0005-0000-0000-0000100C0000}"/>
    <cellStyle name="Emphasis 1" xfId="364" xr:uid="{00000000-0005-0000-0000-0000110C0000}"/>
    <cellStyle name="Emphasis 1 2" xfId="4916" xr:uid="{00000000-0005-0000-0000-0000120C0000}"/>
    <cellStyle name="Emphasis 1 3" xfId="8320" xr:uid="{00000000-0005-0000-0000-0000130C0000}"/>
    <cellStyle name="Emphasis 1 4" xfId="3279" xr:uid="{00000000-0005-0000-0000-0000140C0000}"/>
    <cellStyle name="Emphasis 2" xfId="365" xr:uid="{00000000-0005-0000-0000-0000150C0000}"/>
    <cellStyle name="Emphasis 2 2" xfId="4917" xr:uid="{00000000-0005-0000-0000-0000160C0000}"/>
    <cellStyle name="Emphasis 2 3" xfId="8321" xr:uid="{00000000-0005-0000-0000-0000170C0000}"/>
    <cellStyle name="Emphasis 2 4" xfId="3280" xr:uid="{00000000-0005-0000-0000-0000180C0000}"/>
    <cellStyle name="Emphasis 3" xfId="366" xr:uid="{00000000-0005-0000-0000-0000190C0000}"/>
    <cellStyle name="Emphasis 3 2" xfId="4918" xr:uid="{00000000-0005-0000-0000-00001A0C0000}"/>
    <cellStyle name="Emphasis 3 3" xfId="8322" xr:uid="{00000000-0005-0000-0000-00001B0C0000}"/>
    <cellStyle name="Emphasis 3 4" xfId="3281" xr:uid="{00000000-0005-0000-0000-00001C0C0000}"/>
    <cellStyle name="Entrada 10" xfId="367" xr:uid="{00000000-0005-0000-0000-00001D0C0000}"/>
    <cellStyle name="Entrada 11" xfId="368" xr:uid="{00000000-0005-0000-0000-00001E0C0000}"/>
    <cellStyle name="Entrada 2" xfId="369" xr:uid="{00000000-0005-0000-0000-00001F0C0000}"/>
    <cellStyle name="Entrada 2 10" xfId="370" xr:uid="{00000000-0005-0000-0000-0000200C0000}"/>
    <cellStyle name="Entrada 2 11" xfId="371" xr:uid="{00000000-0005-0000-0000-0000210C0000}"/>
    <cellStyle name="Entrada 2 12" xfId="2140" xr:uid="{00000000-0005-0000-0000-0000220C0000}"/>
    <cellStyle name="Entrada 2 2" xfId="372" xr:uid="{00000000-0005-0000-0000-0000230C0000}"/>
    <cellStyle name="Entrada 2 2 2" xfId="3967" xr:uid="{00000000-0005-0000-0000-0000240C0000}"/>
    <cellStyle name="Entrada 2 3" xfId="373" xr:uid="{00000000-0005-0000-0000-0000250C0000}"/>
    <cellStyle name="Entrada 2 3 2" xfId="7376" xr:uid="{00000000-0005-0000-0000-0000260C0000}"/>
    <cellStyle name="Entrada 2 4" xfId="374" xr:uid="{00000000-0005-0000-0000-0000270C0000}"/>
    <cellStyle name="Entrada 2 5" xfId="375" xr:uid="{00000000-0005-0000-0000-0000280C0000}"/>
    <cellStyle name="Entrada 2 6" xfId="376" xr:uid="{00000000-0005-0000-0000-0000290C0000}"/>
    <cellStyle name="Entrada 2 7" xfId="377" xr:uid="{00000000-0005-0000-0000-00002A0C0000}"/>
    <cellStyle name="Entrada 2 8" xfId="378" xr:uid="{00000000-0005-0000-0000-00002B0C0000}"/>
    <cellStyle name="Entrada 2 9" xfId="379" xr:uid="{00000000-0005-0000-0000-00002C0C0000}"/>
    <cellStyle name="Entrada 3" xfId="380" xr:uid="{00000000-0005-0000-0000-00002D0C0000}"/>
    <cellStyle name="Entrada 3 2" xfId="4721" xr:uid="{00000000-0005-0000-0000-00002E0C0000}"/>
    <cellStyle name="Entrada 4" xfId="381" xr:uid="{00000000-0005-0000-0000-00002F0C0000}"/>
    <cellStyle name="Entrada 4 2" xfId="6287" xr:uid="{00000000-0005-0000-0000-0000300C0000}"/>
    <cellStyle name="Entrada 5" xfId="382" xr:uid="{00000000-0005-0000-0000-0000310C0000}"/>
    <cellStyle name="Entrada 5 2" xfId="1005" xr:uid="{00000000-0005-0000-0000-0000320C0000}"/>
    <cellStyle name="Entrada 6" xfId="383" xr:uid="{00000000-0005-0000-0000-0000330C0000}"/>
    <cellStyle name="Entrada 7" xfId="384" xr:uid="{00000000-0005-0000-0000-0000340C0000}"/>
    <cellStyle name="Entrada 8" xfId="385" xr:uid="{00000000-0005-0000-0000-0000350C0000}"/>
    <cellStyle name="Entrada 9" xfId="386" xr:uid="{00000000-0005-0000-0000-0000360C0000}"/>
    <cellStyle name="Estilo 1" xfId="387" xr:uid="{00000000-0005-0000-0000-0000370C0000}"/>
    <cellStyle name="Estilo 1 10" xfId="388" xr:uid="{00000000-0005-0000-0000-0000380C0000}"/>
    <cellStyle name="Estilo 1 10 2" xfId="4920" xr:uid="{00000000-0005-0000-0000-0000390C0000}"/>
    <cellStyle name="Estilo 1 10 3" xfId="8324" xr:uid="{00000000-0005-0000-0000-00003A0C0000}"/>
    <cellStyle name="Estilo 1 10 4" xfId="3283" xr:uid="{00000000-0005-0000-0000-00003B0C0000}"/>
    <cellStyle name="Estilo 1 11" xfId="389" xr:uid="{00000000-0005-0000-0000-00003C0C0000}"/>
    <cellStyle name="Estilo 1 11 2" xfId="4921" xr:uid="{00000000-0005-0000-0000-00003D0C0000}"/>
    <cellStyle name="Estilo 1 11 3" xfId="8325" xr:uid="{00000000-0005-0000-0000-00003E0C0000}"/>
    <cellStyle name="Estilo 1 11 4" xfId="3284" xr:uid="{00000000-0005-0000-0000-00003F0C0000}"/>
    <cellStyle name="Estilo 1 12" xfId="390" xr:uid="{00000000-0005-0000-0000-0000400C0000}"/>
    <cellStyle name="Estilo 1 12 2" xfId="4919" xr:uid="{00000000-0005-0000-0000-0000410C0000}"/>
    <cellStyle name="Estilo 1 12 3" xfId="8323" xr:uid="{00000000-0005-0000-0000-0000420C0000}"/>
    <cellStyle name="Estilo 1 12 4" xfId="3282" xr:uid="{00000000-0005-0000-0000-0000430C0000}"/>
    <cellStyle name="Estilo 1 13" xfId="3968" xr:uid="{00000000-0005-0000-0000-0000440C0000}"/>
    <cellStyle name="Estilo 1 14" xfId="7849" xr:uid="{00000000-0005-0000-0000-0000450C0000}"/>
    <cellStyle name="Estilo 1 15" xfId="2633" xr:uid="{00000000-0005-0000-0000-0000460C0000}"/>
    <cellStyle name="Estilo 1 2" xfId="391" xr:uid="{00000000-0005-0000-0000-0000470C0000}"/>
    <cellStyle name="Estilo 1 2 2" xfId="4922" xr:uid="{00000000-0005-0000-0000-0000480C0000}"/>
    <cellStyle name="Estilo 1 2 3" xfId="8326" xr:uid="{00000000-0005-0000-0000-0000490C0000}"/>
    <cellStyle name="Estilo 1 2 4" xfId="3285" xr:uid="{00000000-0005-0000-0000-00004A0C0000}"/>
    <cellStyle name="Estilo 1 3" xfId="392" xr:uid="{00000000-0005-0000-0000-00004B0C0000}"/>
    <cellStyle name="Estilo 1 3 2" xfId="4923" xr:uid="{00000000-0005-0000-0000-00004C0C0000}"/>
    <cellStyle name="Estilo 1 3 3" xfId="8327" xr:uid="{00000000-0005-0000-0000-00004D0C0000}"/>
    <cellStyle name="Estilo 1 3 4" xfId="3286" xr:uid="{00000000-0005-0000-0000-00004E0C0000}"/>
    <cellStyle name="Estilo 1 4" xfId="393" xr:uid="{00000000-0005-0000-0000-00004F0C0000}"/>
    <cellStyle name="Estilo 1 4 2" xfId="4924" xr:uid="{00000000-0005-0000-0000-0000500C0000}"/>
    <cellStyle name="Estilo 1 4 3" xfId="8328" xr:uid="{00000000-0005-0000-0000-0000510C0000}"/>
    <cellStyle name="Estilo 1 4 4" xfId="3287" xr:uid="{00000000-0005-0000-0000-0000520C0000}"/>
    <cellStyle name="Estilo 1 5" xfId="394" xr:uid="{00000000-0005-0000-0000-0000530C0000}"/>
    <cellStyle name="Estilo 1 5 2" xfId="4925" xr:uid="{00000000-0005-0000-0000-0000540C0000}"/>
    <cellStyle name="Estilo 1 5 3" xfId="8329" xr:uid="{00000000-0005-0000-0000-0000550C0000}"/>
    <cellStyle name="Estilo 1 5 4" xfId="3288" xr:uid="{00000000-0005-0000-0000-0000560C0000}"/>
    <cellStyle name="Estilo 1 6" xfId="395" xr:uid="{00000000-0005-0000-0000-0000570C0000}"/>
    <cellStyle name="Estilo 1 6 2" xfId="4926" xr:uid="{00000000-0005-0000-0000-0000580C0000}"/>
    <cellStyle name="Estilo 1 6 3" xfId="8330" xr:uid="{00000000-0005-0000-0000-0000590C0000}"/>
    <cellStyle name="Estilo 1 6 4" xfId="3289" xr:uid="{00000000-0005-0000-0000-00005A0C0000}"/>
    <cellStyle name="Estilo 1 7" xfId="396" xr:uid="{00000000-0005-0000-0000-00005B0C0000}"/>
    <cellStyle name="Estilo 1 7 2" xfId="4927" xr:uid="{00000000-0005-0000-0000-00005C0C0000}"/>
    <cellStyle name="Estilo 1 7 3" xfId="8331" xr:uid="{00000000-0005-0000-0000-00005D0C0000}"/>
    <cellStyle name="Estilo 1 7 4" xfId="3290" xr:uid="{00000000-0005-0000-0000-00005E0C0000}"/>
    <cellStyle name="Estilo 1 8" xfId="397" xr:uid="{00000000-0005-0000-0000-00005F0C0000}"/>
    <cellStyle name="Estilo 1 8 2" xfId="4928" xr:uid="{00000000-0005-0000-0000-0000600C0000}"/>
    <cellStyle name="Estilo 1 8 3" xfId="8332" xr:uid="{00000000-0005-0000-0000-0000610C0000}"/>
    <cellStyle name="Estilo 1 8 4" xfId="3291" xr:uid="{00000000-0005-0000-0000-0000620C0000}"/>
    <cellStyle name="Estilo 1 9" xfId="398" xr:uid="{00000000-0005-0000-0000-0000630C0000}"/>
    <cellStyle name="Estilo 1 9 2" xfId="4929" xr:uid="{00000000-0005-0000-0000-0000640C0000}"/>
    <cellStyle name="Estilo 1 9 3" xfId="8333" xr:uid="{00000000-0005-0000-0000-0000650C0000}"/>
    <cellStyle name="Estilo 1 9 4" xfId="3292" xr:uid="{00000000-0005-0000-0000-0000660C0000}"/>
    <cellStyle name="Estilo 1_global_PO" xfId="3293" xr:uid="{00000000-0005-0000-0000-0000670C0000}"/>
    <cellStyle name="Euro" xfId="399" xr:uid="{00000000-0005-0000-0000-0000680C0000}"/>
    <cellStyle name="Euro 10" xfId="2142" xr:uid="{00000000-0005-0000-0000-0000690C0000}"/>
    <cellStyle name="Euro 10 2" xfId="3969" xr:uid="{00000000-0005-0000-0000-00006A0C0000}"/>
    <cellStyle name="Euro 10 3" xfId="7378" xr:uid="{00000000-0005-0000-0000-00006B0C0000}"/>
    <cellStyle name="Euro 11" xfId="2143" xr:uid="{00000000-0005-0000-0000-00006C0C0000}"/>
    <cellStyle name="Euro 11 2" xfId="3970" xr:uid="{00000000-0005-0000-0000-00006D0C0000}"/>
    <cellStyle name="Euro 11 3" xfId="7379" xr:uid="{00000000-0005-0000-0000-00006E0C0000}"/>
    <cellStyle name="Euro 12" xfId="2144" xr:uid="{00000000-0005-0000-0000-00006F0C0000}"/>
    <cellStyle name="Euro 12 2" xfId="3971" xr:uid="{00000000-0005-0000-0000-0000700C0000}"/>
    <cellStyle name="Euro 12 3" xfId="7380" xr:uid="{00000000-0005-0000-0000-0000710C0000}"/>
    <cellStyle name="Euro 13" xfId="2145" xr:uid="{00000000-0005-0000-0000-0000720C0000}"/>
    <cellStyle name="Euro 13 2" xfId="3972" xr:uid="{00000000-0005-0000-0000-0000730C0000}"/>
    <cellStyle name="Euro 13 3" xfId="7381" xr:uid="{00000000-0005-0000-0000-0000740C0000}"/>
    <cellStyle name="Euro 14" xfId="2146" xr:uid="{00000000-0005-0000-0000-0000750C0000}"/>
    <cellStyle name="Euro 14 2" xfId="3973" xr:uid="{00000000-0005-0000-0000-0000760C0000}"/>
    <cellStyle name="Euro 14 3" xfId="7382" xr:uid="{00000000-0005-0000-0000-0000770C0000}"/>
    <cellStyle name="Euro 15" xfId="2147" xr:uid="{00000000-0005-0000-0000-0000780C0000}"/>
    <cellStyle name="Euro 15 2" xfId="3974" xr:uid="{00000000-0005-0000-0000-0000790C0000}"/>
    <cellStyle name="Euro 15 3" xfId="7383" xr:uid="{00000000-0005-0000-0000-00007A0C0000}"/>
    <cellStyle name="Euro 16" xfId="2148" xr:uid="{00000000-0005-0000-0000-00007B0C0000}"/>
    <cellStyle name="Euro 16 2" xfId="3975" xr:uid="{00000000-0005-0000-0000-00007C0C0000}"/>
    <cellStyle name="Euro 16 3" xfId="7384" xr:uid="{00000000-0005-0000-0000-00007D0C0000}"/>
    <cellStyle name="Euro 17" xfId="2149" xr:uid="{00000000-0005-0000-0000-00007E0C0000}"/>
    <cellStyle name="Euro 17 2" xfId="3976" xr:uid="{00000000-0005-0000-0000-00007F0C0000}"/>
    <cellStyle name="Euro 17 3" xfId="7385" xr:uid="{00000000-0005-0000-0000-0000800C0000}"/>
    <cellStyle name="Euro 18" xfId="2150" xr:uid="{00000000-0005-0000-0000-0000810C0000}"/>
    <cellStyle name="Euro 18 2" xfId="3977" xr:uid="{00000000-0005-0000-0000-0000820C0000}"/>
    <cellStyle name="Euro 18 3" xfId="7386" xr:uid="{00000000-0005-0000-0000-0000830C0000}"/>
    <cellStyle name="Euro 19" xfId="2151" xr:uid="{00000000-0005-0000-0000-0000840C0000}"/>
    <cellStyle name="Euro 19 2" xfId="3978" xr:uid="{00000000-0005-0000-0000-0000850C0000}"/>
    <cellStyle name="Euro 19 3" xfId="7387" xr:uid="{00000000-0005-0000-0000-0000860C0000}"/>
    <cellStyle name="Euro 2" xfId="400" xr:uid="{00000000-0005-0000-0000-0000870C0000}"/>
    <cellStyle name="Euro 2 10" xfId="9173" xr:uid="{78B7076C-D2CE-4EA2-933D-40AD508FDA45}"/>
    <cellStyle name="Euro 2 11" xfId="9509" xr:uid="{9C67B6BC-3C79-4C28-8B0B-FEC1CE96ECC5}"/>
    <cellStyle name="Euro 2 2" xfId="401" xr:uid="{00000000-0005-0000-0000-0000880C0000}"/>
    <cellStyle name="Euro 2 2 2" xfId="402" xr:uid="{00000000-0005-0000-0000-0000890C0000}"/>
    <cellStyle name="Euro 2 2 2 2" xfId="3615" xr:uid="{00000000-0005-0000-0000-00008A0C0000}"/>
    <cellStyle name="Euro 2 2 2 3" xfId="5240" xr:uid="{00000000-0005-0000-0000-00008B0C0000}"/>
    <cellStyle name="Euro 2 2 2 4" xfId="7389" xr:uid="{00000000-0005-0000-0000-00008C0C0000}"/>
    <cellStyle name="Euro 2 2 2 5" xfId="2153" xr:uid="{00000000-0005-0000-0000-00008D0C0000}"/>
    <cellStyle name="Euro 2 2 2 6" xfId="9175" xr:uid="{AA8062EC-4727-43EB-AC0A-86ABCF24FCD4}"/>
    <cellStyle name="Euro 2 2 2 7" xfId="9511" xr:uid="{EAD0C3FB-2AB2-478C-825E-ACAF2BB367F5}"/>
    <cellStyle name="Euro 2 2 3" xfId="3979" xr:uid="{00000000-0005-0000-0000-00008E0C0000}"/>
    <cellStyle name="Euro 2 2 4" xfId="6450" xr:uid="{00000000-0005-0000-0000-00008F0C0000}"/>
    <cellStyle name="Euro 2 2 5" xfId="1198" xr:uid="{00000000-0005-0000-0000-0000900C0000}"/>
    <cellStyle name="Euro 2 2 6" xfId="9174" xr:uid="{04D2959D-357B-4520-AAD7-B36C41E8EE50}"/>
    <cellStyle name="Euro 2 2 7" xfId="9510" xr:uid="{1B1EA88A-1A80-474D-A3AB-995E9676EB30}"/>
    <cellStyle name="Euro 2 3" xfId="403" xr:uid="{00000000-0005-0000-0000-0000910C0000}"/>
    <cellStyle name="Euro 2 3 2" xfId="2634" xr:uid="{00000000-0005-0000-0000-0000920C0000}"/>
    <cellStyle name="Euro 2 3 3" xfId="3980" xr:uid="{00000000-0005-0000-0000-0000930C0000}"/>
    <cellStyle name="Euro 2 3 4" xfId="6423" xr:uid="{00000000-0005-0000-0000-0000940C0000}"/>
    <cellStyle name="Euro 2 3 5" xfId="1170" xr:uid="{00000000-0005-0000-0000-0000950C0000}"/>
    <cellStyle name="Euro 2 4" xfId="404" xr:uid="{00000000-0005-0000-0000-0000960C0000}"/>
    <cellStyle name="Euro 2 4 2" xfId="2635" xr:uid="{00000000-0005-0000-0000-0000970C0000}"/>
    <cellStyle name="Euro 2 4 3" xfId="3981" xr:uid="{00000000-0005-0000-0000-0000980C0000}"/>
    <cellStyle name="Euro 2 4 4" xfId="7388" xr:uid="{00000000-0005-0000-0000-0000990C0000}"/>
    <cellStyle name="Euro 2 4 5" xfId="2152" xr:uid="{00000000-0005-0000-0000-00009A0C0000}"/>
    <cellStyle name="Euro 2 5" xfId="405" xr:uid="{00000000-0005-0000-0000-00009B0C0000}"/>
    <cellStyle name="Euro 2 5 2" xfId="3798" xr:uid="{00000000-0005-0000-0000-00009C0C0000}"/>
    <cellStyle name="Euro 2 5 2 2" xfId="6188" xr:uid="{00000000-0005-0000-0000-00009D0C0000}"/>
    <cellStyle name="Euro 2 5 2 3" xfId="8709" xr:uid="{00000000-0005-0000-0000-00009E0C0000}"/>
    <cellStyle name="Euro 2 5 3" xfId="3294" xr:uid="{00000000-0005-0000-0000-00009F0C0000}"/>
    <cellStyle name="Euro 2 5 4" xfId="9176" xr:uid="{D72C7E97-0BE5-4775-9B19-BDB2C889267C}"/>
    <cellStyle name="Euro 2 5 5" xfId="9512" xr:uid="{31ECD222-8254-4893-BF39-A6B812023C3C}"/>
    <cellStyle name="Euro 2 6" xfId="3769" xr:uid="{00000000-0005-0000-0000-0000A00C0000}"/>
    <cellStyle name="Euro 2 6 2" xfId="6164" xr:uid="{00000000-0005-0000-0000-0000A10C0000}"/>
    <cellStyle name="Euro 2 6 3" xfId="8681" xr:uid="{00000000-0005-0000-0000-0000A20C0000}"/>
    <cellStyle name="Euro 2 7" xfId="8886" xr:uid="{00000000-0005-0000-0000-0000A30C0000}"/>
    <cellStyle name="Euro 2 7 2" xfId="9050" xr:uid="{00000000-0005-0000-0000-0000A40C0000}"/>
    <cellStyle name="Euro 2 7 2 2" xfId="9423" xr:uid="{9FA40D1C-9071-4F0E-A4CD-9938ECEED241}"/>
    <cellStyle name="Euro 2 7 2 3" xfId="9759" xr:uid="{28C12D11-388D-43B7-9C28-47FEA30414E5}"/>
    <cellStyle name="Euro 2 7 3" xfId="9269" xr:uid="{30D51377-6E29-47B2-AD01-032292917B1E}"/>
    <cellStyle name="Euro 2 7 4" xfId="9605" xr:uid="{8568B9FF-68CA-4A9E-A72D-9046BA74FA96}"/>
    <cellStyle name="Euro 2 8" xfId="8975" xr:uid="{00000000-0005-0000-0000-0000A50C0000}"/>
    <cellStyle name="Euro 2 8 2" xfId="9348" xr:uid="{8BB103EA-5CD0-4EF7-9755-029066643419}"/>
    <cellStyle name="Euro 2 8 3" xfId="9684" xr:uid="{39CA7027-0140-4D13-BE53-8D4CF24ECCC3}"/>
    <cellStyle name="Euro 2 9" xfId="1075" xr:uid="{00000000-0005-0000-0000-0000A60C0000}"/>
    <cellStyle name="Euro 2 9 2" xfId="9191" xr:uid="{D52BF87D-EF2B-4CF0-9086-39C80C8ECB29}"/>
    <cellStyle name="Euro 2 9 3" xfId="9527" xr:uid="{AC012869-0B20-4B01-9D75-FAD2AD95048B}"/>
    <cellStyle name="Euro 20" xfId="2154" xr:uid="{00000000-0005-0000-0000-0000A70C0000}"/>
    <cellStyle name="Euro 20 2" xfId="3982" xr:uid="{00000000-0005-0000-0000-0000A80C0000}"/>
    <cellStyle name="Euro 20 3" xfId="7390" xr:uid="{00000000-0005-0000-0000-0000A90C0000}"/>
    <cellStyle name="Euro 21" xfId="2155" xr:uid="{00000000-0005-0000-0000-0000AA0C0000}"/>
    <cellStyle name="Euro 21 2" xfId="3983" xr:uid="{00000000-0005-0000-0000-0000AB0C0000}"/>
    <cellStyle name="Euro 21 3" xfId="7391" xr:uid="{00000000-0005-0000-0000-0000AC0C0000}"/>
    <cellStyle name="Euro 22" xfId="2156" xr:uid="{00000000-0005-0000-0000-0000AD0C0000}"/>
    <cellStyle name="Euro 22 2" xfId="3984" xr:uid="{00000000-0005-0000-0000-0000AE0C0000}"/>
    <cellStyle name="Euro 22 3" xfId="7392" xr:uid="{00000000-0005-0000-0000-0000AF0C0000}"/>
    <cellStyle name="Euro 23" xfId="2157" xr:uid="{00000000-0005-0000-0000-0000B00C0000}"/>
    <cellStyle name="Euro 23 2" xfId="3985" xr:uid="{00000000-0005-0000-0000-0000B10C0000}"/>
    <cellStyle name="Euro 23 3" xfId="7393" xr:uid="{00000000-0005-0000-0000-0000B20C0000}"/>
    <cellStyle name="Euro 24" xfId="2158" xr:uid="{00000000-0005-0000-0000-0000B30C0000}"/>
    <cellStyle name="Euro 24 2" xfId="3986" xr:uid="{00000000-0005-0000-0000-0000B40C0000}"/>
    <cellStyle name="Euro 24 3" xfId="7394" xr:uid="{00000000-0005-0000-0000-0000B50C0000}"/>
    <cellStyle name="Euro 25" xfId="2159" xr:uid="{00000000-0005-0000-0000-0000B60C0000}"/>
    <cellStyle name="Euro 25 2" xfId="3987" xr:uid="{00000000-0005-0000-0000-0000B70C0000}"/>
    <cellStyle name="Euro 25 3" xfId="7395" xr:uid="{00000000-0005-0000-0000-0000B80C0000}"/>
    <cellStyle name="Euro 26" xfId="2160" xr:uid="{00000000-0005-0000-0000-0000B90C0000}"/>
    <cellStyle name="Euro 26 2" xfId="3988" xr:uid="{00000000-0005-0000-0000-0000BA0C0000}"/>
    <cellStyle name="Euro 26 3" xfId="7396" xr:uid="{00000000-0005-0000-0000-0000BB0C0000}"/>
    <cellStyle name="Euro 27" xfId="2161" xr:uid="{00000000-0005-0000-0000-0000BC0C0000}"/>
    <cellStyle name="Euro 27 2" xfId="3989" xr:uid="{00000000-0005-0000-0000-0000BD0C0000}"/>
    <cellStyle name="Euro 27 3" xfId="7397" xr:uid="{00000000-0005-0000-0000-0000BE0C0000}"/>
    <cellStyle name="Euro 28" xfId="2162" xr:uid="{00000000-0005-0000-0000-0000BF0C0000}"/>
    <cellStyle name="Euro 28 2" xfId="3990" xr:uid="{00000000-0005-0000-0000-0000C00C0000}"/>
    <cellStyle name="Euro 28 3" xfId="7398" xr:uid="{00000000-0005-0000-0000-0000C10C0000}"/>
    <cellStyle name="Euro 29" xfId="2163" xr:uid="{00000000-0005-0000-0000-0000C20C0000}"/>
    <cellStyle name="Euro 29 2" xfId="3991" xr:uid="{00000000-0005-0000-0000-0000C30C0000}"/>
    <cellStyle name="Euro 29 3" xfId="7399" xr:uid="{00000000-0005-0000-0000-0000C40C0000}"/>
    <cellStyle name="Euro 3" xfId="406" xr:uid="{00000000-0005-0000-0000-0000C50C0000}"/>
    <cellStyle name="Euro 3 10" xfId="1076" xr:uid="{00000000-0005-0000-0000-0000C60C0000}"/>
    <cellStyle name="Euro 3 2" xfId="1077" xr:uid="{00000000-0005-0000-0000-0000C70C0000}"/>
    <cellStyle name="Euro 3 2 2" xfId="1242" xr:uid="{00000000-0005-0000-0000-0000C80C0000}"/>
    <cellStyle name="Euro 3 2 2 2" xfId="6229" xr:uid="{00000000-0005-0000-0000-0000C90C0000}"/>
    <cellStyle name="Euro 3 2 2 3" xfId="6494" xr:uid="{00000000-0005-0000-0000-0000CA0C0000}"/>
    <cellStyle name="Euro 3 2 3" xfId="3993" xr:uid="{00000000-0005-0000-0000-0000CB0C0000}"/>
    <cellStyle name="Euro 3 2 4" xfId="6357" xr:uid="{00000000-0005-0000-0000-0000CC0C0000}"/>
    <cellStyle name="Euro 3 3" xfId="1078" xr:uid="{00000000-0005-0000-0000-0000CD0C0000}"/>
    <cellStyle name="Euro 3 3 2" xfId="2656" xr:uid="{00000000-0005-0000-0000-0000CE0C0000}"/>
    <cellStyle name="Euro 3 3 2 2" xfId="3995" xr:uid="{00000000-0005-0000-0000-0000CF0C0000}"/>
    <cellStyle name="Euro 3 3 2 3" xfId="7866" xr:uid="{00000000-0005-0000-0000-0000D00C0000}"/>
    <cellStyle name="Euro 3 3 3" xfId="3994" xr:uid="{00000000-0005-0000-0000-0000D10C0000}"/>
    <cellStyle name="Euro 3 3 4" xfId="6358" xr:uid="{00000000-0005-0000-0000-0000D20C0000}"/>
    <cellStyle name="Euro 3 4" xfId="1168" xr:uid="{00000000-0005-0000-0000-0000D30C0000}"/>
    <cellStyle name="Euro 3 4 2" xfId="2636" xr:uid="{00000000-0005-0000-0000-0000D40C0000}"/>
    <cellStyle name="Euro 3 4 3" xfId="3996" xr:uid="{00000000-0005-0000-0000-0000D50C0000}"/>
    <cellStyle name="Euro 3 4 4" xfId="6421" xr:uid="{00000000-0005-0000-0000-0000D60C0000}"/>
    <cellStyle name="Euro 3 4 4 2" xfId="8933" xr:uid="{00000000-0005-0000-0000-0000D70C0000}"/>
    <cellStyle name="Euro 3 4 4 2 2" xfId="9097" xr:uid="{00000000-0005-0000-0000-0000D80C0000}"/>
    <cellStyle name="Euro 3 4 4 2 2 2" xfId="9470" xr:uid="{DFD2914C-8F63-46AA-A44D-3AC1A76E53C9}"/>
    <cellStyle name="Euro 3 4 4 2 2 3" xfId="9806" xr:uid="{7F5E10D6-9677-4340-ADDB-8BAD36044665}"/>
    <cellStyle name="Euro 3 4 4 2 3" xfId="9316" xr:uid="{C1D46355-045F-4072-BC5C-BEB108E0EA5F}"/>
    <cellStyle name="Euro 3 4 4 2 4" xfId="9652" xr:uid="{AA77F35F-AC59-408A-81AF-913E90874451}"/>
    <cellStyle name="Euro 3 4 4 3" xfId="9020" xr:uid="{00000000-0005-0000-0000-0000D90C0000}"/>
    <cellStyle name="Euro 3 4 4 3 2" xfId="9393" xr:uid="{0F1942F1-F45F-4EB4-AE56-020E6B21D9BB}"/>
    <cellStyle name="Euro 3 4 4 3 3" xfId="9729" xr:uid="{F4A3BA11-DA1A-4D10-B68E-F24C02BA6764}"/>
    <cellStyle name="Euro 3 4 4 4" xfId="9238" xr:uid="{D7BE68C9-15D2-448D-94DD-B275A456CD46}"/>
    <cellStyle name="Euro 3 4 4 5" xfId="9574" xr:uid="{72472C57-4AE2-4901-8FC5-9334433BD526}"/>
    <cellStyle name="Euro 3 4 5" xfId="8888" xr:uid="{00000000-0005-0000-0000-0000DA0C0000}"/>
    <cellStyle name="Euro 3 4 5 2" xfId="9052" xr:uid="{00000000-0005-0000-0000-0000DB0C0000}"/>
    <cellStyle name="Euro 3 4 5 2 2" xfId="9425" xr:uid="{697B6712-9DC2-49AC-8DDE-9660C722F38F}"/>
    <cellStyle name="Euro 3 4 5 2 3" xfId="9761" xr:uid="{2B7B1921-D62E-4FD7-9DBC-C907218126AE}"/>
    <cellStyle name="Euro 3 4 5 3" xfId="9271" xr:uid="{27940E1F-45B6-4019-A531-E5275C82E7EA}"/>
    <cellStyle name="Euro 3 4 5 4" xfId="9607" xr:uid="{E765242C-6404-4D05-AC5F-3A36AB935888}"/>
    <cellStyle name="Euro 3 4 6" xfId="8977" xr:uid="{00000000-0005-0000-0000-0000DC0C0000}"/>
    <cellStyle name="Euro 3 4 6 2" xfId="9350" xr:uid="{F9887923-BB75-47BA-ACCB-F283FFA04238}"/>
    <cellStyle name="Euro 3 4 6 3" xfId="9686" xr:uid="{101C5D81-6B66-4915-A55B-5F24ED9D9C6D}"/>
    <cellStyle name="Euro 3 4 7" xfId="9193" xr:uid="{37018FC2-86AF-4FF1-BC23-71FFF12E17E6}"/>
    <cellStyle name="Euro 3 4 8" xfId="9529" xr:uid="{DE85CDA1-E372-4383-AEAF-01C9E5F03678}"/>
    <cellStyle name="Euro 3 5" xfId="2164" xr:uid="{00000000-0005-0000-0000-0000DD0C0000}"/>
    <cellStyle name="Euro 3 5 2" xfId="2637" xr:uid="{00000000-0005-0000-0000-0000DE0C0000}"/>
    <cellStyle name="Euro 3 5 2 2" xfId="8896" xr:uid="{00000000-0005-0000-0000-0000DF0C0000}"/>
    <cellStyle name="Euro 3 5 2 2 2" xfId="9060" xr:uid="{00000000-0005-0000-0000-0000E00C0000}"/>
    <cellStyle name="Euro 3 5 2 2 2 2" xfId="9433" xr:uid="{8851D543-394A-40C4-A101-51446F4F98CB}"/>
    <cellStyle name="Euro 3 5 2 2 2 3" xfId="9769" xr:uid="{5793D7D6-333C-4615-9689-548194C5DBD8}"/>
    <cellStyle name="Euro 3 5 2 2 3" xfId="9279" xr:uid="{1744473C-1A8E-4ECD-B77B-6E9815D592F9}"/>
    <cellStyle name="Euro 3 5 2 2 4" xfId="9615" xr:uid="{CAE1D7EA-95E7-4FD9-9FDB-4E6F71626DA8}"/>
    <cellStyle name="Euro 3 5 2 3" xfId="8985" xr:uid="{00000000-0005-0000-0000-0000E10C0000}"/>
    <cellStyle name="Euro 3 5 2 3 2" xfId="9358" xr:uid="{29A03689-418E-46D5-A2F8-6F24D0B5667C}"/>
    <cellStyle name="Euro 3 5 2 3 3" xfId="9694" xr:uid="{42EEF66A-72EA-4188-A90B-12F3B4385AC3}"/>
    <cellStyle name="Euro 3 5 2 4" xfId="9201" xr:uid="{04EE772E-C43F-4254-95C2-1010EEC15734}"/>
    <cellStyle name="Euro 3 5 2 5" xfId="9537" xr:uid="{D6A9EEA3-0626-4341-8741-FD66FEF0B89B}"/>
    <cellStyle name="Euro 3 5 3" xfId="7400" xr:uid="{00000000-0005-0000-0000-0000E20C0000}"/>
    <cellStyle name="Euro 3 6" xfId="3628" xr:uid="{00000000-0005-0000-0000-0000E30C0000}"/>
    <cellStyle name="Euro 3 6 2" xfId="3748" xr:uid="{00000000-0005-0000-0000-0000E40C0000}"/>
    <cellStyle name="Euro 3 6 2 2" xfId="8927" xr:uid="{00000000-0005-0000-0000-0000E50C0000}"/>
    <cellStyle name="Euro 3 6 2 2 2" xfId="9091" xr:uid="{00000000-0005-0000-0000-0000E60C0000}"/>
    <cellStyle name="Euro 3 6 2 2 2 2" xfId="9464" xr:uid="{118A8DD5-3F66-456F-A457-A77DE251F6C6}"/>
    <cellStyle name="Euro 3 6 2 2 2 3" xfId="9800" xr:uid="{DE5669B0-A953-4B71-98A2-26512B127734}"/>
    <cellStyle name="Euro 3 6 2 2 3" xfId="9310" xr:uid="{8614DBA0-F837-4DAC-B45D-8F8AC6AD4461}"/>
    <cellStyle name="Euro 3 6 2 2 4" xfId="9646" xr:uid="{732C1637-4AC2-43C7-AEFD-0792AF42C377}"/>
    <cellStyle name="Euro 3 6 2 3" xfId="9014" xr:uid="{00000000-0005-0000-0000-0000E70C0000}"/>
    <cellStyle name="Euro 3 6 2 3 2" xfId="9387" xr:uid="{8C7BD5E4-3625-4CA1-B949-791BE04D795D}"/>
    <cellStyle name="Euro 3 6 2 3 3" xfId="9723" xr:uid="{85207AD5-D72C-438B-A398-E3B9C5A2BB6E}"/>
    <cellStyle name="Euro 3 6 2 4" xfId="9232" xr:uid="{B3046187-0C36-4CC3-9D45-23A0F574A213}"/>
    <cellStyle name="Euro 3 6 2 5" xfId="9568" xr:uid="{6F128B1D-65BA-450E-A771-1FD765A6C416}"/>
    <cellStyle name="Euro 3 6 3" xfId="5279" xr:uid="{00000000-0005-0000-0000-0000E80C0000}"/>
    <cellStyle name="Euro 3 6 4" xfId="8595" xr:uid="{00000000-0005-0000-0000-0000E90C0000}"/>
    <cellStyle name="Euro 3 7" xfId="3797" xr:uid="{00000000-0005-0000-0000-0000EA0C0000}"/>
    <cellStyle name="Euro 3 7 2" xfId="6187" xr:uid="{00000000-0005-0000-0000-0000EB0C0000}"/>
    <cellStyle name="Euro 3 7 3" xfId="8708" xr:uid="{00000000-0005-0000-0000-0000EC0C0000}"/>
    <cellStyle name="Euro 3 8" xfId="3992" xr:uid="{00000000-0005-0000-0000-0000ED0C0000}"/>
    <cellStyle name="Euro 3 9" xfId="6356" xr:uid="{00000000-0005-0000-0000-0000EE0C0000}"/>
    <cellStyle name="Euro 30" xfId="2165" xr:uid="{00000000-0005-0000-0000-0000EF0C0000}"/>
    <cellStyle name="Euro 30 2" xfId="3997" xr:uid="{00000000-0005-0000-0000-0000F00C0000}"/>
    <cellStyle name="Euro 30 3" xfId="7401" xr:uid="{00000000-0005-0000-0000-0000F10C0000}"/>
    <cellStyle name="Euro 31" xfId="2166" xr:uid="{00000000-0005-0000-0000-0000F20C0000}"/>
    <cellStyle name="Euro 31 2" xfId="3998" xr:uid="{00000000-0005-0000-0000-0000F30C0000}"/>
    <cellStyle name="Euro 31 3" xfId="7402" xr:uid="{00000000-0005-0000-0000-0000F40C0000}"/>
    <cellStyle name="Euro 32" xfId="2167" xr:uid="{00000000-0005-0000-0000-0000F50C0000}"/>
    <cellStyle name="Euro 32 2" xfId="3999" xr:uid="{00000000-0005-0000-0000-0000F60C0000}"/>
    <cellStyle name="Euro 32 3" xfId="7403" xr:uid="{00000000-0005-0000-0000-0000F70C0000}"/>
    <cellStyle name="Euro 33" xfId="2168" xr:uid="{00000000-0005-0000-0000-0000F80C0000}"/>
    <cellStyle name="Euro 33 2" xfId="4000" xr:uid="{00000000-0005-0000-0000-0000F90C0000}"/>
    <cellStyle name="Euro 33 3" xfId="7404" xr:uid="{00000000-0005-0000-0000-0000FA0C0000}"/>
    <cellStyle name="Euro 34" xfId="2169" xr:uid="{00000000-0005-0000-0000-0000FB0C0000}"/>
    <cellStyle name="Euro 34 2" xfId="4001" xr:uid="{00000000-0005-0000-0000-0000FC0C0000}"/>
    <cellStyle name="Euro 34 3" xfId="7405" xr:uid="{00000000-0005-0000-0000-0000FD0C0000}"/>
    <cellStyle name="Euro 35" xfId="2170" xr:uid="{00000000-0005-0000-0000-0000FE0C0000}"/>
    <cellStyle name="Euro 35 2" xfId="4002" xr:uid="{00000000-0005-0000-0000-0000FF0C0000}"/>
    <cellStyle name="Euro 35 3" xfId="7406" xr:uid="{00000000-0005-0000-0000-0000000D0000}"/>
    <cellStyle name="Euro 36" xfId="2171" xr:uid="{00000000-0005-0000-0000-0000010D0000}"/>
    <cellStyle name="Euro 36 2" xfId="4003" xr:uid="{00000000-0005-0000-0000-0000020D0000}"/>
    <cellStyle name="Euro 36 3" xfId="7407" xr:uid="{00000000-0005-0000-0000-0000030D0000}"/>
    <cellStyle name="Euro 37" xfId="2172" xr:uid="{00000000-0005-0000-0000-0000040D0000}"/>
    <cellStyle name="Euro 37 2" xfId="4004" xr:uid="{00000000-0005-0000-0000-0000050D0000}"/>
    <cellStyle name="Euro 37 3" xfId="7408" xr:uid="{00000000-0005-0000-0000-0000060D0000}"/>
    <cellStyle name="Euro 38" xfId="2173" xr:uid="{00000000-0005-0000-0000-0000070D0000}"/>
    <cellStyle name="Euro 38 2" xfId="4005" xr:uid="{00000000-0005-0000-0000-0000080D0000}"/>
    <cellStyle name="Euro 38 3" xfId="7409" xr:uid="{00000000-0005-0000-0000-0000090D0000}"/>
    <cellStyle name="Euro 39" xfId="2174" xr:uid="{00000000-0005-0000-0000-00000A0D0000}"/>
    <cellStyle name="Euro 39 2" xfId="4006" xr:uid="{00000000-0005-0000-0000-00000B0D0000}"/>
    <cellStyle name="Euro 39 3" xfId="7410" xr:uid="{00000000-0005-0000-0000-00000C0D0000}"/>
    <cellStyle name="Euro 4" xfId="407" xr:uid="{00000000-0005-0000-0000-00000D0D0000}"/>
    <cellStyle name="Euro 4 2" xfId="2175" xr:uid="{00000000-0005-0000-0000-00000E0D0000}"/>
    <cellStyle name="Euro 4 2 2" xfId="3655" xr:uid="{00000000-0005-0000-0000-00000F0D0000}"/>
    <cellStyle name="Euro 4 2 3" xfId="5329" xr:uid="{00000000-0005-0000-0000-0000100D0000}"/>
    <cellStyle name="Euro 4 2 4" xfId="7411" xr:uid="{00000000-0005-0000-0000-0000110D0000}"/>
    <cellStyle name="Euro 4 3" xfId="4007" xr:uid="{00000000-0005-0000-0000-0000120D0000}"/>
    <cellStyle name="Euro 4 4" xfId="6545" xr:uid="{00000000-0005-0000-0000-0000130D0000}"/>
    <cellStyle name="Euro 4 5" xfId="1293" xr:uid="{00000000-0005-0000-0000-0000140D0000}"/>
    <cellStyle name="Euro 40" xfId="2176" xr:uid="{00000000-0005-0000-0000-0000150D0000}"/>
    <cellStyle name="Euro 40 2" xfId="4008" xr:uid="{00000000-0005-0000-0000-0000160D0000}"/>
    <cellStyle name="Euro 40 3" xfId="7412" xr:uid="{00000000-0005-0000-0000-0000170D0000}"/>
    <cellStyle name="Euro 41" xfId="2177" xr:uid="{00000000-0005-0000-0000-0000180D0000}"/>
    <cellStyle name="Euro 41 2" xfId="4009" xr:uid="{00000000-0005-0000-0000-0000190D0000}"/>
    <cellStyle name="Euro 41 3" xfId="7413" xr:uid="{00000000-0005-0000-0000-00001A0D0000}"/>
    <cellStyle name="Euro 42" xfId="2178" xr:uid="{00000000-0005-0000-0000-00001B0D0000}"/>
    <cellStyle name="Euro 42 2" xfId="4010" xr:uid="{00000000-0005-0000-0000-00001C0D0000}"/>
    <cellStyle name="Euro 42 3" xfId="7414" xr:uid="{00000000-0005-0000-0000-00001D0D0000}"/>
    <cellStyle name="Euro 43" xfId="2179" xr:uid="{00000000-0005-0000-0000-00001E0D0000}"/>
    <cellStyle name="Euro 43 2" xfId="4011" xr:uid="{00000000-0005-0000-0000-00001F0D0000}"/>
    <cellStyle name="Euro 43 3" xfId="7415" xr:uid="{00000000-0005-0000-0000-0000200D0000}"/>
    <cellStyle name="Euro 44" xfId="2180" xr:uid="{00000000-0005-0000-0000-0000210D0000}"/>
    <cellStyle name="Euro 44 2" xfId="4012" xr:uid="{00000000-0005-0000-0000-0000220D0000}"/>
    <cellStyle name="Euro 44 3" xfId="7416" xr:uid="{00000000-0005-0000-0000-0000230D0000}"/>
    <cellStyle name="Euro 45" xfId="2181" xr:uid="{00000000-0005-0000-0000-0000240D0000}"/>
    <cellStyle name="Euro 45 2" xfId="4013" xr:uid="{00000000-0005-0000-0000-0000250D0000}"/>
    <cellStyle name="Euro 45 3" xfId="7417" xr:uid="{00000000-0005-0000-0000-0000260D0000}"/>
    <cellStyle name="Euro 46" xfId="2182" xr:uid="{00000000-0005-0000-0000-0000270D0000}"/>
    <cellStyle name="Euro 46 2" xfId="4014" xr:uid="{00000000-0005-0000-0000-0000280D0000}"/>
    <cellStyle name="Euro 46 3" xfId="7418" xr:uid="{00000000-0005-0000-0000-0000290D0000}"/>
    <cellStyle name="Euro 47" xfId="2183" xr:uid="{00000000-0005-0000-0000-00002A0D0000}"/>
    <cellStyle name="Euro 47 2" xfId="4015" xr:uid="{00000000-0005-0000-0000-00002B0D0000}"/>
    <cellStyle name="Euro 47 3" xfId="7419" xr:uid="{00000000-0005-0000-0000-00002C0D0000}"/>
    <cellStyle name="Euro 48" xfId="2184" xr:uid="{00000000-0005-0000-0000-00002D0D0000}"/>
    <cellStyle name="Euro 48 2" xfId="4016" xr:uid="{00000000-0005-0000-0000-00002E0D0000}"/>
    <cellStyle name="Euro 48 3" xfId="7420" xr:uid="{00000000-0005-0000-0000-00002F0D0000}"/>
    <cellStyle name="Euro 49" xfId="2185" xr:uid="{00000000-0005-0000-0000-0000300D0000}"/>
    <cellStyle name="Euro 49 2" xfId="4017" xr:uid="{00000000-0005-0000-0000-0000310D0000}"/>
    <cellStyle name="Euro 49 3" xfId="7421" xr:uid="{00000000-0005-0000-0000-0000320D0000}"/>
    <cellStyle name="Euro 5" xfId="408" xr:uid="{00000000-0005-0000-0000-0000330D0000}"/>
    <cellStyle name="Euro 5 2" xfId="2186" xr:uid="{00000000-0005-0000-0000-0000340D0000}"/>
    <cellStyle name="Euro 5 2 2" xfId="3673" xr:uid="{00000000-0005-0000-0000-0000350D0000}"/>
    <cellStyle name="Euro 5 2 3" xfId="5470" xr:uid="{00000000-0005-0000-0000-0000360D0000}"/>
    <cellStyle name="Euro 5 2 4" xfId="7422" xr:uid="{00000000-0005-0000-0000-0000370D0000}"/>
    <cellStyle name="Euro 5 3" xfId="4018" xr:uid="{00000000-0005-0000-0000-0000380D0000}"/>
    <cellStyle name="Euro 5 4" xfId="6693" xr:uid="{00000000-0005-0000-0000-0000390D0000}"/>
    <cellStyle name="Euro 5 5" xfId="1441" xr:uid="{00000000-0005-0000-0000-00003A0D0000}"/>
    <cellStyle name="Euro 50" xfId="2187" xr:uid="{00000000-0005-0000-0000-00003B0D0000}"/>
    <cellStyle name="Euro 50 2" xfId="4019" xr:uid="{00000000-0005-0000-0000-00003C0D0000}"/>
    <cellStyle name="Euro 50 3" xfId="7423" xr:uid="{00000000-0005-0000-0000-00003D0D0000}"/>
    <cellStyle name="Euro 51" xfId="2188" xr:uid="{00000000-0005-0000-0000-00003E0D0000}"/>
    <cellStyle name="Euro 51 2" xfId="4020" xr:uid="{00000000-0005-0000-0000-00003F0D0000}"/>
    <cellStyle name="Euro 51 3" xfId="7424" xr:uid="{00000000-0005-0000-0000-0000400D0000}"/>
    <cellStyle name="Euro 52" xfId="2189" xr:uid="{00000000-0005-0000-0000-0000410D0000}"/>
    <cellStyle name="Euro 52 2" xfId="4021" xr:uid="{00000000-0005-0000-0000-0000420D0000}"/>
    <cellStyle name="Euro 52 3" xfId="7425" xr:uid="{00000000-0005-0000-0000-0000430D0000}"/>
    <cellStyle name="Euro 53" xfId="2190" xr:uid="{00000000-0005-0000-0000-0000440D0000}"/>
    <cellStyle name="Euro 53 2" xfId="8894" xr:uid="{00000000-0005-0000-0000-0000450D0000}"/>
    <cellStyle name="Euro 53 2 2" xfId="9058" xr:uid="{00000000-0005-0000-0000-0000460D0000}"/>
    <cellStyle name="Euro 53 2 2 2" xfId="9431" xr:uid="{517EB8D8-4EC4-421E-96DE-6DB479E339A0}"/>
    <cellStyle name="Euro 53 2 2 3" xfId="9767" xr:uid="{C9C6A191-5975-4A6A-B3BF-799970068C05}"/>
    <cellStyle name="Euro 53 2 3" xfId="9277" xr:uid="{7B2C3DDA-B66E-47F8-831F-62AD7D223B13}"/>
    <cellStyle name="Euro 53 2 4" xfId="9613" xr:uid="{218CCB0E-A120-460F-94EB-D5FDFB024756}"/>
    <cellStyle name="Euro 53 3" xfId="8983" xr:uid="{00000000-0005-0000-0000-0000470D0000}"/>
    <cellStyle name="Euro 53 3 2" xfId="9356" xr:uid="{B12B2351-2027-43BE-8E53-839DAD635757}"/>
    <cellStyle name="Euro 53 3 3" xfId="9692" xr:uid="{11AC49FA-9156-4B55-B5AD-EFBDC74A50BE}"/>
    <cellStyle name="Euro 53 4" xfId="9199" xr:uid="{7EDA4024-D212-477C-9242-88E2127E7855}"/>
    <cellStyle name="Euro 53 5" xfId="9535" xr:uid="{58DA0594-4473-4DE8-BFB4-9E9AB00EF581}"/>
    <cellStyle name="Euro 54" xfId="2191" xr:uid="{00000000-0005-0000-0000-0000480D0000}"/>
    <cellStyle name="Euro 54 2" xfId="4022" xr:uid="{00000000-0005-0000-0000-0000490D0000}"/>
    <cellStyle name="Euro 54 3" xfId="7426" xr:uid="{00000000-0005-0000-0000-00004A0D0000}"/>
    <cellStyle name="Euro 55" xfId="2192" xr:uid="{00000000-0005-0000-0000-00004B0D0000}"/>
    <cellStyle name="Euro 55 2" xfId="8895" xr:uid="{00000000-0005-0000-0000-00004C0D0000}"/>
    <cellStyle name="Euro 55 2 2" xfId="9059" xr:uid="{00000000-0005-0000-0000-00004D0D0000}"/>
    <cellStyle name="Euro 55 2 2 2" xfId="9432" xr:uid="{347C5DD3-4A34-41FF-B6FF-113E6FC3AC1D}"/>
    <cellStyle name="Euro 55 2 2 3" xfId="9768" xr:uid="{8EFB3878-8081-4FA0-99EF-72511C0E83D2}"/>
    <cellStyle name="Euro 55 2 3" xfId="9278" xr:uid="{7A10FF21-F5C1-4683-B90B-50129667951D}"/>
    <cellStyle name="Euro 55 2 4" xfId="9614" xr:uid="{1DC4A45D-8D09-48AB-AA71-2A57F7235BDC}"/>
    <cellStyle name="Euro 55 3" xfId="8984" xr:uid="{00000000-0005-0000-0000-00004E0D0000}"/>
    <cellStyle name="Euro 55 3 2" xfId="9357" xr:uid="{20AD793F-8680-4148-A59B-F3817E6004EF}"/>
    <cellStyle name="Euro 55 3 3" xfId="9693" xr:uid="{508DDB83-4A68-4BAA-A23C-DD9AF0541BDD}"/>
    <cellStyle name="Euro 55 4" xfId="9200" xr:uid="{F16EB1A1-31F6-45E5-BD9E-147809297D1E}"/>
    <cellStyle name="Euro 55 5" xfId="9536" xr:uid="{81D75129-C87F-4EED-AD71-D6ED095C914E}"/>
    <cellStyle name="Euro 56" xfId="2141" xr:uid="{00000000-0005-0000-0000-00004F0D0000}"/>
    <cellStyle name="Euro 56 2" xfId="4023" xr:uid="{00000000-0005-0000-0000-0000500D0000}"/>
    <cellStyle name="Euro 56 3" xfId="7377" xr:uid="{00000000-0005-0000-0000-0000510D0000}"/>
    <cellStyle name="Euro 57" xfId="2638" xr:uid="{00000000-0005-0000-0000-0000520D0000}"/>
    <cellStyle name="Euro 57 2" xfId="4024" xr:uid="{00000000-0005-0000-0000-0000530D0000}"/>
    <cellStyle name="Euro 57 3" xfId="7850" xr:uid="{00000000-0005-0000-0000-0000540D0000}"/>
    <cellStyle name="Euro 58" xfId="2557" xr:uid="{00000000-0005-0000-0000-0000550D0000}"/>
    <cellStyle name="Euro 58 2" xfId="4025" xr:uid="{00000000-0005-0000-0000-0000560D0000}"/>
    <cellStyle name="Euro 58 3" xfId="7780" xr:uid="{00000000-0005-0000-0000-0000570D0000}"/>
    <cellStyle name="Euro 59" xfId="6355" xr:uid="{00000000-0005-0000-0000-0000580D0000}"/>
    <cellStyle name="Euro 6" xfId="409" xr:uid="{00000000-0005-0000-0000-0000590D0000}"/>
    <cellStyle name="Euro 6 2" xfId="2193" xr:uid="{00000000-0005-0000-0000-00005A0D0000}"/>
    <cellStyle name="Euro 6 2 2" xfId="3687" xr:uid="{00000000-0005-0000-0000-00005B0D0000}"/>
    <cellStyle name="Euro 6 2 3" xfId="5584" xr:uid="{00000000-0005-0000-0000-00005C0D0000}"/>
    <cellStyle name="Euro 6 2 4" xfId="7427" xr:uid="{00000000-0005-0000-0000-00005D0D0000}"/>
    <cellStyle name="Euro 6 3" xfId="4026" xr:uid="{00000000-0005-0000-0000-00005E0D0000}"/>
    <cellStyle name="Euro 6 4" xfId="6809" xr:uid="{00000000-0005-0000-0000-00005F0D0000}"/>
    <cellStyle name="Euro 6 5" xfId="1558" xr:uid="{00000000-0005-0000-0000-0000600D0000}"/>
    <cellStyle name="Euro 60" xfId="1074" xr:uid="{00000000-0005-0000-0000-0000610D0000}"/>
    <cellStyle name="Euro 7" xfId="1989" xr:uid="{00000000-0005-0000-0000-0000620D0000}"/>
    <cellStyle name="Euro 7 2" xfId="2194" xr:uid="{00000000-0005-0000-0000-0000630D0000}"/>
    <cellStyle name="Euro 7 2 2" xfId="3708" xr:uid="{00000000-0005-0000-0000-0000640D0000}"/>
    <cellStyle name="Euro 7 2 3" xfId="6008" xr:uid="{00000000-0005-0000-0000-0000650D0000}"/>
    <cellStyle name="Euro 7 2 4" xfId="7428" xr:uid="{00000000-0005-0000-0000-0000660D0000}"/>
    <cellStyle name="Euro 7 3" xfId="4027" xr:uid="{00000000-0005-0000-0000-0000670D0000}"/>
    <cellStyle name="Euro 7 4" xfId="7236" xr:uid="{00000000-0005-0000-0000-0000680D0000}"/>
    <cellStyle name="Euro 8" xfId="1172" xr:uid="{00000000-0005-0000-0000-0000690D0000}"/>
    <cellStyle name="Euro 8 2" xfId="2195" xr:uid="{00000000-0005-0000-0000-00006A0D0000}"/>
    <cellStyle name="Euro 8 2 2" xfId="3566" xr:uid="{00000000-0005-0000-0000-00006B0D0000}"/>
    <cellStyle name="Euro 8 2 3" xfId="5178" xr:uid="{00000000-0005-0000-0000-00006C0D0000}"/>
    <cellStyle name="Euro 8 2 4" xfId="7429" xr:uid="{00000000-0005-0000-0000-00006D0D0000}"/>
    <cellStyle name="Euro 8 3" xfId="4028" xr:uid="{00000000-0005-0000-0000-00006E0D0000}"/>
    <cellStyle name="Euro 8 4" xfId="6425" xr:uid="{00000000-0005-0000-0000-00006F0D0000}"/>
    <cellStyle name="Euro 9" xfId="1159" xr:uid="{00000000-0005-0000-0000-0000700D0000}"/>
    <cellStyle name="Euro 9 2" xfId="2196" xr:uid="{00000000-0005-0000-0000-0000710D0000}"/>
    <cellStyle name="Euro 9 2 2" xfId="3562" xr:uid="{00000000-0005-0000-0000-0000720D0000}"/>
    <cellStyle name="Euro 9 2 2 2" xfId="8924" xr:uid="{00000000-0005-0000-0000-0000730D0000}"/>
    <cellStyle name="Euro 9 2 2 2 2" xfId="9088" xr:uid="{00000000-0005-0000-0000-0000740D0000}"/>
    <cellStyle name="Euro 9 2 2 2 2 2" xfId="9461" xr:uid="{FCA3D128-7BA3-443F-AC4E-D4CBB61259B4}"/>
    <cellStyle name="Euro 9 2 2 2 2 3" xfId="9797" xr:uid="{8CDBFFDB-F936-4DB5-AD7D-12A95DDED5B3}"/>
    <cellStyle name="Euro 9 2 2 2 3" xfId="9307" xr:uid="{C6F02C3D-59AF-46AB-BACF-4A6A2C99D835}"/>
    <cellStyle name="Euro 9 2 2 2 4" xfId="9643" xr:uid="{0FCFCF31-ACC6-4F47-8EAD-F2ED4E69CA62}"/>
    <cellStyle name="Euro 9 2 2 3" xfId="9011" xr:uid="{00000000-0005-0000-0000-0000750D0000}"/>
    <cellStyle name="Euro 9 2 2 3 2" xfId="9384" xr:uid="{593B5377-CF8E-4FF3-B205-77E7072C3A0B}"/>
    <cellStyle name="Euro 9 2 2 3 3" xfId="9720" xr:uid="{2081D615-4F81-42AE-B6F5-B97C0CD6BDB6}"/>
    <cellStyle name="Euro 9 2 2 4" xfId="9229" xr:uid="{E9E71FA1-9DFC-46F2-888A-4F30E5098044}"/>
    <cellStyle name="Euro 9 2 2 5" xfId="9565" xr:uid="{99D455E4-F318-46B2-B6BD-241CEB47BB3A}"/>
    <cellStyle name="Euro 9 2 3" xfId="7430" xr:uid="{00000000-0005-0000-0000-0000760D0000}"/>
    <cellStyle name="Euro 9 3" xfId="4029" xr:uid="{00000000-0005-0000-0000-0000770D0000}"/>
    <cellStyle name="Euro 9 4" xfId="8887" xr:uid="{00000000-0005-0000-0000-0000780D0000}"/>
    <cellStyle name="Euro 9 4 2" xfId="9051" xr:uid="{00000000-0005-0000-0000-0000790D0000}"/>
    <cellStyle name="Euro 9 4 2 2" xfId="9424" xr:uid="{D066C921-9AE0-4C84-9B5A-780EE568D2F6}"/>
    <cellStyle name="Euro 9 4 2 3" xfId="9760" xr:uid="{0CFCC43A-5468-4D10-B401-04D4B8B61CF2}"/>
    <cellStyle name="Euro 9 4 3" xfId="9270" xr:uid="{315B8D8D-B20A-4FCB-8DDE-6CAA366660AE}"/>
    <cellStyle name="Euro 9 4 4" xfId="9606" xr:uid="{7504F1ED-A7FA-42EE-88C7-FF94FFA1AAB2}"/>
    <cellStyle name="Euro 9 5" xfId="8976" xr:uid="{00000000-0005-0000-0000-00007A0D0000}"/>
    <cellStyle name="Euro 9 5 2" xfId="9349" xr:uid="{20EF47C1-E5C6-4B58-A7E6-BE80483A3F38}"/>
    <cellStyle name="Euro 9 5 3" xfId="9685" xr:uid="{40879B03-D410-4747-978D-FA83A78CEA85}"/>
    <cellStyle name="Euro 9 6" xfId="9192" xr:uid="{EA2E7F72-171D-4F97-A26F-39BEB1D1B1D6}"/>
    <cellStyle name="Euro 9 7" xfId="9528" xr:uid="{81B20F69-F192-4C31-B853-B4E97A6193BC}"/>
    <cellStyle name="Euro_07_05_22 SEMENTES COLZA ROMÉNIA" xfId="410" xr:uid="{00000000-0005-0000-0000-00007B0D0000}"/>
    <cellStyle name="Excel Built-in 20% - Accent1" xfId="2669" xr:uid="{00000000-0005-0000-0000-00007C0D0000}"/>
    <cellStyle name="Excel Built-in Comma" xfId="2668" xr:uid="{00000000-0005-0000-0000-00007D0D0000}"/>
    <cellStyle name="Excel Built-in Heading 1" xfId="2667" xr:uid="{00000000-0005-0000-0000-00007E0D0000}"/>
    <cellStyle name="Excel Built-in Normal" xfId="2197" xr:uid="{00000000-0005-0000-0000-00007F0D0000}"/>
    <cellStyle name="Excel Built-in Normal 2" xfId="4030" xr:uid="{00000000-0005-0000-0000-0000800D0000}"/>
    <cellStyle name="Excel Built-in Normal 3" xfId="7431" xr:uid="{00000000-0005-0000-0000-0000810D0000}"/>
    <cellStyle name="Exception" xfId="411" xr:uid="{00000000-0005-0000-0000-0000820D0000}"/>
    <cellStyle name="Explanatory Text" xfId="412" xr:uid="{00000000-0005-0000-0000-0000830D0000}"/>
    <cellStyle name="Explanatory Text 2" xfId="1079" xr:uid="{00000000-0005-0000-0000-0000840D0000}"/>
    <cellStyle name="Explanatory Text 2 2" xfId="3583" xr:uid="{00000000-0005-0000-0000-0000850D0000}"/>
    <cellStyle name="Explanatory Text 2 2 2" xfId="5195" xr:uid="{00000000-0005-0000-0000-0000860D0000}"/>
    <cellStyle name="Explanatory Text 2 2 3" xfId="8567" xr:uid="{00000000-0005-0000-0000-0000870D0000}"/>
    <cellStyle name="Explanatory Text 2 3" xfId="3295" xr:uid="{00000000-0005-0000-0000-0000880D0000}"/>
    <cellStyle name="Explanatory Text 2 3 2" xfId="4930" xr:uid="{00000000-0005-0000-0000-0000890D0000}"/>
    <cellStyle name="Explanatory Text 2 3 3" xfId="8334" xr:uid="{00000000-0005-0000-0000-00008A0D0000}"/>
    <cellStyle name="Explanatory Text 2 4" xfId="4032" xr:uid="{00000000-0005-0000-0000-00008B0D0000}"/>
    <cellStyle name="Explanatory Text 2 5" xfId="6359" xr:uid="{00000000-0005-0000-0000-00008C0D0000}"/>
    <cellStyle name="Explanatory Text 3" xfId="3296" xr:uid="{00000000-0005-0000-0000-00008D0D0000}"/>
    <cellStyle name="Explanatory Text 3 2" xfId="4931" xr:uid="{00000000-0005-0000-0000-00008E0D0000}"/>
    <cellStyle name="Explanatory Text 3 3" xfId="8335" xr:uid="{00000000-0005-0000-0000-00008F0D0000}"/>
    <cellStyle name="Explanatory Text 4" xfId="3297" xr:uid="{00000000-0005-0000-0000-0000900D0000}"/>
    <cellStyle name="Explanatory Text 4 2" xfId="4932" xr:uid="{00000000-0005-0000-0000-0000910D0000}"/>
    <cellStyle name="Explanatory Text 4 3" xfId="8336" xr:uid="{00000000-0005-0000-0000-0000920D0000}"/>
    <cellStyle name="Explanatory Text 5" xfId="3298" xr:uid="{00000000-0005-0000-0000-0000930D0000}"/>
    <cellStyle name="Explanatory Text 5 2" xfId="4933" xr:uid="{00000000-0005-0000-0000-0000940D0000}"/>
    <cellStyle name="Explanatory Text 5 3" xfId="8337" xr:uid="{00000000-0005-0000-0000-0000950D0000}"/>
    <cellStyle name="Explanatory Text 6" xfId="3299" xr:uid="{00000000-0005-0000-0000-0000960D0000}"/>
    <cellStyle name="Explanatory Text 6 2" xfId="4934" xr:uid="{00000000-0005-0000-0000-0000970D0000}"/>
    <cellStyle name="Explanatory Text 6 3" xfId="8338" xr:uid="{00000000-0005-0000-0000-0000980D0000}"/>
    <cellStyle name="Explanatory Text 7" xfId="4031" xr:uid="{00000000-0005-0000-0000-0000990D0000}"/>
    <cellStyle name="Explanatory Text 8" xfId="7800" xr:uid="{00000000-0005-0000-0000-00009A0D0000}"/>
    <cellStyle name="Explanatory Text 9" xfId="2582" xr:uid="{00000000-0005-0000-0000-00009B0D0000}"/>
    <cellStyle name="Factor" xfId="2198" xr:uid="{00000000-0005-0000-0000-00009C0D0000}"/>
    <cellStyle name="Feeder Field" xfId="413" xr:uid="{00000000-0005-0000-0000-00009D0D0000}"/>
    <cellStyle name="FIXED" xfId="414" xr:uid="{00000000-0005-0000-0000-00009E0D0000}"/>
    <cellStyle name="Fixed 2" xfId="3301" xr:uid="{00000000-0005-0000-0000-00009F0D0000}"/>
    <cellStyle name="Fixed 3" xfId="3302" xr:uid="{00000000-0005-0000-0000-0000A00D0000}"/>
    <cellStyle name="Fixed 4" xfId="3303" xr:uid="{00000000-0005-0000-0000-0000A10D0000}"/>
    <cellStyle name="Fixed 5" xfId="3300" xr:uid="{00000000-0005-0000-0000-0000A20D0000}"/>
    <cellStyle name="Good" xfId="415" xr:uid="{00000000-0005-0000-0000-0000A30D0000}"/>
    <cellStyle name="Good 2" xfId="1080" xr:uid="{00000000-0005-0000-0000-0000A40D0000}"/>
    <cellStyle name="Good 2 2" xfId="3574" xr:uid="{00000000-0005-0000-0000-0000A50D0000}"/>
    <cellStyle name="Good 2 2 2" xfId="5186" xr:uid="{00000000-0005-0000-0000-0000A60D0000}"/>
    <cellStyle name="Good 2 2 3" xfId="8558" xr:uid="{00000000-0005-0000-0000-0000A70D0000}"/>
    <cellStyle name="Good 2 3" xfId="3305" xr:uid="{00000000-0005-0000-0000-0000A80D0000}"/>
    <cellStyle name="Good 2 3 2" xfId="4936" xr:uid="{00000000-0005-0000-0000-0000A90D0000}"/>
    <cellStyle name="Good 2 3 3" xfId="8340" xr:uid="{00000000-0005-0000-0000-0000AA0D0000}"/>
    <cellStyle name="Good 2 4" xfId="4034" xr:uid="{00000000-0005-0000-0000-0000AB0D0000}"/>
    <cellStyle name="Good 2 5" xfId="6360" xr:uid="{00000000-0005-0000-0000-0000AC0D0000}"/>
    <cellStyle name="Good 3" xfId="3306" xr:uid="{00000000-0005-0000-0000-0000AD0D0000}"/>
    <cellStyle name="Good 3 2" xfId="4937" xr:uid="{00000000-0005-0000-0000-0000AE0D0000}"/>
    <cellStyle name="Good 3 3" xfId="8341" xr:uid="{00000000-0005-0000-0000-0000AF0D0000}"/>
    <cellStyle name="Good 4" xfId="3307" xr:uid="{00000000-0005-0000-0000-0000B00D0000}"/>
    <cellStyle name="Good 4 2" xfId="4938" xr:uid="{00000000-0005-0000-0000-0000B10D0000}"/>
    <cellStyle name="Good 4 3" xfId="8342" xr:uid="{00000000-0005-0000-0000-0000B20D0000}"/>
    <cellStyle name="Good 5" xfId="3308" xr:uid="{00000000-0005-0000-0000-0000B30D0000}"/>
    <cellStyle name="Good 5 2" xfId="4939" xr:uid="{00000000-0005-0000-0000-0000B40D0000}"/>
    <cellStyle name="Good 5 3" xfId="8343" xr:uid="{00000000-0005-0000-0000-0000B50D0000}"/>
    <cellStyle name="Good 6" xfId="3309" xr:uid="{00000000-0005-0000-0000-0000B60D0000}"/>
    <cellStyle name="Good 6 2" xfId="4940" xr:uid="{00000000-0005-0000-0000-0000B70D0000}"/>
    <cellStyle name="Good 6 3" xfId="8344" xr:uid="{00000000-0005-0000-0000-0000B80D0000}"/>
    <cellStyle name="Good 7" xfId="3304" xr:uid="{00000000-0005-0000-0000-0000B90D0000}"/>
    <cellStyle name="Good 7 2" xfId="4935" xr:uid="{00000000-0005-0000-0000-0000BA0D0000}"/>
    <cellStyle name="Good 7 3" xfId="8339" xr:uid="{00000000-0005-0000-0000-0000BB0D0000}"/>
    <cellStyle name="Good 8" xfId="4033" xr:uid="{00000000-0005-0000-0000-0000BC0D0000}"/>
    <cellStyle name="Good 9" xfId="2581" xr:uid="{00000000-0005-0000-0000-0000BD0D0000}"/>
    <cellStyle name="Grey" xfId="416" xr:uid="{00000000-0005-0000-0000-0000BE0D0000}"/>
    <cellStyle name="Greyed out" xfId="417" xr:uid="{00000000-0005-0000-0000-0000BF0D0000}"/>
    <cellStyle name="Heading" xfId="2666" xr:uid="{00000000-0005-0000-0000-0000C00D0000}"/>
    <cellStyle name="Heading 1" xfId="2580" xr:uid="{00000000-0005-0000-0000-0000C10D0000}"/>
    <cellStyle name="Heading 1 2" xfId="1081" xr:uid="{00000000-0005-0000-0000-0000C20D0000}"/>
    <cellStyle name="Heading 1 2 2" xfId="3570" xr:uid="{00000000-0005-0000-0000-0000C30D0000}"/>
    <cellStyle name="Heading 1 2 2 2" xfId="5182" xr:uid="{00000000-0005-0000-0000-0000C40D0000}"/>
    <cellStyle name="Heading 1 2 2 3" xfId="8554" xr:uid="{00000000-0005-0000-0000-0000C50D0000}"/>
    <cellStyle name="Heading 1 2 3" xfId="3311" xr:uid="{00000000-0005-0000-0000-0000C60D0000}"/>
    <cellStyle name="Heading 1 2 3 2" xfId="4942" xr:uid="{00000000-0005-0000-0000-0000C70D0000}"/>
    <cellStyle name="Heading 1 2 3 3" xfId="8346" xr:uid="{00000000-0005-0000-0000-0000C80D0000}"/>
    <cellStyle name="Heading 1 2 4" xfId="4036" xr:uid="{00000000-0005-0000-0000-0000C90D0000}"/>
    <cellStyle name="Heading 1 2 5" xfId="6361" xr:uid="{00000000-0005-0000-0000-0000CA0D0000}"/>
    <cellStyle name="Heading 1 3" xfId="3312" xr:uid="{00000000-0005-0000-0000-0000CB0D0000}"/>
    <cellStyle name="Heading 1 3 2" xfId="4943" xr:uid="{00000000-0005-0000-0000-0000CC0D0000}"/>
    <cellStyle name="Heading 1 3 3" xfId="8347" xr:uid="{00000000-0005-0000-0000-0000CD0D0000}"/>
    <cellStyle name="Heading 1 4" xfId="3313" xr:uid="{00000000-0005-0000-0000-0000CE0D0000}"/>
    <cellStyle name="Heading 1 4 2" xfId="4944" xr:uid="{00000000-0005-0000-0000-0000CF0D0000}"/>
    <cellStyle name="Heading 1 4 3" xfId="8348" xr:uid="{00000000-0005-0000-0000-0000D00D0000}"/>
    <cellStyle name="Heading 1 5" xfId="3314" xr:uid="{00000000-0005-0000-0000-0000D10D0000}"/>
    <cellStyle name="Heading 1 5 2" xfId="4945" xr:uid="{00000000-0005-0000-0000-0000D20D0000}"/>
    <cellStyle name="Heading 1 5 3" xfId="8349" xr:uid="{00000000-0005-0000-0000-0000D30D0000}"/>
    <cellStyle name="Heading 1 6" xfId="3310" xr:uid="{00000000-0005-0000-0000-0000D40D0000}"/>
    <cellStyle name="Heading 1 6 2" xfId="4941" xr:uid="{00000000-0005-0000-0000-0000D50D0000}"/>
    <cellStyle name="Heading 1 6 3" xfId="8345" xr:uid="{00000000-0005-0000-0000-0000D60D0000}"/>
    <cellStyle name="Heading 1 7" xfId="4035" xr:uid="{00000000-0005-0000-0000-0000D70D0000}"/>
    <cellStyle name="Heading 2" xfId="418" xr:uid="{00000000-0005-0000-0000-0000D80D0000}"/>
    <cellStyle name="Heading 2 2" xfId="1082" xr:uid="{00000000-0005-0000-0000-0000D90D0000}"/>
    <cellStyle name="Heading 2 2 2" xfId="3571" xr:uid="{00000000-0005-0000-0000-0000DA0D0000}"/>
    <cellStyle name="Heading 2 2 2 2" xfId="5183" xr:uid="{00000000-0005-0000-0000-0000DB0D0000}"/>
    <cellStyle name="Heading 2 2 2 3" xfId="8555" xr:uid="{00000000-0005-0000-0000-0000DC0D0000}"/>
    <cellStyle name="Heading 2 2 3" xfId="3316" xr:uid="{00000000-0005-0000-0000-0000DD0D0000}"/>
    <cellStyle name="Heading 2 2 3 2" xfId="4947" xr:uid="{00000000-0005-0000-0000-0000DE0D0000}"/>
    <cellStyle name="Heading 2 2 3 3" xfId="8351" xr:uid="{00000000-0005-0000-0000-0000DF0D0000}"/>
    <cellStyle name="Heading 2 2 4" xfId="4038" xr:uid="{00000000-0005-0000-0000-0000E00D0000}"/>
    <cellStyle name="Heading 2 2 5" xfId="6362" xr:uid="{00000000-0005-0000-0000-0000E10D0000}"/>
    <cellStyle name="Heading 2 3" xfId="3317" xr:uid="{00000000-0005-0000-0000-0000E20D0000}"/>
    <cellStyle name="Heading 2 3 2" xfId="4948" xr:uid="{00000000-0005-0000-0000-0000E30D0000}"/>
    <cellStyle name="Heading 2 3 3" xfId="8352" xr:uid="{00000000-0005-0000-0000-0000E40D0000}"/>
    <cellStyle name="Heading 2 4" xfId="3318" xr:uid="{00000000-0005-0000-0000-0000E50D0000}"/>
    <cellStyle name="Heading 2 4 2" xfId="4949" xr:uid="{00000000-0005-0000-0000-0000E60D0000}"/>
    <cellStyle name="Heading 2 4 3" xfId="8353" xr:uid="{00000000-0005-0000-0000-0000E70D0000}"/>
    <cellStyle name="Heading 2 5" xfId="3319" xr:uid="{00000000-0005-0000-0000-0000E80D0000}"/>
    <cellStyle name="Heading 2 5 2" xfId="4950" xr:uid="{00000000-0005-0000-0000-0000E90D0000}"/>
    <cellStyle name="Heading 2 5 3" xfId="8354" xr:uid="{00000000-0005-0000-0000-0000EA0D0000}"/>
    <cellStyle name="Heading 2 6" xfId="3315" xr:uid="{00000000-0005-0000-0000-0000EB0D0000}"/>
    <cellStyle name="Heading 2 6 2" xfId="4946" xr:uid="{00000000-0005-0000-0000-0000EC0D0000}"/>
    <cellStyle name="Heading 2 6 3" xfId="8350" xr:uid="{00000000-0005-0000-0000-0000ED0D0000}"/>
    <cellStyle name="Heading 2 7" xfId="4037" xr:uid="{00000000-0005-0000-0000-0000EE0D0000}"/>
    <cellStyle name="Heading 2 8" xfId="2579" xr:uid="{00000000-0005-0000-0000-0000EF0D0000}"/>
    <cellStyle name="Heading 3" xfId="419" xr:uid="{00000000-0005-0000-0000-0000F00D0000}"/>
    <cellStyle name="Heading 3 2" xfId="1083" xr:uid="{00000000-0005-0000-0000-0000F10D0000}"/>
    <cellStyle name="Heading 3 2 2" xfId="3572" xr:uid="{00000000-0005-0000-0000-0000F20D0000}"/>
    <cellStyle name="Heading 3 2 2 2" xfId="5184" xr:uid="{00000000-0005-0000-0000-0000F30D0000}"/>
    <cellStyle name="Heading 3 2 2 3" xfId="8556" xr:uid="{00000000-0005-0000-0000-0000F40D0000}"/>
    <cellStyle name="Heading 3 2 3" xfId="3321" xr:uid="{00000000-0005-0000-0000-0000F50D0000}"/>
    <cellStyle name="Heading 3 2 3 2" xfId="4952" xr:uid="{00000000-0005-0000-0000-0000F60D0000}"/>
    <cellStyle name="Heading 3 2 3 3" xfId="8356" xr:uid="{00000000-0005-0000-0000-0000F70D0000}"/>
    <cellStyle name="Heading 3 2 4" xfId="4040" xr:uid="{00000000-0005-0000-0000-0000F80D0000}"/>
    <cellStyle name="Heading 3 2 5" xfId="6363" xr:uid="{00000000-0005-0000-0000-0000F90D0000}"/>
    <cellStyle name="Heading 3 3" xfId="3322" xr:uid="{00000000-0005-0000-0000-0000FA0D0000}"/>
    <cellStyle name="Heading 3 3 2" xfId="4953" xr:uid="{00000000-0005-0000-0000-0000FB0D0000}"/>
    <cellStyle name="Heading 3 3 3" xfId="8357" xr:uid="{00000000-0005-0000-0000-0000FC0D0000}"/>
    <cellStyle name="Heading 3 4" xfId="3323" xr:uid="{00000000-0005-0000-0000-0000FD0D0000}"/>
    <cellStyle name="Heading 3 4 2" xfId="4954" xr:uid="{00000000-0005-0000-0000-0000FE0D0000}"/>
    <cellStyle name="Heading 3 4 3" xfId="8358" xr:uid="{00000000-0005-0000-0000-0000FF0D0000}"/>
    <cellStyle name="Heading 3 5" xfId="3324" xr:uid="{00000000-0005-0000-0000-0000000E0000}"/>
    <cellStyle name="Heading 3 5 2" xfId="4955" xr:uid="{00000000-0005-0000-0000-0000010E0000}"/>
    <cellStyle name="Heading 3 5 3" xfId="8359" xr:uid="{00000000-0005-0000-0000-0000020E0000}"/>
    <cellStyle name="Heading 3 6" xfId="3320" xr:uid="{00000000-0005-0000-0000-0000030E0000}"/>
    <cellStyle name="Heading 3 6 2" xfId="4951" xr:uid="{00000000-0005-0000-0000-0000040E0000}"/>
    <cellStyle name="Heading 3 6 3" xfId="8355" xr:uid="{00000000-0005-0000-0000-0000050E0000}"/>
    <cellStyle name="Heading 3 7" xfId="4039" xr:uid="{00000000-0005-0000-0000-0000060E0000}"/>
    <cellStyle name="Heading 3 8" xfId="2578" xr:uid="{00000000-0005-0000-0000-0000070E0000}"/>
    <cellStyle name="Heading 4" xfId="420" xr:uid="{00000000-0005-0000-0000-0000080E0000}"/>
    <cellStyle name="Heading 4 2" xfId="1084" xr:uid="{00000000-0005-0000-0000-0000090E0000}"/>
    <cellStyle name="Heading 4 2 2" xfId="3573" xr:uid="{00000000-0005-0000-0000-00000A0E0000}"/>
    <cellStyle name="Heading 4 2 2 2" xfId="5185" xr:uid="{00000000-0005-0000-0000-00000B0E0000}"/>
    <cellStyle name="Heading 4 2 2 3" xfId="8557" xr:uid="{00000000-0005-0000-0000-00000C0E0000}"/>
    <cellStyle name="Heading 4 2 3" xfId="3326" xr:uid="{00000000-0005-0000-0000-00000D0E0000}"/>
    <cellStyle name="Heading 4 2 3 2" xfId="4957" xr:uid="{00000000-0005-0000-0000-00000E0E0000}"/>
    <cellStyle name="Heading 4 2 3 3" xfId="8361" xr:uid="{00000000-0005-0000-0000-00000F0E0000}"/>
    <cellStyle name="Heading 4 2 4" xfId="4042" xr:uid="{00000000-0005-0000-0000-0000100E0000}"/>
    <cellStyle name="Heading 4 2 5" xfId="6364" xr:uid="{00000000-0005-0000-0000-0000110E0000}"/>
    <cellStyle name="Heading 4 3" xfId="3327" xr:uid="{00000000-0005-0000-0000-0000120E0000}"/>
    <cellStyle name="Heading 4 3 2" xfId="4958" xr:uid="{00000000-0005-0000-0000-0000130E0000}"/>
    <cellStyle name="Heading 4 3 3" xfId="8362" xr:uid="{00000000-0005-0000-0000-0000140E0000}"/>
    <cellStyle name="Heading 4 4" xfId="3328" xr:uid="{00000000-0005-0000-0000-0000150E0000}"/>
    <cellStyle name="Heading 4 4 2" xfId="4959" xr:uid="{00000000-0005-0000-0000-0000160E0000}"/>
    <cellStyle name="Heading 4 4 3" xfId="8363" xr:uid="{00000000-0005-0000-0000-0000170E0000}"/>
    <cellStyle name="Heading 4 5" xfId="3329" xr:uid="{00000000-0005-0000-0000-0000180E0000}"/>
    <cellStyle name="Heading 4 5 2" xfId="4960" xr:uid="{00000000-0005-0000-0000-0000190E0000}"/>
    <cellStyle name="Heading 4 5 3" xfId="8364" xr:uid="{00000000-0005-0000-0000-00001A0E0000}"/>
    <cellStyle name="Heading 4 6" xfId="3325" xr:uid="{00000000-0005-0000-0000-00001B0E0000}"/>
    <cellStyle name="Heading 4 6 2" xfId="4956" xr:uid="{00000000-0005-0000-0000-00001C0E0000}"/>
    <cellStyle name="Heading 4 6 3" xfId="8360" xr:uid="{00000000-0005-0000-0000-00001D0E0000}"/>
    <cellStyle name="Heading 4 7" xfId="4041" xr:uid="{00000000-0005-0000-0000-00001E0E0000}"/>
    <cellStyle name="Heading 4 8" xfId="2577" xr:uid="{00000000-0005-0000-0000-00001F0E0000}"/>
    <cellStyle name="Heading 5" xfId="8872" xr:uid="{00000000-0005-0000-0000-0000200E0000}"/>
    <cellStyle name="HEADING1" xfId="421" xr:uid="{00000000-0005-0000-0000-0000210E0000}"/>
    <cellStyle name="Heading1 2" xfId="8870" xr:uid="{00000000-0005-0000-0000-0000220E0000}"/>
    <cellStyle name="Heading1 3" xfId="2665" xr:uid="{00000000-0005-0000-0000-0000230E0000}"/>
    <cellStyle name="HEADING2" xfId="422" xr:uid="{00000000-0005-0000-0000-0000240E0000}"/>
    <cellStyle name="Hiperligação" xfId="423" builtinId="8"/>
    <cellStyle name="Hiperligação 2" xfId="424" xr:uid="{00000000-0005-0000-0000-0000260E0000}"/>
    <cellStyle name="Hiperligação 2 2" xfId="425" xr:uid="{00000000-0005-0000-0000-0000270E0000}"/>
    <cellStyle name="Hiperligação 2 2 2" xfId="4043" xr:uid="{00000000-0005-0000-0000-0000280E0000}"/>
    <cellStyle name="Hiperligação 2 3" xfId="7851" xr:uid="{00000000-0005-0000-0000-0000290E0000}"/>
    <cellStyle name="Hiperligação 2 4" xfId="2639" xr:uid="{00000000-0005-0000-0000-00002A0E0000}"/>
    <cellStyle name="Hiperligação 3" xfId="426" xr:uid="{00000000-0005-0000-0000-00002B0E0000}"/>
    <cellStyle name="Hiperligação 4" xfId="427" xr:uid="{00000000-0005-0000-0000-00002C0E0000}"/>
    <cellStyle name="Hyperlink 2" xfId="428" xr:uid="{00000000-0005-0000-0000-00002D0E0000}"/>
    <cellStyle name="Incorrecto 2" xfId="429" xr:uid="{00000000-0005-0000-0000-00002E0E0000}"/>
    <cellStyle name="Incorrecto 2 2" xfId="6285" xr:uid="{00000000-0005-0000-0000-00002F0E0000}"/>
    <cellStyle name="Incorrecto 3" xfId="430" xr:uid="{00000000-0005-0000-0000-0000300E0000}"/>
    <cellStyle name="Incorrecto 3 2" xfId="1003" xr:uid="{00000000-0005-0000-0000-0000310E0000}"/>
    <cellStyle name="Incorrecto 4" xfId="431" xr:uid="{00000000-0005-0000-0000-0000320E0000}"/>
    <cellStyle name="Input" xfId="432" xr:uid="{00000000-0005-0000-0000-0000330E0000}"/>
    <cellStyle name="Input 1" xfId="433" xr:uid="{00000000-0005-0000-0000-0000340E0000}"/>
    <cellStyle name="Input 10" xfId="4044" xr:uid="{00000000-0005-0000-0000-0000350E0000}"/>
    <cellStyle name="Input 11" xfId="2116" xr:uid="{00000000-0005-0000-0000-0000360E0000}"/>
    <cellStyle name="Input 2" xfId="434" xr:uid="{00000000-0005-0000-0000-0000370E0000}"/>
    <cellStyle name="Input 2 2" xfId="3332" xr:uid="{00000000-0005-0000-0000-0000380E0000}"/>
    <cellStyle name="Input 2 2 2" xfId="4963" xr:uid="{00000000-0005-0000-0000-0000390E0000}"/>
    <cellStyle name="Input 2 2 3" xfId="8367" xr:uid="{00000000-0005-0000-0000-00003A0E0000}"/>
    <cellStyle name="Input 2 3" xfId="3333" xr:uid="{00000000-0005-0000-0000-00003B0E0000}"/>
    <cellStyle name="Input 2 3 2" xfId="4964" xr:uid="{00000000-0005-0000-0000-00003C0E0000}"/>
    <cellStyle name="Input 2 3 3" xfId="8368" xr:uid="{00000000-0005-0000-0000-00003D0E0000}"/>
    <cellStyle name="Input 2 4" xfId="3334" xr:uid="{00000000-0005-0000-0000-00003E0E0000}"/>
    <cellStyle name="Input 2 4 2" xfId="4965" xr:uid="{00000000-0005-0000-0000-00003F0E0000}"/>
    <cellStyle name="Input 2 4 3" xfId="8369" xr:uid="{00000000-0005-0000-0000-0000400E0000}"/>
    <cellStyle name="Input 2 5" xfId="3577" xr:uid="{00000000-0005-0000-0000-0000410E0000}"/>
    <cellStyle name="Input 2 5 2" xfId="5189" xr:uid="{00000000-0005-0000-0000-0000420E0000}"/>
    <cellStyle name="Input 2 5 3" xfId="8561" xr:uid="{00000000-0005-0000-0000-0000430E0000}"/>
    <cellStyle name="Input 2 6" xfId="3331" xr:uid="{00000000-0005-0000-0000-0000440E0000}"/>
    <cellStyle name="Input 2 6 2" xfId="4962" xr:uid="{00000000-0005-0000-0000-0000450E0000}"/>
    <cellStyle name="Input 2 6 3" xfId="8366" xr:uid="{00000000-0005-0000-0000-0000460E0000}"/>
    <cellStyle name="Input 2 7" xfId="4045" xr:uid="{00000000-0005-0000-0000-0000470E0000}"/>
    <cellStyle name="Input 2 8" xfId="6365" xr:uid="{00000000-0005-0000-0000-0000480E0000}"/>
    <cellStyle name="Input 2 9" xfId="1085" xr:uid="{00000000-0005-0000-0000-0000490E0000}"/>
    <cellStyle name="Input 3" xfId="3335" xr:uid="{00000000-0005-0000-0000-00004A0E0000}"/>
    <cellStyle name="Input 3 2" xfId="3336" xr:uid="{00000000-0005-0000-0000-00004B0E0000}"/>
    <cellStyle name="Input 3 2 2" xfId="4967" xr:uid="{00000000-0005-0000-0000-00004C0E0000}"/>
    <cellStyle name="Input 3 2 3" xfId="8371" xr:uid="{00000000-0005-0000-0000-00004D0E0000}"/>
    <cellStyle name="Input 3 3" xfId="3337" xr:uid="{00000000-0005-0000-0000-00004E0E0000}"/>
    <cellStyle name="Input 3 3 2" xfId="4968" xr:uid="{00000000-0005-0000-0000-00004F0E0000}"/>
    <cellStyle name="Input 3 3 3" xfId="8372" xr:uid="{00000000-0005-0000-0000-0000500E0000}"/>
    <cellStyle name="Input 3 4" xfId="3338" xr:uid="{00000000-0005-0000-0000-0000510E0000}"/>
    <cellStyle name="Input 3 4 2" xfId="4969" xr:uid="{00000000-0005-0000-0000-0000520E0000}"/>
    <cellStyle name="Input 3 4 3" xfId="8373" xr:uid="{00000000-0005-0000-0000-0000530E0000}"/>
    <cellStyle name="Input 3 5" xfId="4966" xr:uid="{00000000-0005-0000-0000-0000540E0000}"/>
    <cellStyle name="Input 3 6" xfId="8370" xr:uid="{00000000-0005-0000-0000-0000550E0000}"/>
    <cellStyle name="Input 4" xfId="3339" xr:uid="{00000000-0005-0000-0000-0000560E0000}"/>
    <cellStyle name="Input 4 2" xfId="3340" xr:uid="{00000000-0005-0000-0000-0000570E0000}"/>
    <cellStyle name="Input 4 2 2" xfId="4971" xr:uid="{00000000-0005-0000-0000-0000580E0000}"/>
    <cellStyle name="Input 4 2 3" xfId="8375" xr:uid="{00000000-0005-0000-0000-0000590E0000}"/>
    <cellStyle name="Input 4 3" xfId="3341" xr:uid="{00000000-0005-0000-0000-00005A0E0000}"/>
    <cellStyle name="Input 4 3 2" xfId="4972" xr:uid="{00000000-0005-0000-0000-00005B0E0000}"/>
    <cellStyle name="Input 4 3 3" xfId="8376" xr:uid="{00000000-0005-0000-0000-00005C0E0000}"/>
    <cellStyle name="Input 4 4" xfId="3342" xr:uid="{00000000-0005-0000-0000-00005D0E0000}"/>
    <cellStyle name="Input 4 4 2" xfId="4973" xr:uid="{00000000-0005-0000-0000-00005E0E0000}"/>
    <cellStyle name="Input 4 4 3" xfId="8377" xr:uid="{00000000-0005-0000-0000-00005F0E0000}"/>
    <cellStyle name="Input 4 5" xfId="4970" xr:uid="{00000000-0005-0000-0000-0000600E0000}"/>
    <cellStyle name="Input 4 6" xfId="8374" xr:uid="{00000000-0005-0000-0000-0000610E0000}"/>
    <cellStyle name="Input 5" xfId="3343" xr:uid="{00000000-0005-0000-0000-0000620E0000}"/>
    <cellStyle name="Input 5 2" xfId="3344" xr:uid="{00000000-0005-0000-0000-0000630E0000}"/>
    <cellStyle name="Input 5 2 2" xfId="4975" xr:uid="{00000000-0005-0000-0000-0000640E0000}"/>
    <cellStyle name="Input 5 2 3" xfId="8379" xr:uid="{00000000-0005-0000-0000-0000650E0000}"/>
    <cellStyle name="Input 5 3" xfId="3345" xr:uid="{00000000-0005-0000-0000-0000660E0000}"/>
    <cellStyle name="Input 5 3 2" xfId="4976" xr:uid="{00000000-0005-0000-0000-0000670E0000}"/>
    <cellStyle name="Input 5 3 3" xfId="8380" xr:uid="{00000000-0005-0000-0000-0000680E0000}"/>
    <cellStyle name="Input 5 4" xfId="3346" xr:uid="{00000000-0005-0000-0000-0000690E0000}"/>
    <cellStyle name="Input 5 4 2" xfId="4977" xr:uid="{00000000-0005-0000-0000-00006A0E0000}"/>
    <cellStyle name="Input 5 4 3" xfId="8381" xr:uid="{00000000-0005-0000-0000-00006B0E0000}"/>
    <cellStyle name="Input 5 5" xfId="4974" xr:uid="{00000000-0005-0000-0000-00006C0E0000}"/>
    <cellStyle name="Input 5 6" xfId="8378" xr:uid="{00000000-0005-0000-0000-00006D0E0000}"/>
    <cellStyle name="Input 6" xfId="3347" xr:uid="{00000000-0005-0000-0000-00006E0E0000}"/>
    <cellStyle name="Input 6 2" xfId="4978" xr:uid="{00000000-0005-0000-0000-00006F0E0000}"/>
    <cellStyle name="Input 6 3" xfId="8382" xr:uid="{00000000-0005-0000-0000-0000700E0000}"/>
    <cellStyle name="Input 7" xfId="3348" xr:uid="{00000000-0005-0000-0000-0000710E0000}"/>
    <cellStyle name="Input 7 2" xfId="4979" xr:uid="{00000000-0005-0000-0000-0000720E0000}"/>
    <cellStyle name="Input 7 3" xfId="8383" xr:uid="{00000000-0005-0000-0000-0000730E0000}"/>
    <cellStyle name="Input 8" xfId="3349" xr:uid="{00000000-0005-0000-0000-0000740E0000}"/>
    <cellStyle name="Input 8 2" xfId="4980" xr:uid="{00000000-0005-0000-0000-0000750E0000}"/>
    <cellStyle name="Input 8 3" xfId="8384" xr:uid="{00000000-0005-0000-0000-0000760E0000}"/>
    <cellStyle name="Input 9" xfId="3330" xr:uid="{00000000-0005-0000-0000-0000770E0000}"/>
    <cellStyle name="Input 9 2" xfId="4961" xr:uid="{00000000-0005-0000-0000-0000780E0000}"/>
    <cellStyle name="Input 9 3" xfId="8365" xr:uid="{00000000-0005-0000-0000-0000790E0000}"/>
    <cellStyle name="Input Date" xfId="435" xr:uid="{00000000-0005-0000-0000-00007A0E0000}"/>
    <cellStyle name="Input Normal" xfId="436" xr:uid="{00000000-0005-0000-0000-00007B0E0000}"/>
    <cellStyle name="Input Percent" xfId="437" xr:uid="{00000000-0005-0000-0000-00007C0E0000}"/>
    <cellStyle name="Input Percent [2]" xfId="438" xr:uid="{00000000-0005-0000-0000-00007D0E0000}"/>
    <cellStyle name="Linked Cell" xfId="439" xr:uid="{00000000-0005-0000-0000-00007E0E0000}"/>
    <cellStyle name="Linked Cell 2" xfId="1086" xr:uid="{00000000-0005-0000-0000-00007F0E0000}"/>
    <cellStyle name="Linked Cell 2 2" xfId="3580" xr:uid="{00000000-0005-0000-0000-0000800E0000}"/>
    <cellStyle name="Linked Cell 2 2 2" xfId="5192" xr:uid="{00000000-0005-0000-0000-0000810E0000}"/>
    <cellStyle name="Linked Cell 2 2 3" xfId="8564" xr:uid="{00000000-0005-0000-0000-0000820E0000}"/>
    <cellStyle name="Linked Cell 2 3" xfId="3351" xr:uid="{00000000-0005-0000-0000-0000830E0000}"/>
    <cellStyle name="Linked Cell 2 3 2" xfId="4982" xr:uid="{00000000-0005-0000-0000-0000840E0000}"/>
    <cellStyle name="Linked Cell 2 3 3" xfId="8386" xr:uid="{00000000-0005-0000-0000-0000850E0000}"/>
    <cellStyle name="Linked Cell 2 4" xfId="4047" xr:uid="{00000000-0005-0000-0000-0000860E0000}"/>
    <cellStyle name="Linked Cell 2 5" xfId="6366" xr:uid="{00000000-0005-0000-0000-0000870E0000}"/>
    <cellStyle name="Linked Cell 3" xfId="3352" xr:uid="{00000000-0005-0000-0000-0000880E0000}"/>
    <cellStyle name="Linked Cell 3 2" xfId="4983" xr:uid="{00000000-0005-0000-0000-0000890E0000}"/>
    <cellStyle name="Linked Cell 3 3" xfId="8387" xr:uid="{00000000-0005-0000-0000-00008A0E0000}"/>
    <cellStyle name="Linked Cell 4" xfId="3353" xr:uid="{00000000-0005-0000-0000-00008B0E0000}"/>
    <cellStyle name="Linked Cell 4 2" xfId="4984" xr:uid="{00000000-0005-0000-0000-00008C0E0000}"/>
    <cellStyle name="Linked Cell 4 3" xfId="8388" xr:uid="{00000000-0005-0000-0000-00008D0E0000}"/>
    <cellStyle name="Linked Cell 5" xfId="3354" xr:uid="{00000000-0005-0000-0000-00008E0E0000}"/>
    <cellStyle name="Linked Cell 5 2" xfId="4985" xr:uid="{00000000-0005-0000-0000-00008F0E0000}"/>
    <cellStyle name="Linked Cell 5 3" xfId="8389" xr:uid="{00000000-0005-0000-0000-0000900E0000}"/>
    <cellStyle name="Linked Cell 6" xfId="3350" xr:uid="{00000000-0005-0000-0000-0000910E0000}"/>
    <cellStyle name="Linked Cell 6 2" xfId="4981" xr:uid="{00000000-0005-0000-0000-0000920E0000}"/>
    <cellStyle name="Linked Cell 6 3" xfId="8385" xr:uid="{00000000-0005-0000-0000-0000930E0000}"/>
    <cellStyle name="Linked Cell 7" xfId="4046" xr:uid="{00000000-0005-0000-0000-0000940E0000}"/>
    <cellStyle name="Linked Cell 8" xfId="2493" xr:uid="{00000000-0005-0000-0000-0000950E0000}"/>
    <cellStyle name="Locked Cell - PerformancePoint" xfId="8780" xr:uid="{00000000-0005-0000-0000-0000960E0000}"/>
    <cellStyle name="Millares_CALDERA.XLC" xfId="440" xr:uid="{00000000-0005-0000-0000-0000970E0000}"/>
    <cellStyle name="Milliers [0]_CONV" xfId="8781" xr:uid="{00000000-0005-0000-0000-0000980E0000}"/>
    <cellStyle name="Milliers_CONV" xfId="8782" xr:uid="{00000000-0005-0000-0000-0000990E0000}"/>
    <cellStyle name="Moeda 10" xfId="3822" xr:uid="{00000000-0005-0000-0000-00009A0E0000}"/>
    <cellStyle name="Moeda 10 2" xfId="8733" xr:uid="{00000000-0005-0000-0000-00009B0E0000}"/>
    <cellStyle name="Moeda 10 2 2" xfId="8957" xr:uid="{00000000-0005-0000-0000-00009C0E0000}"/>
    <cellStyle name="Moeda 10 2 2 2" xfId="9121" xr:uid="{00000000-0005-0000-0000-00009D0E0000}"/>
    <cellStyle name="Moeda 10 2 2 2 2" xfId="9494" xr:uid="{4DBE9825-C259-4686-A39D-D7CEC502FBCF}"/>
    <cellStyle name="Moeda 10 2 2 2 3" xfId="9830" xr:uid="{5E70C963-D787-4C35-90BB-E4BABD71A16F}"/>
    <cellStyle name="Moeda 10 2 2 3" xfId="9340" xr:uid="{04147F13-E44A-4DFC-B99E-5BAAF4FE2162}"/>
    <cellStyle name="Moeda 10 2 2 4" xfId="9676" xr:uid="{18505A0C-ED1D-4BF7-B6F8-69731B83856E}"/>
    <cellStyle name="Moeda 10 2 3" xfId="9044" xr:uid="{00000000-0005-0000-0000-00009E0E0000}"/>
    <cellStyle name="Moeda 10 2 3 2" xfId="9417" xr:uid="{9DA3C718-4F18-4075-8F3F-1D9E9CBCE369}"/>
    <cellStyle name="Moeda 10 2 3 3" xfId="9753" xr:uid="{B7728980-BDE3-4A65-85A1-43AFA957A3DB}"/>
    <cellStyle name="Moeda 10 2 4" xfId="9262" xr:uid="{9BC9289B-5BA6-46D2-8591-11A5512692BB}"/>
    <cellStyle name="Moeda 10 2 5" xfId="9598" xr:uid="{24725A42-5646-42DB-93C6-270150F87B6B}"/>
    <cellStyle name="Moeda 10 3" xfId="8931" xr:uid="{00000000-0005-0000-0000-00009F0E0000}"/>
    <cellStyle name="Moeda 10 3 2" xfId="9095" xr:uid="{00000000-0005-0000-0000-0000A00E0000}"/>
    <cellStyle name="Moeda 10 3 2 2" xfId="9468" xr:uid="{E402856D-E214-4173-991E-44089BECFF2F}"/>
    <cellStyle name="Moeda 10 3 2 3" xfId="9804" xr:uid="{E7C7D345-38CB-450D-B378-5DB452D484B5}"/>
    <cellStyle name="Moeda 10 3 3" xfId="9314" xr:uid="{B076EB90-6D4F-463A-BC94-181B81247505}"/>
    <cellStyle name="Moeda 10 3 4" xfId="9650" xr:uid="{23427D4F-10E8-4485-A2BF-FFF6D611D71F}"/>
    <cellStyle name="Moeda 10 4" xfId="9018" xr:uid="{00000000-0005-0000-0000-0000A10E0000}"/>
    <cellStyle name="Moeda 10 4 2" xfId="9391" xr:uid="{C3FDCF00-CA93-442F-88C5-F2C5D4E627DA}"/>
    <cellStyle name="Moeda 10 4 3" xfId="9727" xr:uid="{63CD8045-251C-4100-824A-EDC0D091430C}"/>
    <cellStyle name="Moeda 10 5" xfId="9236" xr:uid="{ADB3D283-7010-4CCA-9D3D-BCE28BF494C9}"/>
    <cellStyle name="Moeda 10 6" xfId="9572" xr:uid="{BF8C641B-E6FA-4CAC-8646-79B57057248A}"/>
    <cellStyle name="Moeda 11" xfId="8880" xr:uid="{00000000-0005-0000-0000-0000A20E0000}"/>
    <cellStyle name="Moeda 11 2" xfId="8964" xr:uid="{00000000-0005-0000-0000-0000A30E0000}"/>
    <cellStyle name="Moeda 11 2 2" xfId="9127" xr:uid="{00000000-0005-0000-0000-0000A40E0000}"/>
    <cellStyle name="Moeda 11 2 2 2" xfId="9500" xr:uid="{90BC6E02-B07E-4699-BBA0-A3A71186F3B4}"/>
    <cellStyle name="Moeda 11 2 2 3" xfId="9836" xr:uid="{E08E6E90-FD7E-4004-9D94-9CDC6515F8D1}"/>
    <cellStyle name="Moeda 11 2 3" xfId="9346" xr:uid="{76D945F3-B383-4124-9F5E-43C3E5BE92EA}"/>
    <cellStyle name="Moeda 11 2 4" xfId="9682" xr:uid="{383DBCEE-9A7E-484D-89CC-AC2B6722F260}"/>
    <cellStyle name="Moeda 11 3" xfId="9049" xr:uid="{00000000-0005-0000-0000-0000A50E0000}"/>
    <cellStyle name="Moeda 11 3 2" xfId="9422" xr:uid="{841C7277-A70B-411F-829C-9B8419E26968}"/>
    <cellStyle name="Moeda 11 3 3" xfId="9758" xr:uid="{0DECCF1B-D978-4586-86B8-2C2DB8BF43F6}"/>
    <cellStyle name="Moeda 11 4" xfId="9268" xr:uid="{EFD8F6BA-6011-46C4-AEFF-8E89DCECD9C2}"/>
    <cellStyle name="Moeda 11 5" xfId="9604" xr:uid="{E4477231-6AD5-40FE-8F5D-E08846D2F4EE}"/>
    <cellStyle name="Moeda 12" xfId="9139" xr:uid="{00000000-0005-0000-0000-0000A60E0000}"/>
    <cellStyle name="Moeda 12 2" xfId="9503" xr:uid="{D66FBD58-282E-4C16-ADD7-C52A4B04871F}"/>
    <cellStyle name="Moeda 12 3" xfId="9839" xr:uid="{8A31B8B0-81DC-4DF3-A057-71E8D15ACACF}"/>
    <cellStyle name="Moeda 13" xfId="9150" xr:uid="{00000000-0005-0000-0000-0000A70E0000}"/>
    <cellStyle name="Moeda 13 2" xfId="9504" xr:uid="{E2F15DB6-58DA-475A-85A2-3FC7C1252A4E}"/>
    <cellStyle name="Moeda 13 3" xfId="9840" xr:uid="{4B533E15-3C37-4E31-BEDB-1F64813E8879}"/>
    <cellStyle name="Moeda 14" xfId="9163" xr:uid="{00000000-0005-0000-0000-0000A80E0000}"/>
    <cellStyle name="Moeda 14 2" xfId="9505" xr:uid="{EADDFFBB-F222-4053-8DFF-8B47BBC37A80}"/>
    <cellStyle name="Moeda 14 3" xfId="9841" xr:uid="{DC6CD69A-83EE-415E-8475-188D72B09574}"/>
    <cellStyle name="Moeda 2" xfId="441" xr:uid="{00000000-0005-0000-0000-0000A90E0000}"/>
    <cellStyle name="Moeda 2 2" xfId="442" xr:uid="{00000000-0005-0000-0000-0000AA0E0000}"/>
    <cellStyle name="Moeda 2 2 2" xfId="443" xr:uid="{00000000-0005-0000-0000-0000AB0E0000}"/>
    <cellStyle name="Moeda 2 2 2 10" xfId="9178" xr:uid="{A3986014-947F-4C10-BF90-81293FA2C789}"/>
    <cellStyle name="Moeda 2 2 2 11" xfId="9514" xr:uid="{60E0A67F-050B-4E7A-887B-39014EDD14FC}"/>
    <cellStyle name="Moeda 2 2 2 2" xfId="2968" xr:uid="{00000000-0005-0000-0000-0000AC0E0000}"/>
    <cellStyle name="Moeda 2 2 2 2 2" xfId="8024" xr:uid="{00000000-0005-0000-0000-0000AD0E0000}"/>
    <cellStyle name="Moeda 2 2 2 2 2 2" xfId="8943" xr:uid="{00000000-0005-0000-0000-0000AE0E0000}"/>
    <cellStyle name="Moeda 2 2 2 2 2 2 2" xfId="9107" xr:uid="{00000000-0005-0000-0000-0000AF0E0000}"/>
    <cellStyle name="Moeda 2 2 2 2 2 2 2 2" xfId="9480" xr:uid="{14E758A5-461B-4FCF-A5F6-0F68D1AACADF}"/>
    <cellStyle name="Moeda 2 2 2 2 2 2 2 3" xfId="9816" xr:uid="{C15E817B-8A05-4202-B1C9-78CDB37847E1}"/>
    <cellStyle name="Moeda 2 2 2 2 2 2 3" xfId="9326" xr:uid="{43AD5BE2-C6DC-4A68-9973-B24CEC02407D}"/>
    <cellStyle name="Moeda 2 2 2 2 2 2 4" xfId="9662" xr:uid="{4A6003CD-A8CF-4F9F-AA74-BEB8FDEE1F03}"/>
    <cellStyle name="Moeda 2 2 2 2 2 3" xfId="9030" xr:uid="{00000000-0005-0000-0000-0000B00E0000}"/>
    <cellStyle name="Moeda 2 2 2 2 2 3 2" xfId="9403" xr:uid="{88E3BD78-2023-4AE5-8BF6-676448B61131}"/>
    <cellStyle name="Moeda 2 2 2 2 2 3 3" xfId="9739" xr:uid="{75058079-9FF9-4E0E-92E8-2A5F3636B35F}"/>
    <cellStyle name="Moeda 2 2 2 2 2 4" xfId="9248" xr:uid="{4EC8216E-85F2-4E08-BF78-CD6B2D6AC3A7}"/>
    <cellStyle name="Moeda 2 2 2 2 2 5" xfId="9584" xr:uid="{EDBEF766-0059-4699-8A4C-1AB3B8CA82C1}"/>
    <cellStyle name="Moeda 2 2 2 2 3" xfId="8912" xr:uid="{00000000-0005-0000-0000-0000B10E0000}"/>
    <cellStyle name="Moeda 2 2 2 2 3 2" xfId="9076" xr:uid="{00000000-0005-0000-0000-0000B20E0000}"/>
    <cellStyle name="Moeda 2 2 2 2 3 2 2" xfId="9449" xr:uid="{321A6FB5-6E74-4CCF-955E-57A900918099}"/>
    <cellStyle name="Moeda 2 2 2 2 3 2 3" xfId="9785" xr:uid="{2C4EDBD5-9D3C-44C3-BD82-57627D0A5715}"/>
    <cellStyle name="Moeda 2 2 2 2 3 3" xfId="9295" xr:uid="{D1F036AD-0F8A-469B-BDE2-BCC2CB75A3B0}"/>
    <cellStyle name="Moeda 2 2 2 2 3 4" xfId="9631" xr:uid="{055DBFD6-8FBF-45EF-AC5E-9E5F746D19A9}"/>
    <cellStyle name="Moeda 2 2 2 2 4" xfId="9001" xr:uid="{00000000-0005-0000-0000-0000B30E0000}"/>
    <cellStyle name="Moeda 2 2 2 2 4 2" xfId="9374" xr:uid="{D1775836-DCB6-4766-ADA8-E8925DF36DC1}"/>
    <cellStyle name="Moeda 2 2 2 2 4 3" xfId="9710" xr:uid="{A052A9F7-C2A5-4EF0-9748-ADD25A50071A}"/>
    <cellStyle name="Moeda 2 2 2 2 5" xfId="9217" xr:uid="{A2F23EAD-F38F-41D9-A51D-6C02D7F98F08}"/>
    <cellStyle name="Moeda 2 2 2 2 6" xfId="9553" xr:uid="{1B76C055-D155-4659-AE9A-398A5F986E38}"/>
    <cellStyle name="Moeda 2 2 2 3" xfId="3068" xr:uid="{00000000-0005-0000-0000-0000B40E0000}"/>
    <cellStyle name="Moeda 2 2 2 3 2" xfId="8124" xr:uid="{00000000-0005-0000-0000-0000B50E0000}"/>
    <cellStyle name="Moeda 2 2 2 3 2 2" xfId="8949" xr:uid="{00000000-0005-0000-0000-0000B60E0000}"/>
    <cellStyle name="Moeda 2 2 2 3 2 2 2" xfId="9113" xr:uid="{00000000-0005-0000-0000-0000B70E0000}"/>
    <cellStyle name="Moeda 2 2 2 3 2 2 2 2" xfId="9486" xr:uid="{D7EF4D58-C412-4F1B-91CF-E810FD874297}"/>
    <cellStyle name="Moeda 2 2 2 3 2 2 2 3" xfId="9822" xr:uid="{09E82B5C-7590-436E-8D5A-A624DFA7212B}"/>
    <cellStyle name="Moeda 2 2 2 3 2 2 3" xfId="9332" xr:uid="{596BA784-3D57-4C81-98CE-C252EA7EC16B}"/>
    <cellStyle name="Moeda 2 2 2 3 2 2 4" xfId="9668" xr:uid="{71F58FA4-B5C0-4CFA-B867-58B9D92B2D27}"/>
    <cellStyle name="Moeda 2 2 2 3 2 3" xfId="9036" xr:uid="{00000000-0005-0000-0000-0000B80E0000}"/>
    <cellStyle name="Moeda 2 2 2 3 2 3 2" xfId="9409" xr:uid="{E5FA3569-2073-433D-B133-7EDF2B70FA2B}"/>
    <cellStyle name="Moeda 2 2 2 3 2 3 3" xfId="9745" xr:uid="{4EE739ED-5B41-4E13-8709-92AD17325E60}"/>
    <cellStyle name="Moeda 2 2 2 3 2 4" xfId="9254" xr:uid="{A42B5C6B-1849-4508-8322-8CCA5078465E}"/>
    <cellStyle name="Moeda 2 2 2 3 2 5" xfId="9590" xr:uid="{F23259E2-CD1F-4203-B1B3-9D3424A8F6B4}"/>
    <cellStyle name="Moeda 2 2 2 3 3" xfId="8918" xr:uid="{00000000-0005-0000-0000-0000B90E0000}"/>
    <cellStyle name="Moeda 2 2 2 3 3 2" xfId="9082" xr:uid="{00000000-0005-0000-0000-0000BA0E0000}"/>
    <cellStyle name="Moeda 2 2 2 3 3 2 2" xfId="9455" xr:uid="{733BE04B-085B-473F-A601-E9C4C023EA0D}"/>
    <cellStyle name="Moeda 2 2 2 3 3 2 3" xfId="9791" xr:uid="{6C2FD1FF-B44D-4349-997A-6BCE5A92D662}"/>
    <cellStyle name="Moeda 2 2 2 3 3 3" xfId="9301" xr:uid="{1C010FBE-F42C-42F5-8B1C-62316532D30D}"/>
    <cellStyle name="Moeda 2 2 2 3 3 4" xfId="9637" xr:uid="{5F40CA43-D591-4DF2-BF00-611A32B3F1DB}"/>
    <cellStyle name="Moeda 2 2 2 3 4" xfId="9007" xr:uid="{00000000-0005-0000-0000-0000BB0E0000}"/>
    <cellStyle name="Moeda 2 2 2 3 4 2" xfId="9380" xr:uid="{B4BB1608-83B2-4E3F-861A-05ACEFF5A775}"/>
    <cellStyle name="Moeda 2 2 2 3 4 3" xfId="9716" xr:uid="{4AA37733-BC6A-489A-A393-C4B3C1F213FE}"/>
    <cellStyle name="Moeda 2 2 2 3 5" xfId="9223" xr:uid="{8B515B4F-B1FF-4BE4-A8A5-F7E364FE691E}"/>
    <cellStyle name="Moeda 2 2 2 3 6" xfId="9559" xr:uid="{E46BB371-6EC9-48DD-8ED7-C0BF23301461}"/>
    <cellStyle name="Moeda 2 2 2 4" xfId="3777" xr:uid="{00000000-0005-0000-0000-0000BC0E0000}"/>
    <cellStyle name="Moeda 2 2 2 4 2" xfId="8688" xr:uid="{00000000-0005-0000-0000-0000BD0E0000}"/>
    <cellStyle name="Moeda 2 2 2 4 2 2" xfId="8954" xr:uid="{00000000-0005-0000-0000-0000BE0E0000}"/>
    <cellStyle name="Moeda 2 2 2 4 2 2 2" xfId="9118" xr:uid="{00000000-0005-0000-0000-0000BF0E0000}"/>
    <cellStyle name="Moeda 2 2 2 4 2 2 2 2" xfId="9491" xr:uid="{6D73FE94-263A-44D9-9D8A-661997092FBB}"/>
    <cellStyle name="Moeda 2 2 2 4 2 2 2 3" xfId="9827" xr:uid="{7B2A2A15-91C2-4263-80D2-A77DE73F008A}"/>
    <cellStyle name="Moeda 2 2 2 4 2 2 3" xfId="9337" xr:uid="{6A52F953-03F6-457C-A074-F7A4899DBA69}"/>
    <cellStyle name="Moeda 2 2 2 4 2 2 4" xfId="9673" xr:uid="{F05E7B57-113B-47D5-A9D8-4F5827924CE5}"/>
    <cellStyle name="Moeda 2 2 2 4 2 3" xfId="9041" xr:uid="{00000000-0005-0000-0000-0000C00E0000}"/>
    <cellStyle name="Moeda 2 2 2 4 2 3 2" xfId="9414" xr:uid="{5BDB1C64-6304-464D-83D5-891C33121694}"/>
    <cellStyle name="Moeda 2 2 2 4 2 3 3" xfId="9750" xr:uid="{FC2E8FB7-4718-4457-9FAB-7CAEAB402C03}"/>
    <cellStyle name="Moeda 2 2 2 4 2 4" xfId="9259" xr:uid="{DE30596C-3A88-4A79-B118-69B6A9B17ED1}"/>
    <cellStyle name="Moeda 2 2 2 4 2 5" xfId="9595" xr:uid="{FAE140CD-D8D1-48CF-AED6-41F220D0BC4D}"/>
    <cellStyle name="Moeda 2 2 2 4 3" xfId="8928" xr:uid="{00000000-0005-0000-0000-0000C10E0000}"/>
    <cellStyle name="Moeda 2 2 2 4 3 2" xfId="9092" xr:uid="{00000000-0005-0000-0000-0000C20E0000}"/>
    <cellStyle name="Moeda 2 2 2 4 3 2 2" xfId="9465" xr:uid="{3CD2E3EC-AF59-4D65-92BF-A837C2F94F0D}"/>
    <cellStyle name="Moeda 2 2 2 4 3 2 3" xfId="9801" xr:uid="{23D53667-0DD9-4627-9583-B797CB4DD4F9}"/>
    <cellStyle name="Moeda 2 2 2 4 3 3" xfId="9311" xr:uid="{F3BF0A02-9663-4B02-850E-A9F47F2A1597}"/>
    <cellStyle name="Moeda 2 2 2 4 3 4" xfId="9647" xr:uid="{A1230BAF-385F-4556-94A5-EAADDD97561D}"/>
    <cellStyle name="Moeda 2 2 2 4 4" xfId="9015" xr:uid="{00000000-0005-0000-0000-0000C30E0000}"/>
    <cellStyle name="Moeda 2 2 2 4 4 2" xfId="9388" xr:uid="{DA1865CB-2CEC-4345-80A9-A2BD19D16C12}"/>
    <cellStyle name="Moeda 2 2 2 4 4 3" xfId="9724" xr:uid="{B4808C56-FFD5-4D5C-97B4-5D9505F224E1}"/>
    <cellStyle name="Moeda 2 2 2 4 5" xfId="9233" xr:uid="{F11B144C-95FE-4B90-BDB6-DABB6F36B310}"/>
    <cellStyle name="Moeda 2 2 2 4 6" xfId="9569" xr:uid="{3A47D561-A859-4A3B-AAA6-4848A5DC460D}"/>
    <cellStyle name="Moeda 2 2 2 5" xfId="2875" xr:uid="{00000000-0005-0000-0000-0000C40E0000}"/>
    <cellStyle name="Moeda 2 2 2 5 2" xfId="8906" xr:uid="{00000000-0005-0000-0000-0000C50E0000}"/>
    <cellStyle name="Moeda 2 2 2 5 2 2" xfId="9070" xr:uid="{00000000-0005-0000-0000-0000C60E0000}"/>
    <cellStyle name="Moeda 2 2 2 5 2 2 2" xfId="9443" xr:uid="{B836975F-8ABA-4D4C-A94C-5BE42C1C60AF}"/>
    <cellStyle name="Moeda 2 2 2 5 2 2 3" xfId="9779" xr:uid="{0DD3EC01-A86C-4A60-899B-738A801476B6}"/>
    <cellStyle name="Moeda 2 2 2 5 2 3" xfId="9289" xr:uid="{1CFE3118-3C76-4820-80C2-8330A6F3DF13}"/>
    <cellStyle name="Moeda 2 2 2 5 2 4" xfId="9625" xr:uid="{3F87595E-9F86-4161-92CD-8E3ED06C12A3}"/>
    <cellStyle name="Moeda 2 2 2 5 3" xfId="8995" xr:uid="{00000000-0005-0000-0000-0000C70E0000}"/>
    <cellStyle name="Moeda 2 2 2 5 3 2" xfId="9368" xr:uid="{A3B1C66C-490B-4269-B533-2C1FA500750E}"/>
    <cellStyle name="Moeda 2 2 2 5 3 3" xfId="9704" xr:uid="{C215F091-C325-4F8F-8E16-E49A1F04B2B0}"/>
    <cellStyle name="Moeda 2 2 2 5 4" xfId="9211" xr:uid="{0484A6B6-0ECC-4E95-89F5-CF3D41376306}"/>
    <cellStyle name="Moeda 2 2 2 5 5" xfId="9547" xr:uid="{AA222CFA-8B31-41DD-AF94-1D82AB6C5AEE}"/>
    <cellStyle name="Moeda 2 2 2 6" xfId="7852" xr:uid="{00000000-0005-0000-0000-0000C80E0000}"/>
    <cellStyle name="Moeda 2 2 2 6 2" xfId="8934" xr:uid="{00000000-0005-0000-0000-0000C90E0000}"/>
    <cellStyle name="Moeda 2 2 2 6 2 2" xfId="9098" xr:uid="{00000000-0005-0000-0000-0000CA0E0000}"/>
    <cellStyle name="Moeda 2 2 2 6 2 2 2" xfId="9471" xr:uid="{84FD5F03-7C19-4787-8AE3-26B775DDAC77}"/>
    <cellStyle name="Moeda 2 2 2 6 2 2 3" xfId="9807" xr:uid="{2C73568C-BECC-4CAD-8446-66604FE344F5}"/>
    <cellStyle name="Moeda 2 2 2 6 2 3" xfId="9317" xr:uid="{A9AECA4A-596A-4F52-B0A3-56C5DE8004E6}"/>
    <cellStyle name="Moeda 2 2 2 6 2 4" xfId="9653" xr:uid="{C20227D0-7CD3-4715-8F38-C951C356A00E}"/>
    <cellStyle name="Moeda 2 2 2 6 3" xfId="9021" xr:uid="{00000000-0005-0000-0000-0000CB0E0000}"/>
    <cellStyle name="Moeda 2 2 2 6 3 2" xfId="9394" xr:uid="{545339FB-71C0-4479-AF87-50903439A7F0}"/>
    <cellStyle name="Moeda 2 2 2 6 3 3" xfId="9730" xr:uid="{B1E57761-2F79-4498-A326-3228E32BBB6E}"/>
    <cellStyle name="Moeda 2 2 2 6 4" xfId="9239" xr:uid="{0B02131A-BCBE-4403-939E-22A13EED32E9}"/>
    <cellStyle name="Moeda 2 2 2 6 5" xfId="9575" xr:uid="{576CD525-A938-49C4-B756-6BF61BEDA8B2}"/>
    <cellStyle name="Moeda 2 2 2 7" xfId="8897" xr:uid="{00000000-0005-0000-0000-0000CC0E0000}"/>
    <cellStyle name="Moeda 2 2 2 7 2" xfId="9061" xr:uid="{00000000-0005-0000-0000-0000CD0E0000}"/>
    <cellStyle name="Moeda 2 2 2 7 2 2" xfId="9434" xr:uid="{2536416F-452C-453C-9833-3FAB32D3264B}"/>
    <cellStyle name="Moeda 2 2 2 7 2 3" xfId="9770" xr:uid="{00FBB6F4-3604-47F7-9DA9-12D2B231E519}"/>
    <cellStyle name="Moeda 2 2 2 7 3" xfId="9280" xr:uid="{7C11D158-D381-40FD-9398-C531CA68930D}"/>
    <cellStyle name="Moeda 2 2 2 7 4" xfId="9616" xr:uid="{0DD3AE6A-1EF3-462C-BA47-B7043FDA0202}"/>
    <cellStyle name="Moeda 2 2 2 8" xfId="8986" xr:uid="{00000000-0005-0000-0000-0000CE0E0000}"/>
    <cellStyle name="Moeda 2 2 2 8 2" xfId="9359" xr:uid="{4E915A9B-B028-49FC-9DE4-1D7B5C85D3DB}"/>
    <cellStyle name="Moeda 2 2 2 8 3" xfId="9695" xr:uid="{959075E1-34F8-4A7C-8CEB-12F3E75136B7}"/>
    <cellStyle name="Moeda 2 2 2 9" xfId="2640" xr:uid="{00000000-0005-0000-0000-0000CF0E0000}"/>
    <cellStyle name="Moeda 2 2 2 9 2" xfId="9202" xr:uid="{2886D2AE-FF2C-4476-9B03-4E9A31D02D75}"/>
    <cellStyle name="Moeda 2 2 2 9 3" xfId="9538" xr:uid="{2094CB75-4DD2-4EEC-83C1-E5078A678BD5}"/>
    <cellStyle name="Moeda 2 2 3" xfId="2641" xr:uid="{00000000-0005-0000-0000-0000D00E0000}"/>
    <cellStyle name="Moeda 2 2 3 10" xfId="9539" xr:uid="{037FB5EE-8F97-488D-9F17-624981EC5E60}"/>
    <cellStyle name="Moeda 2 2 3 2" xfId="2969" xr:uid="{00000000-0005-0000-0000-0000D10E0000}"/>
    <cellStyle name="Moeda 2 2 3 2 2" xfId="8025" xr:uid="{00000000-0005-0000-0000-0000D20E0000}"/>
    <cellStyle name="Moeda 2 2 3 2 2 2" xfId="8944" xr:uid="{00000000-0005-0000-0000-0000D30E0000}"/>
    <cellStyle name="Moeda 2 2 3 2 2 2 2" xfId="9108" xr:uid="{00000000-0005-0000-0000-0000D40E0000}"/>
    <cellStyle name="Moeda 2 2 3 2 2 2 2 2" xfId="9481" xr:uid="{75078B0F-6A23-4F72-AEF8-8E001572C1C2}"/>
    <cellStyle name="Moeda 2 2 3 2 2 2 2 3" xfId="9817" xr:uid="{F104A88A-158C-43E0-A569-76EB247500CE}"/>
    <cellStyle name="Moeda 2 2 3 2 2 2 3" xfId="9327" xr:uid="{CBC5B8BB-2252-45CD-A478-4BE0B2ED88DE}"/>
    <cellStyle name="Moeda 2 2 3 2 2 2 4" xfId="9663" xr:uid="{2D47AF01-5538-4F67-8746-9A9D199AE636}"/>
    <cellStyle name="Moeda 2 2 3 2 2 3" xfId="9031" xr:uid="{00000000-0005-0000-0000-0000D50E0000}"/>
    <cellStyle name="Moeda 2 2 3 2 2 3 2" xfId="9404" xr:uid="{BD549992-168A-4567-871F-FAAE98CBBC27}"/>
    <cellStyle name="Moeda 2 2 3 2 2 3 3" xfId="9740" xr:uid="{7D441BFA-8696-42A1-9021-B2C1E66C8145}"/>
    <cellStyle name="Moeda 2 2 3 2 2 4" xfId="9249" xr:uid="{71AD1431-7849-4837-8E85-ABB079A72D92}"/>
    <cellStyle name="Moeda 2 2 3 2 2 5" xfId="9585" xr:uid="{0BB6542D-1741-431D-BC0A-782AD96E8829}"/>
    <cellStyle name="Moeda 2 2 3 2 3" xfId="8913" xr:uid="{00000000-0005-0000-0000-0000D60E0000}"/>
    <cellStyle name="Moeda 2 2 3 2 3 2" xfId="9077" xr:uid="{00000000-0005-0000-0000-0000D70E0000}"/>
    <cellStyle name="Moeda 2 2 3 2 3 2 2" xfId="9450" xr:uid="{7EF4C592-0AB9-4935-B4BE-07801CF26080}"/>
    <cellStyle name="Moeda 2 2 3 2 3 2 3" xfId="9786" xr:uid="{F48CCD1A-04AE-431C-82B4-B01C01305867}"/>
    <cellStyle name="Moeda 2 2 3 2 3 3" xfId="9296" xr:uid="{671EDFE9-842A-4791-8961-91FAD66AC9DD}"/>
    <cellStyle name="Moeda 2 2 3 2 3 4" xfId="9632" xr:uid="{546149D1-3A3B-4CD4-9DF4-E6F45B1F84C3}"/>
    <cellStyle name="Moeda 2 2 3 2 4" xfId="9002" xr:uid="{00000000-0005-0000-0000-0000D80E0000}"/>
    <cellStyle name="Moeda 2 2 3 2 4 2" xfId="9375" xr:uid="{45ED85B8-2EED-453A-A8CD-019F2C68D469}"/>
    <cellStyle name="Moeda 2 2 3 2 4 3" xfId="9711" xr:uid="{D09BEED8-99F4-4601-99CF-5D16F2264074}"/>
    <cellStyle name="Moeda 2 2 3 2 5" xfId="9218" xr:uid="{47A5F72B-BE9C-4E0E-808A-7364045590E2}"/>
    <cellStyle name="Moeda 2 2 3 2 6" xfId="9554" xr:uid="{689FDB34-EF95-4B23-998E-DE975D53C3B7}"/>
    <cellStyle name="Moeda 2 2 3 3" xfId="3069" xr:uid="{00000000-0005-0000-0000-0000D90E0000}"/>
    <cellStyle name="Moeda 2 2 3 3 2" xfId="8125" xr:uid="{00000000-0005-0000-0000-0000DA0E0000}"/>
    <cellStyle name="Moeda 2 2 3 3 2 2" xfId="8950" xr:uid="{00000000-0005-0000-0000-0000DB0E0000}"/>
    <cellStyle name="Moeda 2 2 3 3 2 2 2" xfId="9114" xr:uid="{00000000-0005-0000-0000-0000DC0E0000}"/>
    <cellStyle name="Moeda 2 2 3 3 2 2 2 2" xfId="9487" xr:uid="{1F716C85-CBCB-486E-A82C-80076F3E8171}"/>
    <cellStyle name="Moeda 2 2 3 3 2 2 2 3" xfId="9823" xr:uid="{2FC7618F-3329-41FA-9A0F-716863480881}"/>
    <cellStyle name="Moeda 2 2 3 3 2 2 3" xfId="9333" xr:uid="{E03BDDB1-655C-4611-BECD-C52D6A41CB1D}"/>
    <cellStyle name="Moeda 2 2 3 3 2 2 4" xfId="9669" xr:uid="{C5C6B784-86F7-48DA-92A8-34615DACE687}"/>
    <cellStyle name="Moeda 2 2 3 3 2 3" xfId="9037" xr:uid="{00000000-0005-0000-0000-0000DD0E0000}"/>
    <cellStyle name="Moeda 2 2 3 3 2 3 2" xfId="9410" xr:uid="{DD11EF0B-CB5C-452B-9AEF-BC320A5FF7F6}"/>
    <cellStyle name="Moeda 2 2 3 3 2 3 3" xfId="9746" xr:uid="{23BD2457-E6CF-4B3F-ABEC-B4CEE9CB8714}"/>
    <cellStyle name="Moeda 2 2 3 3 2 4" xfId="9255" xr:uid="{A156666F-77A1-4037-B29B-0481E8F1700F}"/>
    <cellStyle name="Moeda 2 2 3 3 2 5" xfId="9591" xr:uid="{A8C1F5DB-339D-4555-9C9C-CD49E5D4AEDB}"/>
    <cellStyle name="Moeda 2 2 3 3 3" xfId="8919" xr:uid="{00000000-0005-0000-0000-0000DE0E0000}"/>
    <cellStyle name="Moeda 2 2 3 3 3 2" xfId="9083" xr:uid="{00000000-0005-0000-0000-0000DF0E0000}"/>
    <cellStyle name="Moeda 2 2 3 3 3 2 2" xfId="9456" xr:uid="{2602AC88-CCA4-4A23-8D7A-DC05F906C779}"/>
    <cellStyle name="Moeda 2 2 3 3 3 2 3" xfId="9792" xr:uid="{FDDF586D-7CC8-4F6F-ACDC-A6288E278B02}"/>
    <cellStyle name="Moeda 2 2 3 3 3 3" xfId="9302" xr:uid="{01D1866A-72E3-4CF5-ABA5-53A7143A842F}"/>
    <cellStyle name="Moeda 2 2 3 3 3 4" xfId="9638" xr:uid="{846E8594-9309-496F-952C-172C1410C40E}"/>
    <cellStyle name="Moeda 2 2 3 3 4" xfId="9008" xr:uid="{00000000-0005-0000-0000-0000E00E0000}"/>
    <cellStyle name="Moeda 2 2 3 3 4 2" xfId="9381" xr:uid="{CCC07D3A-7C52-44B7-844F-4884F4F75019}"/>
    <cellStyle name="Moeda 2 2 3 3 4 3" xfId="9717" xr:uid="{C0384AAA-7B4E-4831-B436-30EC6364A9BA}"/>
    <cellStyle name="Moeda 2 2 3 3 5" xfId="9224" xr:uid="{3B4D49F1-8D3D-4690-ACC9-C9161287DD30}"/>
    <cellStyle name="Moeda 2 2 3 3 6" xfId="9560" xr:uid="{5AACF6C7-BBC1-403C-A50A-C14E2091EBCD}"/>
    <cellStyle name="Moeda 2 2 3 4" xfId="3727" xr:uid="{00000000-0005-0000-0000-0000E10E0000}"/>
    <cellStyle name="Moeda 2 2 3 4 2" xfId="8641" xr:uid="{00000000-0005-0000-0000-0000E20E0000}"/>
    <cellStyle name="Moeda 2 2 3 4 2 2" xfId="8952" xr:uid="{00000000-0005-0000-0000-0000E30E0000}"/>
    <cellStyle name="Moeda 2 2 3 4 2 2 2" xfId="9116" xr:uid="{00000000-0005-0000-0000-0000E40E0000}"/>
    <cellStyle name="Moeda 2 2 3 4 2 2 2 2" xfId="9489" xr:uid="{7A57632B-C953-4AA5-97B2-4DA8B327B594}"/>
    <cellStyle name="Moeda 2 2 3 4 2 2 2 3" xfId="9825" xr:uid="{4A6585FD-3C5D-460F-968E-69555ED0B6A8}"/>
    <cellStyle name="Moeda 2 2 3 4 2 2 3" xfId="9335" xr:uid="{03843AAD-C94B-401E-B027-1837483636AB}"/>
    <cellStyle name="Moeda 2 2 3 4 2 2 4" xfId="9671" xr:uid="{20A7A4B4-2C8D-4F5F-A651-CF2144C34C33}"/>
    <cellStyle name="Moeda 2 2 3 4 2 3" xfId="9039" xr:uid="{00000000-0005-0000-0000-0000E50E0000}"/>
    <cellStyle name="Moeda 2 2 3 4 2 3 2" xfId="9412" xr:uid="{0B2A111D-B8A2-4E2E-A16E-906433C9BA64}"/>
    <cellStyle name="Moeda 2 2 3 4 2 3 3" xfId="9748" xr:uid="{42CDCD08-C8C4-4349-90F4-A6BB95853D20}"/>
    <cellStyle name="Moeda 2 2 3 4 2 4" xfId="9257" xr:uid="{AC3C71C3-83CF-4395-9E17-5C604219A75E}"/>
    <cellStyle name="Moeda 2 2 3 4 2 5" xfId="9593" xr:uid="{2F8E354D-2CEA-4F91-B9AA-D0B5EEDED074}"/>
    <cellStyle name="Moeda 2 2 3 4 3" xfId="8925" xr:uid="{00000000-0005-0000-0000-0000E60E0000}"/>
    <cellStyle name="Moeda 2 2 3 4 3 2" xfId="9089" xr:uid="{00000000-0005-0000-0000-0000E70E0000}"/>
    <cellStyle name="Moeda 2 2 3 4 3 2 2" xfId="9462" xr:uid="{E86F4F94-19AE-4184-8AB7-38D452A0684E}"/>
    <cellStyle name="Moeda 2 2 3 4 3 2 3" xfId="9798" xr:uid="{6D00CD74-DA9E-4862-9671-984E2C918CC5}"/>
    <cellStyle name="Moeda 2 2 3 4 3 3" xfId="9308" xr:uid="{2858E557-8AD7-4431-971C-FD40B9697A29}"/>
    <cellStyle name="Moeda 2 2 3 4 3 4" xfId="9644" xr:uid="{029C5CAB-9FA1-4420-AFA6-9F4FF400CD79}"/>
    <cellStyle name="Moeda 2 2 3 4 4" xfId="9012" xr:uid="{00000000-0005-0000-0000-0000E80E0000}"/>
    <cellStyle name="Moeda 2 2 3 4 4 2" xfId="9385" xr:uid="{23EFB0C8-607B-41D6-A4EC-1B12558DCA49}"/>
    <cellStyle name="Moeda 2 2 3 4 4 3" xfId="9721" xr:uid="{B7670B34-88AC-46A7-A68D-9BBB7B40C737}"/>
    <cellStyle name="Moeda 2 2 3 4 5" xfId="9230" xr:uid="{4D516E1D-6D15-4326-879E-BE3CF833F86D}"/>
    <cellStyle name="Moeda 2 2 3 4 6" xfId="9566" xr:uid="{610DCFD5-71DE-43A1-ADCC-C711D29FEB32}"/>
    <cellStyle name="Moeda 2 2 3 5" xfId="2876" xr:uid="{00000000-0005-0000-0000-0000E90E0000}"/>
    <cellStyle name="Moeda 2 2 3 5 2" xfId="8907" xr:uid="{00000000-0005-0000-0000-0000EA0E0000}"/>
    <cellStyle name="Moeda 2 2 3 5 2 2" xfId="9071" xr:uid="{00000000-0005-0000-0000-0000EB0E0000}"/>
    <cellStyle name="Moeda 2 2 3 5 2 2 2" xfId="9444" xr:uid="{7CD6FA6F-8AAE-41DA-922F-84455F58090E}"/>
    <cellStyle name="Moeda 2 2 3 5 2 2 3" xfId="9780" xr:uid="{FC639772-B80B-4162-91CF-74E9F27CDCB0}"/>
    <cellStyle name="Moeda 2 2 3 5 2 3" xfId="9290" xr:uid="{BF64507A-DA10-4989-AFEE-D70690D9E178}"/>
    <cellStyle name="Moeda 2 2 3 5 2 4" xfId="9626" xr:uid="{4212F609-2B4F-49EB-945D-ACFF32D6F559}"/>
    <cellStyle name="Moeda 2 2 3 5 3" xfId="8996" xr:uid="{00000000-0005-0000-0000-0000EC0E0000}"/>
    <cellStyle name="Moeda 2 2 3 5 3 2" xfId="9369" xr:uid="{E817D1EF-45E6-434D-823A-EB63A8D27D2C}"/>
    <cellStyle name="Moeda 2 2 3 5 3 3" xfId="9705" xr:uid="{0A36DED2-6ECA-43A0-89E5-2D69D7A40BC3}"/>
    <cellStyle name="Moeda 2 2 3 5 4" xfId="9212" xr:uid="{85BA6ACF-70E1-4971-900D-BB0393EDEB16}"/>
    <cellStyle name="Moeda 2 2 3 5 5" xfId="9548" xr:uid="{1D2BB4FD-354C-474C-80F2-BD23AAB8E8DE}"/>
    <cellStyle name="Moeda 2 2 3 6" xfId="7853" xr:uid="{00000000-0005-0000-0000-0000ED0E0000}"/>
    <cellStyle name="Moeda 2 2 3 6 2" xfId="8935" xr:uid="{00000000-0005-0000-0000-0000EE0E0000}"/>
    <cellStyle name="Moeda 2 2 3 6 2 2" xfId="9099" xr:uid="{00000000-0005-0000-0000-0000EF0E0000}"/>
    <cellStyle name="Moeda 2 2 3 6 2 2 2" xfId="9472" xr:uid="{48FB0468-AC59-44FE-B34B-E7BCE9FE6C70}"/>
    <cellStyle name="Moeda 2 2 3 6 2 2 3" xfId="9808" xr:uid="{D9BA95E7-E707-4884-8D37-E18E6F43604E}"/>
    <cellStyle name="Moeda 2 2 3 6 2 3" xfId="9318" xr:uid="{2CB353E1-3B90-441F-BA79-609BD13AE234}"/>
    <cellStyle name="Moeda 2 2 3 6 2 4" xfId="9654" xr:uid="{C863C32B-F6BE-415E-92DF-493C13C1E1ED}"/>
    <cellStyle name="Moeda 2 2 3 6 3" xfId="9022" xr:uid="{00000000-0005-0000-0000-0000F00E0000}"/>
    <cellStyle name="Moeda 2 2 3 6 3 2" xfId="9395" xr:uid="{FE42ECDC-C827-497A-8CAE-E7279074DC50}"/>
    <cellStyle name="Moeda 2 2 3 6 3 3" xfId="9731" xr:uid="{285DD579-EE6D-4AD1-8BA4-9548A384426C}"/>
    <cellStyle name="Moeda 2 2 3 6 4" xfId="9240" xr:uid="{8684A34A-BA1C-4E3A-B095-C4AC746A6660}"/>
    <cellStyle name="Moeda 2 2 3 6 5" xfId="9576" xr:uid="{7B42FACE-781D-4FAB-A291-E30FB12F9BB9}"/>
    <cellStyle name="Moeda 2 2 3 7" xfId="8898" xr:uid="{00000000-0005-0000-0000-0000F10E0000}"/>
    <cellStyle name="Moeda 2 2 3 7 2" xfId="9062" xr:uid="{00000000-0005-0000-0000-0000F20E0000}"/>
    <cellStyle name="Moeda 2 2 3 7 2 2" xfId="9435" xr:uid="{5DDEB3B6-9D77-4A83-8144-15C86D97364E}"/>
    <cellStyle name="Moeda 2 2 3 7 2 3" xfId="9771" xr:uid="{84EFBF21-D0BB-4494-B34D-8FF1E4E0531D}"/>
    <cellStyle name="Moeda 2 2 3 7 3" xfId="9281" xr:uid="{53484C6B-3932-4018-935E-3B75FDDE7132}"/>
    <cellStyle name="Moeda 2 2 3 7 4" xfId="9617" xr:uid="{27B1D0EC-9A1E-4F04-819C-784D40EEB950}"/>
    <cellStyle name="Moeda 2 2 3 8" xfId="8987" xr:uid="{00000000-0005-0000-0000-0000F30E0000}"/>
    <cellStyle name="Moeda 2 2 3 8 2" xfId="9360" xr:uid="{C8A2E2A3-6609-429F-B0F9-A204D9A15434}"/>
    <cellStyle name="Moeda 2 2 3 8 3" xfId="9696" xr:uid="{027B77B8-0DD3-496A-92C6-D22EB97D06DA}"/>
    <cellStyle name="Moeda 2 2 3 9" xfId="9203" xr:uid="{C5D624CC-05E6-4D39-AAB9-77FE97EC982D}"/>
    <cellStyle name="Moeda 2 2 4" xfId="8890" xr:uid="{00000000-0005-0000-0000-0000F40E0000}"/>
    <cellStyle name="Moeda 2 2 4 2" xfId="9054" xr:uid="{00000000-0005-0000-0000-0000F50E0000}"/>
    <cellStyle name="Moeda 2 2 4 2 2" xfId="9427" xr:uid="{A89C2E15-BD12-42F3-A4D1-505C6D601E1B}"/>
    <cellStyle name="Moeda 2 2 4 2 3" xfId="9763" xr:uid="{0F7DA045-350E-4C31-AEB9-25DC0F446F94}"/>
    <cellStyle name="Moeda 2 2 4 3" xfId="9273" xr:uid="{24AED9C7-FB73-468C-B177-1DCBC2064148}"/>
    <cellStyle name="Moeda 2 2 4 4" xfId="9609" xr:uid="{BC8C6D82-25FE-4C51-9A55-E0BEA567E353}"/>
    <cellStyle name="Moeda 2 2 5" xfId="8979" xr:uid="{00000000-0005-0000-0000-0000F60E0000}"/>
    <cellStyle name="Moeda 2 2 5 2" xfId="9352" xr:uid="{DF638B7F-3FC1-41FA-98E6-414FF532A3A3}"/>
    <cellStyle name="Moeda 2 2 5 3" xfId="9688" xr:uid="{F4A1E723-C8A8-4277-8FEA-EB007EF166B5}"/>
    <cellStyle name="Moeda 2 2 6" xfId="2120" xr:uid="{00000000-0005-0000-0000-0000F70E0000}"/>
    <cellStyle name="Moeda 2 2 6 2" xfId="9195" xr:uid="{D4D522EB-42F9-46AF-A2CE-CDC934584D79}"/>
    <cellStyle name="Moeda 2 2 6 3" xfId="9531" xr:uid="{2CA5D266-1A79-4D68-905F-D88770EEDB6F}"/>
    <cellStyle name="Moeda 2 2 7" xfId="9177" xr:uid="{0FF7DEC3-6666-458E-A1AB-B3DBC15B7585}"/>
    <cellStyle name="Moeda 2 2 8" xfId="9513" xr:uid="{24A27CDB-E854-43FD-944A-7E253785A815}"/>
    <cellStyle name="Moeda 2 3" xfId="2642" xr:uid="{00000000-0005-0000-0000-0000F80E0000}"/>
    <cellStyle name="Moeda 2 3 10" xfId="9540" xr:uid="{BC6C821E-7322-401C-91B6-06DDB94BF604}"/>
    <cellStyle name="Moeda 2 3 2" xfId="2967" xr:uid="{00000000-0005-0000-0000-0000F90E0000}"/>
    <cellStyle name="Moeda 2 3 2 2" xfId="8023" xr:uid="{00000000-0005-0000-0000-0000FA0E0000}"/>
    <cellStyle name="Moeda 2 3 2 2 2" xfId="8942" xr:uid="{00000000-0005-0000-0000-0000FB0E0000}"/>
    <cellStyle name="Moeda 2 3 2 2 2 2" xfId="9106" xr:uid="{00000000-0005-0000-0000-0000FC0E0000}"/>
    <cellStyle name="Moeda 2 3 2 2 2 2 2" xfId="9479" xr:uid="{E124CA1D-3BEC-4B96-BDCB-33229D4726D6}"/>
    <cellStyle name="Moeda 2 3 2 2 2 2 3" xfId="9815" xr:uid="{EFD96125-3C03-40FD-BBEC-E00F4C03BB29}"/>
    <cellStyle name="Moeda 2 3 2 2 2 3" xfId="9325" xr:uid="{C0E1B54A-8C08-4D8B-B0F4-8B775B94DC14}"/>
    <cellStyle name="Moeda 2 3 2 2 2 4" xfId="9661" xr:uid="{D524348C-1809-4EFE-96D5-A3BDDACEFF0B}"/>
    <cellStyle name="Moeda 2 3 2 2 3" xfId="9029" xr:uid="{00000000-0005-0000-0000-0000FD0E0000}"/>
    <cellStyle name="Moeda 2 3 2 2 3 2" xfId="9402" xr:uid="{DB99C297-81EB-4015-8F36-93F6DC2CE56A}"/>
    <cellStyle name="Moeda 2 3 2 2 3 3" xfId="9738" xr:uid="{0E93398D-9D15-44BE-96E9-A893038F9D69}"/>
    <cellStyle name="Moeda 2 3 2 2 4" xfId="9247" xr:uid="{3EB23049-DCA3-40F4-ACD7-BC343256000D}"/>
    <cellStyle name="Moeda 2 3 2 2 5" xfId="9583" xr:uid="{E725EEBE-9122-4D5E-9B08-FCFC92EB10F1}"/>
    <cellStyle name="Moeda 2 3 2 3" xfId="8911" xr:uid="{00000000-0005-0000-0000-0000FE0E0000}"/>
    <cellStyle name="Moeda 2 3 2 3 2" xfId="9075" xr:uid="{00000000-0005-0000-0000-0000FF0E0000}"/>
    <cellStyle name="Moeda 2 3 2 3 2 2" xfId="9448" xr:uid="{F776626A-831E-4B16-8A1C-7964D6AECA6A}"/>
    <cellStyle name="Moeda 2 3 2 3 2 3" xfId="9784" xr:uid="{20194233-2D60-4259-9387-47592BE225D5}"/>
    <cellStyle name="Moeda 2 3 2 3 3" xfId="9294" xr:uid="{115CF040-5CB1-450E-A2EF-B885D36071A9}"/>
    <cellStyle name="Moeda 2 3 2 3 4" xfId="9630" xr:uid="{86BC90DC-4C3F-4EBC-A0C4-F9F0DD7C1460}"/>
    <cellStyle name="Moeda 2 3 2 4" xfId="9000" xr:uid="{00000000-0005-0000-0000-0000000F0000}"/>
    <cellStyle name="Moeda 2 3 2 4 2" xfId="9373" xr:uid="{02499231-B163-43EC-8F95-03ABFAE2A9E5}"/>
    <cellStyle name="Moeda 2 3 2 4 3" xfId="9709" xr:uid="{4B8E8022-CE71-4D1A-8223-599D414A608A}"/>
    <cellStyle name="Moeda 2 3 2 5" xfId="9216" xr:uid="{E1558D09-807E-4F0B-8115-4999E7598398}"/>
    <cellStyle name="Moeda 2 3 2 6" xfId="9552" xr:uid="{027D9411-83FD-4CA7-82AB-1520D67C6179}"/>
    <cellStyle name="Moeda 2 3 3" xfId="3067" xr:uid="{00000000-0005-0000-0000-0000010F0000}"/>
    <cellStyle name="Moeda 2 3 3 2" xfId="8123" xr:uid="{00000000-0005-0000-0000-0000020F0000}"/>
    <cellStyle name="Moeda 2 3 3 2 2" xfId="8948" xr:uid="{00000000-0005-0000-0000-0000030F0000}"/>
    <cellStyle name="Moeda 2 3 3 2 2 2" xfId="9112" xr:uid="{00000000-0005-0000-0000-0000040F0000}"/>
    <cellStyle name="Moeda 2 3 3 2 2 2 2" xfId="9485" xr:uid="{08375617-875B-40EA-B0CC-92FC04ADF2DD}"/>
    <cellStyle name="Moeda 2 3 3 2 2 2 3" xfId="9821" xr:uid="{CE58660B-E9A5-45A3-A47E-385D59899DD8}"/>
    <cellStyle name="Moeda 2 3 3 2 2 3" xfId="9331" xr:uid="{13C62CA8-605E-46C8-9969-81AA36C520C3}"/>
    <cellStyle name="Moeda 2 3 3 2 2 4" xfId="9667" xr:uid="{A946EE8C-07EB-421C-A192-933CD60DA0FC}"/>
    <cellStyle name="Moeda 2 3 3 2 3" xfId="9035" xr:uid="{00000000-0005-0000-0000-0000050F0000}"/>
    <cellStyle name="Moeda 2 3 3 2 3 2" xfId="9408" xr:uid="{F1F0BF8F-F76C-448E-9A32-BB86E567BC6D}"/>
    <cellStyle name="Moeda 2 3 3 2 3 3" xfId="9744" xr:uid="{7DDA4D3E-69CA-4EE6-AA53-6269D0EA3634}"/>
    <cellStyle name="Moeda 2 3 3 2 4" xfId="9253" xr:uid="{55AE0C49-306B-48C6-B98A-DF939E826342}"/>
    <cellStyle name="Moeda 2 3 3 2 5" xfId="9589" xr:uid="{BC157377-8247-4931-BB03-F16F9B730259}"/>
    <cellStyle name="Moeda 2 3 3 3" xfId="8917" xr:uid="{00000000-0005-0000-0000-0000060F0000}"/>
    <cellStyle name="Moeda 2 3 3 3 2" xfId="9081" xr:uid="{00000000-0005-0000-0000-0000070F0000}"/>
    <cellStyle name="Moeda 2 3 3 3 2 2" xfId="9454" xr:uid="{BD1794FE-5AE0-46EF-8BB8-435A52D9CD0A}"/>
    <cellStyle name="Moeda 2 3 3 3 2 3" xfId="9790" xr:uid="{7C888334-BCA4-4FDC-8F94-E0F2F33D72DA}"/>
    <cellStyle name="Moeda 2 3 3 3 3" xfId="9300" xr:uid="{B0AECB27-3637-40BF-9472-BB3334A95FA5}"/>
    <cellStyle name="Moeda 2 3 3 3 4" xfId="9636" xr:uid="{E0963D3F-05F5-44B1-9957-0E425EBAF4E5}"/>
    <cellStyle name="Moeda 2 3 3 4" xfId="9006" xr:uid="{00000000-0005-0000-0000-0000080F0000}"/>
    <cellStyle name="Moeda 2 3 3 4 2" xfId="9379" xr:uid="{33D4A681-4247-4A4E-8D84-6D910FDB2AB6}"/>
    <cellStyle name="Moeda 2 3 3 4 3" xfId="9715" xr:uid="{F93BBDEF-20B9-42A7-8997-FA76FC040384}"/>
    <cellStyle name="Moeda 2 3 3 5" xfId="9222" xr:uid="{569C6EB9-8CB8-4486-99EF-A49D334B74D3}"/>
    <cellStyle name="Moeda 2 3 3 6" xfId="9558" xr:uid="{C8C6E8B7-2D36-441E-99DF-6D53E5CD9ECC}"/>
    <cellStyle name="Moeda 2 3 4" xfId="3847" xr:uid="{00000000-0005-0000-0000-0000090F0000}"/>
    <cellStyle name="Moeda 2 3 4 2" xfId="8758" xr:uid="{00000000-0005-0000-0000-00000A0F0000}"/>
    <cellStyle name="Moeda 2 3 4 2 2" xfId="8958" xr:uid="{00000000-0005-0000-0000-00000B0F0000}"/>
    <cellStyle name="Moeda 2 3 4 2 2 2" xfId="9122" xr:uid="{00000000-0005-0000-0000-00000C0F0000}"/>
    <cellStyle name="Moeda 2 3 4 2 2 2 2" xfId="9495" xr:uid="{E4D13802-8C47-428E-9289-4DAE695E05BF}"/>
    <cellStyle name="Moeda 2 3 4 2 2 2 3" xfId="9831" xr:uid="{C6572853-91A8-4EF0-A3F5-2B94E40AD275}"/>
    <cellStyle name="Moeda 2 3 4 2 2 3" xfId="9341" xr:uid="{3F5DB055-59BD-41A3-A8CC-8C27A1145125}"/>
    <cellStyle name="Moeda 2 3 4 2 2 4" xfId="9677" xr:uid="{CEDEC03D-756A-4694-8097-FAE4923F5725}"/>
    <cellStyle name="Moeda 2 3 4 2 3" xfId="9045" xr:uid="{00000000-0005-0000-0000-00000D0F0000}"/>
    <cellStyle name="Moeda 2 3 4 2 3 2" xfId="9418" xr:uid="{E835493E-1526-4DF7-B9AF-FDD3FF49DCFB}"/>
    <cellStyle name="Moeda 2 3 4 2 3 3" xfId="9754" xr:uid="{2F58B4DC-E543-4429-B4AD-D49429A040B3}"/>
    <cellStyle name="Moeda 2 3 4 2 4" xfId="9263" xr:uid="{A9BF539E-1D9E-4DF6-BD4D-CD79AB23E64A}"/>
    <cellStyle name="Moeda 2 3 4 2 5" xfId="9599" xr:uid="{8D6D3001-30B9-4D68-AF3F-48F85BA9DCB9}"/>
    <cellStyle name="Moeda 2 3 4 3" xfId="8932" xr:uid="{00000000-0005-0000-0000-00000E0F0000}"/>
    <cellStyle name="Moeda 2 3 4 3 2" xfId="9096" xr:uid="{00000000-0005-0000-0000-00000F0F0000}"/>
    <cellStyle name="Moeda 2 3 4 3 2 2" xfId="9469" xr:uid="{7F10A417-EFB9-49DF-97D9-6311E036DF53}"/>
    <cellStyle name="Moeda 2 3 4 3 2 3" xfId="9805" xr:uid="{CDBAF970-FE24-4991-804D-B8E095AF262D}"/>
    <cellStyle name="Moeda 2 3 4 3 3" xfId="9315" xr:uid="{B54B9CA1-EEEA-458C-A51E-F3C1D6A24846}"/>
    <cellStyle name="Moeda 2 3 4 3 4" xfId="9651" xr:uid="{99E60F6B-BE26-4524-9A2A-6BBBE1E54778}"/>
    <cellStyle name="Moeda 2 3 4 4" xfId="9019" xr:uid="{00000000-0005-0000-0000-0000100F0000}"/>
    <cellStyle name="Moeda 2 3 4 4 2" xfId="9392" xr:uid="{04515895-07E1-4C01-8BF7-BE1597256297}"/>
    <cellStyle name="Moeda 2 3 4 4 3" xfId="9728" xr:uid="{AA4734A1-25DB-424E-A192-FBB20A63FF58}"/>
    <cellStyle name="Moeda 2 3 4 5" xfId="9237" xr:uid="{F19F64F6-24D5-48C1-9E85-4578567E4383}"/>
    <cellStyle name="Moeda 2 3 4 6" xfId="9573" xr:uid="{401D56DD-928B-4ED0-BBF3-8A8348256C02}"/>
    <cellStyle name="Moeda 2 3 5" xfId="2874" xr:uid="{00000000-0005-0000-0000-0000110F0000}"/>
    <cellStyle name="Moeda 2 3 5 2" xfId="8905" xr:uid="{00000000-0005-0000-0000-0000120F0000}"/>
    <cellStyle name="Moeda 2 3 5 2 2" xfId="9069" xr:uid="{00000000-0005-0000-0000-0000130F0000}"/>
    <cellStyle name="Moeda 2 3 5 2 2 2" xfId="9442" xr:uid="{9EF29357-6B53-48F7-9F6D-42E07BE1E79E}"/>
    <cellStyle name="Moeda 2 3 5 2 2 3" xfId="9778" xr:uid="{9EBDCFD0-4C13-4BDC-B378-47E0BD4DA71A}"/>
    <cellStyle name="Moeda 2 3 5 2 3" xfId="9288" xr:uid="{DD62C066-9118-4606-B1C9-B987DDD0E24B}"/>
    <cellStyle name="Moeda 2 3 5 2 4" xfId="9624" xr:uid="{342C37D7-BD11-430E-B1F1-369AB1C64614}"/>
    <cellStyle name="Moeda 2 3 5 3" xfId="8994" xr:uid="{00000000-0005-0000-0000-0000140F0000}"/>
    <cellStyle name="Moeda 2 3 5 3 2" xfId="9367" xr:uid="{7341E6AD-745B-4738-A967-01FF1CABA6CF}"/>
    <cellStyle name="Moeda 2 3 5 3 3" xfId="9703" xr:uid="{AE57BE86-E5BD-4742-800C-FAA18860F741}"/>
    <cellStyle name="Moeda 2 3 5 4" xfId="9210" xr:uid="{226A820F-C435-4D83-8C2C-339FB754DF54}"/>
    <cellStyle name="Moeda 2 3 5 5" xfId="9546" xr:uid="{4BA58A0C-0D3B-426C-8AE9-80D0DEB58940}"/>
    <cellStyle name="Moeda 2 3 6" xfId="7854" xr:uid="{00000000-0005-0000-0000-0000150F0000}"/>
    <cellStyle name="Moeda 2 3 6 2" xfId="8936" xr:uid="{00000000-0005-0000-0000-0000160F0000}"/>
    <cellStyle name="Moeda 2 3 6 2 2" xfId="9100" xr:uid="{00000000-0005-0000-0000-0000170F0000}"/>
    <cellStyle name="Moeda 2 3 6 2 2 2" xfId="9473" xr:uid="{A23192A3-EACB-47AD-A8B6-E4C80BF0AFD0}"/>
    <cellStyle name="Moeda 2 3 6 2 2 3" xfId="9809" xr:uid="{15B07FB6-79A7-4B62-80B7-DF14583E66E8}"/>
    <cellStyle name="Moeda 2 3 6 2 3" xfId="9319" xr:uid="{F9AF3A87-56B8-4B60-991E-B2F7E936A278}"/>
    <cellStyle name="Moeda 2 3 6 2 4" xfId="9655" xr:uid="{C8A7747C-A3D0-482E-A476-E6B984CC3A8F}"/>
    <cellStyle name="Moeda 2 3 6 3" xfId="9023" xr:uid="{00000000-0005-0000-0000-0000180F0000}"/>
    <cellStyle name="Moeda 2 3 6 3 2" xfId="9396" xr:uid="{2A0675FC-82C7-4156-82C7-A211F6045973}"/>
    <cellStyle name="Moeda 2 3 6 3 3" xfId="9732" xr:uid="{0D6FCD32-E62F-4003-8476-09BCEAB034D0}"/>
    <cellStyle name="Moeda 2 3 6 4" xfId="9241" xr:uid="{0F2FA396-9621-4B0E-9B6B-7BFF106600D2}"/>
    <cellStyle name="Moeda 2 3 6 5" xfId="9577" xr:uid="{CFEE32A2-D5E2-4610-A48F-3CC240E2003C}"/>
    <cellStyle name="Moeda 2 3 7" xfId="8899" xr:uid="{00000000-0005-0000-0000-0000190F0000}"/>
    <cellStyle name="Moeda 2 3 7 2" xfId="9063" xr:uid="{00000000-0005-0000-0000-00001A0F0000}"/>
    <cellStyle name="Moeda 2 3 7 2 2" xfId="9436" xr:uid="{76154F89-5143-433C-8CA5-779CC8B2194F}"/>
    <cellStyle name="Moeda 2 3 7 2 3" xfId="9772" xr:uid="{B87BAC12-19B2-4717-9637-B0E441267261}"/>
    <cellStyle name="Moeda 2 3 7 3" xfId="9282" xr:uid="{14AA5A19-3DD1-4AAC-90B7-02460405F3FC}"/>
    <cellStyle name="Moeda 2 3 7 4" xfId="9618" xr:uid="{48E6C6B9-B124-4D58-806B-6662C8C47314}"/>
    <cellStyle name="Moeda 2 3 8" xfId="8988" xr:uid="{00000000-0005-0000-0000-00001B0F0000}"/>
    <cellStyle name="Moeda 2 3 8 2" xfId="9361" xr:uid="{35D08E40-E336-44BD-99A4-49C7FF4FA1EE}"/>
    <cellStyle name="Moeda 2 3 8 3" xfId="9697" xr:uid="{8FC4AA24-7509-4FB2-9C03-2BAA966562AD}"/>
    <cellStyle name="Moeda 2 3 9" xfId="9204" xr:uid="{B7EBE210-BBF8-4A76-90A2-7D2291854E0A}"/>
    <cellStyle name="Moeda 2 4" xfId="2643" xr:uid="{00000000-0005-0000-0000-00001C0F0000}"/>
    <cellStyle name="Moeda 2 5" xfId="2644" xr:uid="{00000000-0005-0000-0000-00001D0F0000}"/>
    <cellStyle name="Moeda 2 5 10" xfId="9541" xr:uid="{19D1328C-9025-4B2D-BA6A-F5CC6790E4D7}"/>
    <cellStyle name="Moeda 2 5 2" xfId="2970" xr:uid="{00000000-0005-0000-0000-00001E0F0000}"/>
    <cellStyle name="Moeda 2 5 2 2" xfId="8026" xr:uid="{00000000-0005-0000-0000-00001F0F0000}"/>
    <cellStyle name="Moeda 2 5 2 2 2" xfId="8945" xr:uid="{00000000-0005-0000-0000-0000200F0000}"/>
    <cellStyle name="Moeda 2 5 2 2 2 2" xfId="9109" xr:uid="{00000000-0005-0000-0000-0000210F0000}"/>
    <cellStyle name="Moeda 2 5 2 2 2 2 2" xfId="9482" xr:uid="{883E4E9B-F268-487C-BA91-23D35D7B0426}"/>
    <cellStyle name="Moeda 2 5 2 2 2 2 3" xfId="9818" xr:uid="{9EEC76DE-FB52-494E-8C66-D16021DE0D91}"/>
    <cellStyle name="Moeda 2 5 2 2 2 3" xfId="9328" xr:uid="{5A721D82-E4FA-448E-B07A-9D07CDC0C491}"/>
    <cellStyle name="Moeda 2 5 2 2 2 4" xfId="9664" xr:uid="{20BC8FEB-E52D-457A-86B7-CAC7611F766E}"/>
    <cellStyle name="Moeda 2 5 2 2 3" xfId="9032" xr:uid="{00000000-0005-0000-0000-0000220F0000}"/>
    <cellStyle name="Moeda 2 5 2 2 3 2" xfId="9405" xr:uid="{67679E23-341E-4ADA-AC96-05D1407AAE7D}"/>
    <cellStyle name="Moeda 2 5 2 2 3 3" xfId="9741" xr:uid="{FEC0AA7C-DD57-40AD-8DB3-0B0F0EEBC818}"/>
    <cellStyle name="Moeda 2 5 2 2 4" xfId="9250" xr:uid="{17717A73-D172-41B6-A063-5D1446634773}"/>
    <cellStyle name="Moeda 2 5 2 2 5" xfId="9586" xr:uid="{9FD0CC69-6C01-401F-9295-860D9139886A}"/>
    <cellStyle name="Moeda 2 5 2 3" xfId="8914" xr:uid="{00000000-0005-0000-0000-0000230F0000}"/>
    <cellStyle name="Moeda 2 5 2 3 2" xfId="9078" xr:uid="{00000000-0005-0000-0000-0000240F0000}"/>
    <cellStyle name="Moeda 2 5 2 3 2 2" xfId="9451" xr:uid="{1DFD64FB-C8EF-4532-9F15-F2EF2B39A8CB}"/>
    <cellStyle name="Moeda 2 5 2 3 2 3" xfId="9787" xr:uid="{11B23B37-642D-4BAD-875D-3D2BCE5F79BE}"/>
    <cellStyle name="Moeda 2 5 2 3 3" xfId="9297" xr:uid="{C16F51D5-991F-404C-B78E-E625E1542B29}"/>
    <cellStyle name="Moeda 2 5 2 3 4" xfId="9633" xr:uid="{EF72ACBD-D9B0-4496-846E-234F2F653207}"/>
    <cellStyle name="Moeda 2 5 2 4" xfId="9003" xr:uid="{00000000-0005-0000-0000-0000250F0000}"/>
    <cellStyle name="Moeda 2 5 2 4 2" xfId="9376" xr:uid="{EAFA423D-4884-404A-951A-68836FC5F7C8}"/>
    <cellStyle name="Moeda 2 5 2 4 3" xfId="9712" xr:uid="{AFD3D505-68D8-46D2-933E-A977211A6528}"/>
    <cellStyle name="Moeda 2 5 2 5" xfId="9219" xr:uid="{E4D3A45E-97CF-4D6A-9834-D400C8C2736D}"/>
    <cellStyle name="Moeda 2 5 2 6" xfId="9555" xr:uid="{7F456A23-9157-4B07-BB33-6616688DB54F}"/>
    <cellStyle name="Moeda 2 5 3" xfId="3070" xr:uid="{00000000-0005-0000-0000-0000260F0000}"/>
    <cellStyle name="Moeda 2 5 3 2" xfId="8126" xr:uid="{00000000-0005-0000-0000-0000270F0000}"/>
    <cellStyle name="Moeda 2 5 3 2 2" xfId="8951" xr:uid="{00000000-0005-0000-0000-0000280F0000}"/>
    <cellStyle name="Moeda 2 5 3 2 2 2" xfId="9115" xr:uid="{00000000-0005-0000-0000-0000290F0000}"/>
    <cellStyle name="Moeda 2 5 3 2 2 2 2" xfId="9488" xr:uid="{D39B15D5-B0F1-4601-A362-0B7FD3757F83}"/>
    <cellStyle name="Moeda 2 5 3 2 2 2 3" xfId="9824" xr:uid="{8E80ED7C-EC4D-49F6-A766-A127AC9DC01F}"/>
    <cellStyle name="Moeda 2 5 3 2 2 3" xfId="9334" xr:uid="{4CF965E2-1C51-4F41-9201-05769F3B4B0D}"/>
    <cellStyle name="Moeda 2 5 3 2 2 4" xfId="9670" xr:uid="{EE29AEE5-F470-4C3F-8CAD-2BA6AEB6F1CD}"/>
    <cellStyle name="Moeda 2 5 3 2 3" xfId="9038" xr:uid="{00000000-0005-0000-0000-00002A0F0000}"/>
    <cellStyle name="Moeda 2 5 3 2 3 2" xfId="9411" xr:uid="{5A45FC7E-A73A-47F8-9DF5-A59F6938CA45}"/>
    <cellStyle name="Moeda 2 5 3 2 3 3" xfId="9747" xr:uid="{B20AF8A7-10C1-4E34-AF10-C435BF5A01D4}"/>
    <cellStyle name="Moeda 2 5 3 2 4" xfId="9256" xr:uid="{BB5540AF-3E3F-4C6F-919B-D499E4788728}"/>
    <cellStyle name="Moeda 2 5 3 2 5" xfId="9592" xr:uid="{94086E4F-1D27-4A04-80A5-DA890D69F259}"/>
    <cellStyle name="Moeda 2 5 3 3" xfId="8920" xr:uid="{00000000-0005-0000-0000-00002B0F0000}"/>
    <cellStyle name="Moeda 2 5 3 3 2" xfId="9084" xr:uid="{00000000-0005-0000-0000-00002C0F0000}"/>
    <cellStyle name="Moeda 2 5 3 3 2 2" xfId="9457" xr:uid="{B909F51D-C133-4874-A1D8-26BA9749C957}"/>
    <cellStyle name="Moeda 2 5 3 3 2 3" xfId="9793" xr:uid="{B834AB17-B4A5-4491-9A57-7B54842C8233}"/>
    <cellStyle name="Moeda 2 5 3 3 3" xfId="9303" xr:uid="{16094909-BCCE-467B-906B-89D3B6AFD42C}"/>
    <cellStyle name="Moeda 2 5 3 3 4" xfId="9639" xr:uid="{80AFE0E0-DA21-4DF5-AEDD-5F5D2D26A575}"/>
    <cellStyle name="Moeda 2 5 3 4" xfId="9009" xr:uid="{00000000-0005-0000-0000-00002D0F0000}"/>
    <cellStyle name="Moeda 2 5 3 4 2" xfId="9382" xr:uid="{84A5BFE9-3B90-4124-8D78-785F6177A322}"/>
    <cellStyle name="Moeda 2 5 3 4 3" xfId="9718" xr:uid="{45A8A133-4A65-4CF7-88B1-3B1230359BB1}"/>
    <cellStyle name="Moeda 2 5 3 5" xfId="9225" xr:uid="{C855CAFF-9726-43C2-9CAD-B7346061B315}"/>
    <cellStyle name="Moeda 2 5 3 6" xfId="9561" xr:uid="{3E8E332D-B861-4BE8-9A1B-612053BEFD81}"/>
    <cellStyle name="Moeda 2 5 4" xfId="3817" xr:uid="{00000000-0005-0000-0000-00002E0F0000}"/>
    <cellStyle name="Moeda 2 5 4 2" xfId="8728" xr:uid="{00000000-0005-0000-0000-00002F0F0000}"/>
    <cellStyle name="Moeda 2 5 4 2 2" xfId="8956" xr:uid="{00000000-0005-0000-0000-0000300F0000}"/>
    <cellStyle name="Moeda 2 5 4 2 2 2" xfId="9120" xr:uid="{00000000-0005-0000-0000-0000310F0000}"/>
    <cellStyle name="Moeda 2 5 4 2 2 2 2" xfId="9493" xr:uid="{96CCAC90-2DE8-41DA-BEE8-E76A259EE8E7}"/>
    <cellStyle name="Moeda 2 5 4 2 2 2 3" xfId="9829" xr:uid="{AFBD4CB5-9998-4F6E-86FD-B982BA955B0D}"/>
    <cellStyle name="Moeda 2 5 4 2 2 3" xfId="9339" xr:uid="{C1A6F2E5-33AB-404A-A0D2-D306327629AB}"/>
    <cellStyle name="Moeda 2 5 4 2 2 4" xfId="9675" xr:uid="{78AA5D2B-5DCA-4C0F-AABA-1DB7D17BDA6B}"/>
    <cellStyle name="Moeda 2 5 4 2 3" xfId="9043" xr:uid="{00000000-0005-0000-0000-0000320F0000}"/>
    <cellStyle name="Moeda 2 5 4 2 3 2" xfId="9416" xr:uid="{E64F8B29-3EEC-4351-89F6-542906DFC947}"/>
    <cellStyle name="Moeda 2 5 4 2 3 3" xfId="9752" xr:uid="{ECD6B9BF-252E-4E2D-865E-50B5FE925D3D}"/>
    <cellStyle name="Moeda 2 5 4 2 4" xfId="9261" xr:uid="{D4AF6A6B-8C61-4829-B52E-1BA7870F1ED4}"/>
    <cellStyle name="Moeda 2 5 4 2 5" xfId="9597" xr:uid="{65B75DFE-3F95-4B60-9707-9221BCAED915}"/>
    <cellStyle name="Moeda 2 5 4 3" xfId="8930" xr:uid="{00000000-0005-0000-0000-0000330F0000}"/>
    <cellStyle name="Moeda 2 5 4 3 2" xfId="9094" xr:uid="{00000000-0005-0000-0000-0000340F0000}"/>
    <cellStyle name="Moeda 2 5 4 3 2 2" xfId="9467" xr:uid="{524E0482-744B-412D-A486-8BEB261FA56E}"/>
    <cellStyle name="Moeda 2 5 4 3 2 3" xfId="9803" xr:uid="{7DF65217-C385-46EC-BD78-CFEC39680C12}"/>
    <cellStyle name="Moeda 2 5 4 3 3" xfId="9313" xr:uid="{11315AEC-589D-4095-8B42-8BDDEF356B8F}"/>
    <cellStyle name="Moeda 2 5 4 3 4" xfId="9649" xr:uid="{7DB1CAED-0363-40F5-A6AB-A9EA0D54674C}"/>
    <cellStyle name="Moeda 2 5 4 4" xfId="9017" xr:uid="{00000000-0005-0000-0000-0000350F0000}"/>
    <cellStyle name="Moeda 2 5 4 4 2" xfId="9390" xr:uid="{E27637BA-E897-452A-B113-E763C03CDD7C}"/>
    <cellStyle name="Moeda 2 5 4 4 3" xfId="9726" xr:uid="{D5FC1A7C-1E96-404C-ADBE-9443DB9499F5}"/>
    <cellStyle name="Moeda 2 5 4 5" xfId="9235" xr:uid="{D58C9021-90CB-4A8F-BECF-2C61C334083B}"/>
    <cellStyle name="Moeda 2 5 4 6" xfId="9571" xr:uid="{97B3AE66-8D03-497A-8B94-B1728928A9EF}"/>
    <cellStyle name="Moeda 2 5 5" xfId="2877" xr:uid="{00000000-0005-0000-0000-0000360F0000}"/>
    <cellStyle name="Moeda 2 5 5 2" xfId="8908" xr:uid="{00000000-0005-0000-0000-0000370F0000}"/>
    <cellStyle name="Moeda 2 5 5 2 2" xfId="9072" xr:uid="{00000000-0005-0000-0000-0000380F0000}"/>
    <cellStyle name="Moeda 2 5 5 2 2 2" xfId="9445" xr:uid="{AB2B091B-C165-42F1-84DE-D14FFB7E27A6}"/>
    <cellStyle name="Moeda 2 5 5 2 2 3" xfId="9781" xr:uid="{8CE562DC-9138-42F0-B744-91FE222631F0}"/>
    <cellStyle name="Moeda 2 5 5 2 3" xfId="9291" xr:uid="{BF440540-3302-48FE-AC53-8DC4749A5C95}"/>
    <cellStyle name="Moeda 2 5 5 2 4" xfId="9627" xr:uid="{0FEFA8ED-3E25-460A-B4A9-B062B6A0A095}"/>
    <cellStyle name="Moeda 2 5 5 3" xfId="8997" xr:uid="{00000000-0005-0000-0000-0000390F0000}"/>
    <cellStyle name="Moeda 2 5 5 3 2" xfId="9370" xr:uid="{0DA83143-9CE0-4F41-8B24-376BFCE65A89}"/>
    <cellStyle name="Moeda 2 5 5 3 3" xfId="9706" xr:uid="{1F3EB228-2917-4BF4-A35C-B913730E9DE9}"/>
    <cellStyle name="Moeda 2 5 5 4" xfId="9213" xr:uid="{2DD8064B-7B67-4B30-996F-9FBE650D542C}"/>
    <cellStyle name="Moeda 2 5 5 5" xfId="9549" xr:uid="{8736FCC3-A686-4B3E-8EFB-A81F3BEB6D59}"/>
    <cellStyle name="Moeda 2 5 6" xfId="7855" xr:uid="{00000000-0005-0000-0000-00003A0F0000}"/>
    <cellStyle name="Moeda 2 5 6 2" xfId="8937" xr:uid="{00000000-0005-0000-0000-00003B0F0000}"/>
    <cellStyle name="Moeda 2 5 6 2 2" xfId="9101" xr:uid="{00000000-0005-0000-0000-00003C0F0000}"/>
    <cellStyle name="Moeda 2 5 6 2 2 2" xfId="9474" xr:uid="{B14B211B-455B-44EC-87B7-763034FF264C}"/>
    <cellStyle name="Moeda 2 5 6 2 2 3" xfId="9810" xr:uid="{E2936154-CD2E-4579-BAD2-CFA17202F993}"/>
    <cellStyle name="Moeda 2 5 6 2 3" xfId="9320" xr:uid="{983A5608-B41E-4CC1-809E-1C44FCA654D4}"/>
    <cellStyle name="Moeda 2 5 6 2 4" xfId="9656" xr:uid="{073C69BD-0A13-4F4D-9037-9BCAA95092CD}"/>
    <cellStyle name="Moeda 2 5 6 3" xfId="9024" xr:uid="{00000000-0005-0000-0000-00003D0F0000}"/>
    <cellStyle name="Moeda 2 5 6 3 2" xfId="9397" xr:uid="{BBA76062-CC87-486D-B27B-C46F96F80E20}"/>
    <cellStyle name="Moeda 2 5 6 3 3" xfId="9733" xr:uid="{54C54529-C470-476F-A228-E2FF98E0E831}"/>
    <cellStyle name="Moeda 2 5 6 4" xfId="9242" xr:uid="{426DEEC5-96C7-4B1A-84AD-9C5C02BF7A68}"/>
    <cellStyle name="Moeda 2 5 6 5" xfId="9578" xr:uid="{5F037F1B-6336-4F77-9830-AFA400FE9BE3}"/>
    <cellStyle name="Moeda 2 5 7" xfId="8900" xr:uid="{00000000-0005-0000-0000-00003E0F0000}"/>
    <cellStyle name="Moeda 2 5 7 2" xfId="9064" xr:uid="{00000000-0005-0000-0000-00003F0F0000}"/>
    <cellStyle name="Moeda 2 5 7 2 2" xfId="9437" xr:uid="{A253BB06-839B-4257-80B1-FF7D5701E51E}"/>
    <cellStyle name="Moeda 2 5 7 2 3" xfId="9773" xr:uid="{33520ED1-FA7C-40E4-94EC-0689A437E3FD}"/>
    <cellStyle name="Moeda 2 5 7 3" xfId="9283" xr:uid="{8EB419D9-18FE-4D6B-8907-EA025465E3A4}"/>
    <cellStyle name="Moeda 2 5 7 4" xfId="9619" xr:uid="{4C42021E-AF04-4F2D-AD03-B49830985E5B}"/>
    <cellStyle name="Moeda 2 5 8" xfId="8989" xr:uid="{00000000-0005-0000-0000-0000400F0000}"/>
    <cellStyle name="Moeda 2 5 8 2" xfId="9362" xr:uid="{505578B6-98B4-42AA-9CF8-EA6296BF521B}"/>
    <cellStyle name="Moeda 2 5 8 3" xfId="9698" xr:uid="{03760EAF-AFFD-45E1-BE3E-7F4FC2117D2A}"/>
    <cellStyle name="Moeda 2 5 9" xfId="9205" xr:uid="{20E97374-BACD-422F-AAF6-9DAF5125E88A}"/>
    <cellStyle name="Moeda 2 6" xfId="3355" xr:uid="{00000000-0005-0000-0000-0000410F0000}"/>
    <cellStyle name="Moeda 2 6 2" xfId="8921" xr:uid="{00000000-0005-0000-0000-0000420F0000}"/>
    <cellStyle name="Moeda 2 6 2 2" xfId="9085" xr:uid="{00000000-0005-0000-0000-0000430F0000}"/>
    <cellStyle name="Moeda 2 6 2 2 2" xfId="9458" xr:uid="{AC62173E-D381-44B3-88A5-B87BF965FF04}"/>
    <cellStyle name="Moeda 2 6 2 2 3" xfId="9794" xr:uid="{3AA69C3E-84F4-44A8-B829-D5D3F778BAFA}"/>
    <cellStyle name="Moeda 2 6 2 3" xfId="9304" xr:uid="{7653D28E-B33A-4D41-8BAA-60F8C4E86E39}"/>
    <cellStyle name="Moeda 2 6 2 4" xfId="9640" xr:uid="{DDF76CDD-6673-4805-BCE9-2439D1362171}"/>
    <cellStyle name="Moeda 2 6 3" xfId="9010" xr:uid="{00000000-0005-0000-0000-0000440F0000}"/>
    <cellStyle name="Moeda 2 6 3 2" xfId="9383" xr:uid="{6C0F8298-5A53-4224-802D-506A2C1BCD65}"/>
    <cellStyle name="Moeda 2 6 3 3" xfId="9719" xr:uid="{AFF10409-4B64-4BFE-9936-1B1F54070756}"/>
    <cellStyle name="Moeda 2 6 4" xfId="9226" xr:uid="{733D4A0A-ED94-4AF7-BB06-DD54F555D26C}"/>
    <cellStyle name="Moeda 2 6 5" xfId="9562" xr:uid="{DFFB72C4-86E8-4124-BA95-CA78C4644885}"/>
    <cellStyle name="Moeda 2 7" xfId="1087" xr:uid="{00000000-0005-0000-0000-0000450F0000}"/>
    <cellStyle name="Moeda 3" xfId="444" xr:uid="{00000000-0005-0000-0000-0000460F0000}"/>
    <cellStyle name="Moeda 3 2" xfId="445" xr:uid="{00000000-0005-0000-0000-0000470F0000}"/>
    <cellStyle name="Moeda 3 2 2" xfId="9180" xr:uid="{702CD275-021E-457A-A12B-DBEDD8072455}"/>
    <cellStyle name="Moeda 3 2 3" xfId="9516" xr:uid="{FF2DD642-61DC-4FDB-A636-16132FA967DF}"/>
    <cellStyle name="Moeda 3 3" xfId="1088" xr:uid="{00000000-0005-0000-0000-0000480F0000}"/>
    <cellStyle name="Moeda 3 4" xfId="9179" xr:uid="{C405D62F-DA9F-4248-920B-89BE2E4ABBB1}"/>
    <cellStyle name="Moeda 3 5" xfId="9515" xr:uid="{75C5F969-64A0-4C77-83F3-138529277E90}"/>
    <cellStyle name="Moeda 4" xfId="1089" xr:uid="{00000000-0005-0000-0000-0000490F0000}"/>
    <cellStyle name="Moeda 5" xfId="1090" xr:uid="{00000000-0005-0000-0000-00004A0F0000}"/>
    <cellStyle name="Moeda 6" xfId="446" xr:uid="{00000000-0005-0000-0000-00004B0F0000}"/>
    <cellStyle name="Moeda 6 2" xfId="447" xr:uid="{00000000-0005-0000-0000-00004C0F0000}"/>
    <cellStyle name="Moeda 6 2 2" xfId="1093" xr:uid="{00000000-0005-0000-0000-00004D0F0000}"/>
    <cellStyle name="Moeda 6 2 3" xfId="1092" xr:uid="{00000000-0005-0000-0000-00004E0F0000}"/>
    <cellStyle name="Moeda 6 2 4" xfId="9182" xr:uid="{E7BA933C-8C3B-4A2D-B368-5A7BED8685B0}"/>
    <cellStyle name="Moeda 6 2 5" xfId="9518" xr:uid="{C92733F1-ADDF-4037-826C-6685EF36D4CD}"/>
    <cellStyle name="Moeda 6 3" xfId="1091" xr:uid="{00000000-0005-0000-0000-00004F0F0000}"/>
    <cellStyle name="Moeda 6 4" xfId="9181" xr:uid="{5AB8BF0C-EAC3-45E2-A6B6-D1554D3265C0}"/>
    <cellStyle name="Moeda 6 5" xfId="9517" xr:uid="{FD639FBC-11EE-4764-9BFC-60C8F6C1113E}"/>
    <cellStyle name="Moeda 7" xfId="448" xr:uid="{00000000-0005-0000-0000-0000500F0000}"/>
    <cellStyle name="Moeda 7 2" xfId="449" xr:uid="{00000000-0005-0000-0000-0000510F0000}"/>
    <cellStyle name="Moeda 7 2 2" xfId="9184" xr:uid="{38554414-9DA5-42D7-9326-4863E5CDE628}"/>
    <cellStyle name="Moeda 7 2 3" xfId="9520" xr:uid="{0E4FAA92-A5EC-4264-BB4F-583F90AFAA3A}"/>
    <cellStyle name="Moeda 7 3" xfId="1094" xr:uid="{00000000-0005-0000-0000-0000520F0000}"/>
    <cellStyle name="Moeda 7 4" xfId="9183" xr:uid="{985A888D-465B-425F-9703-45C08BBF0054}"/>
    <cellStyle name="Moeda 7 5" xfId="9519" xr:uid="{6C26C939-A7C0-4D16-8A2A-7AF330B7E636}"/>
    <cellStyle name="Moeda 8" xfId="2645" xr:uid="{00000000-0005-0000-0000-0000530F0000}"/>
    <cellStyle name="Moeda 8 10" xfId="9542" xr:uid="{A4DC3A53-71B1-4ABD-BF3E-46FEDBD9CE76}"/>
    <cellStyle name="Moeda 8 2" xfId="2912" xr:uid="{00000000-0005-0000-0000-0000540F0000}"/>
    <cellStyle name="Moeda 8 2 2" xfId="7970" xr:uid="{00000000-0005-0000-0000-0000550F0000}"/>
    <cellStyle name="Moeda 8 2 2 2" xfId="8940" xr:uid="{00000000-0005-0000-0000-0000560F0000}"/>
    <cellStyle name="Moeda 8 2 2 2 2" xfId="9104" xr:uid="{00000000-0005-0000-0000-0000570F0000}"/>
    <cellStyle name="Moeda 8 2 2 2 2 2" xfId="9477" xr:uid="{8FACC1FE-D5A9-4A00-8567-F84B04200964}"/>
    <cellStyle name="Moeda 8 2 2 2 2 3" xfId="9813" xr:uid="{1AFD5211-78DE-4000-8441-F1CD3ED68655}"/>
    <cellStyle name="Moeda 8 2 2 2 3" xfId="9323" xr:uid="{052D5888-ECC4-4B8C-A5D7-86B1C781A45D}"/>
    <cellStyle name="Moeda 8 2 2 2 4" xfId="9659" xr:uid="{F23262A0-5C60-405E-B959-EE63F05C75D2}"/>
    <cellStyle name="Moeda 8 2 2 3" xfId="9027" xr:uid="{00000000-0005-0000-0000-0000580F0000}"/>
    <cellStyle name="Moeda 8 2 2 3 2" xfId="9400" xr:uid="{350EC1A6-C967-483C-8949-DE4E9E1E2BC5}"/>
    <cellStyle name="Moeda 8 2 2 3 3" xfId="9736" xr:uid="{E2F4DD19-7AFC-419D-962E-5B669E1EFF19}"/>
    <cellStyle name="Moeda 8 2 2 4" xfId="9245" xr:uid="{B0DFC27B-0B09-4695-96C7-D514C256E6BC}"/>
    <cellStyle name="Moeda 8 2 2 5" xfId="9581" xr:uid="{224938E8-B835-4BFA-A119-96DF161B48EB}"/>
    <cellStyle name="Moeda 8 2 3" xfId="8909" xr:uid="{00000000-0005-0000-0000-0000590F0000}"/>
    <cellStyle name="Moeda 8 2 3 2" xfId="9073" xr:uid="{00000000-0005-0000-0000-00005A0F0000}"/>
    <cellStyle name="Moeda 8 2 3 2 2" xfId="9446" xr:uid="{E005DCCF-E92A-48D6-9305-2B9B8E4E1E56}"/>
    <cellStyle name="Moeda 8 2 3 2 3" xfId="9782" xr:uid="{2FD6FF54-1F48-4161-8344-E8823E9392F2}"/>
    <cellStyle name="Moeda 8 2 3 3" xfId="9292" xr:uid="{B335331C-BC69-4275-8A48-4847A192F052}"/>
    <cellStyle name="Moeda 8 2 3 4" xfId="9628" xr:uid="{ECF902E7-9347-4431-9814-39323740ACF7}"/>
    <cellStyle name="Moeda 8 2 4" xfId="8998" xr:uid="{00000000-0005-0000-0000-00005B0F0000}"/>
    <cellStyle name="Moeda 8 2 4 2" xfId="9371" xr:uid="{BC1FB08B-BD25-4BBD-93DE-614DD22E5EC0}"/>
    <cellStyle name="Moeda 8 2 4 3" xfId="9707" xr:uid="{DB13D66E-1CF6-40B1-9712-343EF2CCA60C}"/>
    <cellStyle name="Moeda 8 2 5" xfId="9214" xr:uid="{D82287A6-9226-47B4-B832-E58C537745E6}"/>
    <cellStyle name="Moeda 8 2 6" xfId="9550" xr:uid="{D79E709F-FF79-45CB-B543-03869DA18AE1}"/>
    <cellStyle name="Moeda 8 3" xfId="3004" xr:uid="{00000000-0005-0000-0000-00005C0F0000}"/>
    <cellStyle name="Moeda 8 3 2" xfId="8060" xr:uid="{00000000-0005-0000-0000-00005D0F0000}"/>
    <cellStyle name="Moeda 8 3 2 2" xfId="8946" xr:uid="{00000000-0005-0000-0000-00005E0F0000}"/>
    <cellStyle name="Moeda 8 3 2 2 2" xfId="9110" xr:uid="{00000000-0005-0000-0000-00005F0F0000}"/>
    <cellStyle name="Moeda 8 3 2 2 2 2" xfId="9483" xr:uid="{02B65141-DDF0-480E-A060-977C5F2F1435}"/>
    <cellStyle name="Moeda 8 3 2 2 2 3" xfId="9819" xr:uid="{0954280F-BFBD-414D-AC09-662F048E0BE1}"/>
    <cellStyle name="Moeda 8 3 2 2 3" xfId="9329" xr:uid="{AF6B68DA-3FA7-4105-AEB0-9BF08C3C8A2F}"/>
    <cellStyle name="Moeda 8 3 2 2 4" xfId="9665" xr:uid="{340AE874-0390-42D1-8AA6-EC238121264E}"/>
    <cellStyle name="Moeda 8 3 2 3" xfId="9033" xr:uid="{00000000-0005-0000-0000-0000600F0000}"/>
    <cellStyle name="Moeda 8 3 2 3 2" xfId="9406" xr:uid="{9DEC43D4-DDC1-4E75-B579-9C1D28A96E7B}"/>
    <cellStyle name="Moeda 8 3 2 3 3" xfId="9742" xr:uid="{C7F75639-A2F1-40BC-8FDF-C86A16117104}"/>
    <cellStyle name="Moeda 8 3 2 4" xfId="9251" xr:uid="{CFF5ADD9-B592-4813-942D-EAB45151DF99}"/>
    <cellStyle name="Moeda 8 3 2 5" xfId="9587" xr:uid="{E37B6EB5-7058-486F-98CA-8E37A55C0EA8}"/>
    <cellStyle name="Moeda 8 3 3" xfId="8915" xr:uid="{00000000-0005-0000-0000-0000610F0000}"/>
    <cellStyle name="Moeda 8 3 3 2" xfId="9079" xr:uid="{00000000-0005-0000-0000-0000620F0000}"/>
    <cellStyle name="Moeda 8 3 3 2 2" xfId="9452" xr:uid="{C2E34AD0-F916-4E70-AEF6-98D71C10EF7B}"/>
    <cellStyle name="Moeda 8 3 3 2 3" xfId="9788" xr:uid="{94DF10C7-399B-4E90-A198-61A300FC4F4C}"/>
    <cellStyle name="Moeda 8 3 3 3" xfId="9298" xr:uid="{6B1D0FBA-9948-407C-82AF-4A86CF6D3A1A}"/>
    <cellStyle name="Moeda 8 3 3 4" xfId="9634" xr:uid="{69E56929-B045-4FEB-A10F-C94173D06DF3}"/>
    <cellStyle name="Moeda 8 3 4" xfId="9004" xr:uid="{00000000-0005-0000-0000-0000630F0000}"/>
    <cellStyle name="Moeda 8 3 4 2" xfId="9377" xr:uid="{31E66184-E417-4D33-A688-5E35CEB9809C}"/>
    <cellStyle name="Moeda 8 3 4 3" xfId="9713" xr:uid="{E09A5DC0-3E10-45F1-BE55-3EF0595518E3}"/>
    <cellStyle name="Moeda 8 3 5" xfId="9220" xr:uid="{A2B2F95D-65C9-44FD-9524-4B156A0CC40C}"/>
    <cellStyle name="Moeda 8 3 6" xfId="9556" xr:uid="{3BA99CB8-B068-4A33-A6B7-58AC9BF958A4}"/>
    <cellStyle name="Moeda 8 4" xfId="3808" xr:uid="{00000000-0005-0000-0000-0000640F0000}"/>
    <cellStyle name="Moeda 8 4 2" xfId="8719" xr:uid="{00000000-0005-0000-0000-0000650F0000}"/>
    <cellStyle name="Moeda 8 4 2 2" xfId="8955" xr:uid="{00000000-0005-0000-0000-0000660F0000}"/>
    <cellStyle name="Moeda 8 4 2 2 2" xfId="9119" xr:uid="{00000000-0005-0000-0000-0000670F0000}"/>
    <cellStyle name="Moeda 8 4 2 2 2 2" xfId="9492" xr:uid="{5DFC12DA-CF55-464E-8275-E4D2E65CC1ED}"/>
    <cellStyle name="Moeda 8 4 2 2 2 3" xfId="9828" xr:uid="{68FD8D8D-41E1-487D-83A7-DA4CF2586D85}"/>
    <cellStyle name="Moeda 8 4 2 2 3" xfId="9338" xr:uid="{34C2C5A4-0159-4F59-8143-CE1F729AB5E6}"/>
    <cellStyle name="Moeda 8 4 2 2 4" xfId="9674" xr:uid="{05ED4CB5-34C2-4E5B-B4D8-AB211B2D2DE3}"/>
    <cellStyle name="Moeda 8 4 2 3" xfId="9042" xr:uid="{00000000-0005-0000-0000-0000680F0000}"/>
    <cellStyle name="Moeda 8 4 2 3 2" xfId="9415" xr:uid="{D38A8FAE-5E9F-433F-8E5B-053169C80A57}"/>
    <cellStyle name="Moeda 8 4 2 3 3" xfId="9751" xr:uid="{A8FBFE20-A751-452E-84CA-72ADDA73D22D}"/>
    <cellStyle name="Moeda 8 4 2 4" xfId="9260" xr:uid="{361EF5E1-7492-42EF-A6CC-E81AA92C5D6F}"/>
    <cellStyle name="Moeda 8 4 2 5" xfId="9596" xr:uid="{375D1AD4-C539-41C9-8F68-C861ACD2C895}"/>
    <cellStyle name="Moeda 8 4 3" xfId="8929" xr:uid="{00000000-0005-0000-0000-0000690F0000}"/>
    <cellStyle name="Moeda 8 4 3 2" xfId="9093" xr:uid="{00000000-0005-0000-0000-00006A0F0000}"/>
    <cellStyle name="Moeda 8 4 3 2 2" xfId="9466" xr:uid="{AFF927FA-621B-444A-82A4-A06A022DD541}"/>
    <cellStyle name="Moeda 8 4 3 2 3" xfId="9802" xr:uid="{E2FCB87C-1BFA-404D-8744-E81B05A862D1}"/>
    <cellStyle name="Moeda 8 4 3 3" xfId="9312" xr:uid="{D66C7ABF-437F-4081-8453-2946C60D8A74}"/>
    <cellStyle name="Moeda 8 4 3 4" xfId="9648" xr:uid="{8D534DA8-F005-46B2-9781-47BDDBB7F8BB}"/>
    <cellStyle name="Moeda 8 4 4" xfId="9016" xr:uid="{00000000-0005-0000-0000-00006B0F0000}"/>
    <cellStyle name="Moeda 8 4 4 2" xfId="9389" xr:uid="{A9A5D29E-3CDA-492D-8E4D-58BD7E2340D2}"/>
    <cellStyle name="Moeda 8 4 4 3" xfId="9725" xr:uid="{210B9679-4426-40BF-BE55-A620A5106C5B}"/>
    <cellStyle name="Moeda 8 4 5" xfId="9234" xr:uid="{0448B6E7-8EF1-45C1-B353-626B55FA3A06}"/>
    <cellStyle name="Moeda 8 4 6" xfId="9570" xr:uid="{10064A77-7B82-4562-805E-396F704162B7}"/>
    <cellStyle name="Moeda 8 5" xfId="2803" xr:uid="{00000000-0005-0000-0000-00006C0F0000}"/>
    <cellStyle name="Moeda 8 5 2" xfId="8903" xr:uid="{00000000-0005-0000-0000-00006D0F0000}"/>
    <cellStyle name="Moeda 8 5 2 2" xfId="9067" xr:uid="{00000000-0005-0000-0000-00006E0F0000}"/>
    <cellStyle name="Moeda 8 5 2 2 2" xfId="9440" xr:uid="{F84CCF05-5126-4B30-9E03-26B941E431F8}"/>
    <cellStyle name="Moeda 8 5 2 2 3" xfId="9776" xr:uid="{548464D8-F4AB-4291-B1CE-C2E9F7BCBCE8}"/>
    <cellStyle name="Moeda 8 5 2 3" xfId="9286" xr:uid="{96434A18-C9E1-4AB4-881B-AF67BBC12F8A}"/>
    <cellStyle name="Moeda 8 5 2 4" xfId="9622" xr:uid="{98498D58-F84E-419C-825B-BC91F99F8154}"/>
    <cellStyle name="Moeda 8 5 3" xfId="8992" xr:uid="{00000000-0005-0000-0000-00006F0F0000}"/>
    <cellStyle name="Moeda 8 5 3 2" xfId="9365" xr:uid="{E8B9DBC6-29D8-49D2-BB07-EEEC65C7284F}"/>
    <cellStyle name="Moeda 8 5 3 3" xfId="9701" xr:uid="{4EA07194-AE50-4D64-AC0C-797A0A2A1FE9}"/>
    <cellStyle name="Moeda 8 5 4" xfId="9208" xr:uid="{C73904E5-F31A-488C-A513-581D0C8B5F7E}"/>
    <cellStyle name="Moeda 8 5 5" xfId="9544" xr:uid="{888C0875-A39E-42EB-8A54-CF36454ACC26}"/>
    <cellStyle name="Moeda 8 6" xfId="7856" xr:uid="{00000000-0005-0000-0000-0000700F0000}"/>
    <cellStyle name="Moeda 8 6 2" xfId="8938" xr:uid="{00000000-0005-0000-0000-0000710F0000}"/>
    <cellStyle name="Moeda 8 6 2 2" xfId="9102" xr:uid="{00000000-0005-0000-0000-0000720F0000}"/>
    <cellStyle name="Moeda 8 6 2 2 2" xfId="9475" xr:uid="{946055EC-3571-4C1D-8EFF-07C0E0B7B5A2}"/>
    <cellStyle name="Moeda 8 6 2 2 3" xfId="9811" xr:uid="{F0233EF8-2EF9-4223-A84A-835E7F35D8AD}"/>
    <cellStyle name="Moeda 8 6 2 3" xfId="9321" xr:uid="{9D921154-9223-4AFE-951D-47F9E138530A}"/>
    <cellStyle name="Moeda 8 6 2 4" xfId="9657" xr:uid="{661CBB39-E7F1-4504-BD13-D9D36A871912}"/>
    <cellStyle name="Moeda 8 6 3" xfId="9025" xr:uid="{00000000-0005-0000-0000-0000730F0000}"/>
    <cellStyle name="Moeda 8 6 3 2" xfId="9398" xr:uid="{48151CEF-9B55-4E60-8FAE-3BBE4634F14A}"/>
    <cellStyle name="Moeda 8 6 3 3" xfId="9734" xr:uid="{1FA3D580-41B8-495B-B4F5-FF9E27E011BA}"/>
    <cellStyle name="Moeda 8 6 4" xfId="9243" xr:uid="{D06CA4A7-8F05-4528-83D4-B5FFB0D53B67}"/>
    <cellStyle name="Moeda 8 6 5" xfId="9579" xr:uid="{9C96043B-4F51-429A-BB6F-694D20013029}"/>
    <cellStyle name="Moeda 8 7" xfId="8901" xr:uid="{00000000-0005-0000-0000-0000740F0000}"/>
    <cellStyle name="Moeda 8 7 2" xfId="9065" xr:uid="{00000000-0005-0000-0000-0000750F0000}"/>
    <cellStyle name="Moeda 8 7 2 2" xfId="9438" xr:uid="{BAD620B6-2020-4F4F-A2C2-F7D4D9FE16E0}"/>
    <cellStyle name="Moeda 8 7 2 3" xfId="9774" xr:uid="{1715D132-6682-4362-BB36-A529A1EA8542}"/>
    <cellStyle name="Moeda 8 7 3" xfId="9284" xr:uid="{31C4E58D-E3DE-4CC8-A941-FA9062514990}"/>
    <cellStyle name="Moeda 8 7 4" xfId="9620" xr:uid="{8660C66B-A025-4A0E-8E1A-520D3D4F5EEB}"/>
    <cellStyle name="Moeda 8 8" xfId="8990" xr:uid="{00000000-0005-0000-0000-0000760F0000}"/>
    <cellStyle name="Moeda 8 8 2" xfId="9363" xr:uid="{3AE7AB4F-E969-47BB-A90D-501B5D42FC93}"/>
    <cellStyle name="Moeda 8 8 3" xfId="9699" xr:uid="{18E49EDC-7F39-4813-8E48-E3E92D45416A}"/>
    <cellStyle name="Moeda 8 9" xfId="9206" xr:uid="{7770DD80-25D7-43DA-B474-88F148A1206C}"/>
    <cellStyle name="Moeda 9" xfId="450" xr:uid="{00000000-0005-0000-0000-0000770F0000}"/>
    <cellStyle name="Moeda 9 10" xfId="9185" xr:uid="{B1D64D48-8B94-4A06-A375-D283877D5589}"/>
    <cellStyle name="Moeda 9 11" xfId="9521" xr:uid="{BB6B8362-4770-4F0D-8BAE-A189C3769981}"/>
    <cellStyle name="Moeda 9 2" xfId="451" xr:uid="{00000000-0005-0000-0000-0000780F0000}"/>
    <cellStyle name="Moeda 9 2 2" xfId="7983" xr:uid="{00000000-0005-0000-0000-0000790F0000}"/>
    <cellStyle name="Moeda 9 2 2 2" xfId="8941" xr:uid="{00000000-0005-0000-0000-00007A0F0000}"/>
    <cellStyle name="Moeda 9 2 2 2 2" xfId="9105" xr:uid="{00000000-0005-0000-0000-00007B0F0000}"/>
    <cellStyle name="Moeda 9 2 2 2 2 2" xfId="9478" xr:uid="{A946055E-7EF1-4761-91A2-19E586E31FBF}"/>
    <cellStyle name="Moeda 9 2 2 2 2 3" xfId="9814" xr:uid="{A77AEF73-4A44-4675-8B2E-47013EB2508F}"/>
    <cellStyle name="Moeda 9 2 2 2 3" xfId="9324" xr:uid="{4C7B6FC8-0E46-4E79-A59C-B5CD550BD98D}"/>
    <cellStyle name="Moeda 9 2 2 2 4" xfId="9660" xr:uid="{C96D44E5-52AB-4DC8-AA86-D4BF855182FF}"/>
    <cellStyle name="Moeda 9 2 2 3" xfId="9028" xr:uid="{00000000-0005-0000-0000-00007C0F0000}"/>
    <cellStyle name="Moeda 9 2 2 3 2" xfId="9401" xr:uid="{03EDC0DA-CE94-4E84-8615-CEAD5192F172}"/>
    <cellStyle name="Moeda 9 2 2 3 3" xfId="9737" xr:uid="{72723E19-CA7A-488E-A28D-4E9B51330819}"/>
    <cellStyle name="Moeda 9 2 2 4" xfId="9246" xr:uid="{3302327D-784B-4F94-AADC-EB20446563BF}"/>
    <cellStyle name="Moeda 9 2 2 5" xfId="9582" xr:uid="{62566B9D-0B48-48B8-AA3B-E43D1619681B}"/>
    <cellStyle name="Moeda 9 2 3" xfId="8910" xr:uid="{00000000-0005-0000-0000-00007D0F0000}"/>
    <cellStyle name="Moeda 9 2 3 2" xfId="9074" xr:uid="{00000000-0005-0000-0000-00007E0F0000}"/>
    <cellStyle name="Moeda 9 2 3 2 2" xfId="9447" xr:uid="{A0B7DC72-D9F5-4039-934D-1A7870052E2A}"/>
    <cellStyle name="Moeda 9 2 3 2 3" xfId="9783" xr:uid="{E4B57DDD-2776-4738-A903-7061E30B9137}"/>
    <cellStyle name="Moeda 9 2 3 3" xfId="9293" xr:uid="{8B13D977-A38C-4321-BDB0-8A10F887C685}"/>
    <cellStyle name="Moeda 9 2 3 4" xfId="9629" xr:uid="{220D9817-69FB-49F5-9011-363F64802B74}"/>
    <cellStyle name="Moeda 9 2 4" xfId="8999" xr:uid="{00000000-0005-0000-0000-00007F0F0000}"/>
    <cellStyle name="Moeda 9 2 4 2" xfId="9372" xr:uid="{EE4F189D-1DA8-43DC-9290-2457214EE4F2}"/>
    <cellStyle name="Moeda 9 2 4 3" xfId="9708" xr:uid="{0BB6A93A-664F-4312-BF66-B0C6A8441B20}"/>
    <cellStyle name="Moeda 9 2 5" xfId="2926" xr:uid="{00000000-0005-0000-0000-0000800F0000}"/>
    <cellStyle name="Moeda 9 2 5 2" xfId="9215" xr:uid="{060E5A97-0311-4FA3-9AF3-1DB349EF4475}"/>
    <cellStyle name="Moeda 9 2 5 3" xfId="9551" xr:uid="{052B51BD-FC89-4025-9E8F-367C3CC01B99}"/>
    <cellStyle name="Moeda 9 2 6" xfId="9186" xr:uid="{6BABF5F7-424D-4A9A-948E-14CF64907833}"/>
    <cellStyle name="Moeda 9 2 7" xfId="9522" xr:uid="{CB7E85E4-731F-4ED4-ACC6-4EFEE68D4C25}"/>
    <cellStyle name="Moeda 9 3" xfId="3019" xr:uid="{00000000-0005-0000-0000-0000810F0000}"/>
    <cellStyle name="Moeda 9 3 2" xfId="8075" xr:uid="{00000000-0005-0000-0000-0000820F0000}"/>
    <cellStyle name="Moeda 9 3 2 2" xfId="8947" xr:uid="{00000000-0005-0000-0000-0000830F0000}"/>
    <cellStyle name="Moeda 9 3 2 2 2" xfId="9111" xr:uid="{00000000-0005-0000-0000-0000840F0000}"/>
    <cellStyle name="Moeda 9 3 2 2 2 2" xfId="9484" xr:uid="{FCEDD0C0-39FB-438E-BAAD-AD75DB52FC92}"/>
    <cellStyle name="Moeda 9 3 2 2 2 3" xfId="9820" xr:uid="{FD59FB7A-1143-4CA3-9762-62C6C7182152}"/>
    <cellStyle name="Moeda 9 3 2 2 3" xfId="9330" xr:uid="{1CA50135-527B-4804-A608-25FD75C3F655}"/>
    <cellStyle name="Moeda 9 3 2 2 4" xfId="9666" xr:uid="{02DE3E6B-3EA5-401E-B5CB-3263FCCCDA03}"/>
    <cellStyle name="Moeda 9 3 2 3" xfId="9034" xr:uid="{00000000-0005-0000-0000-0000850F0000}"/>
    <cellStyle name="Moeda 9 3 2 3 2" xfId="9407" xr:uid="{1CE6FF0C-D4DF-4719-B455-971B3CCA03BD}"/>
    <cellStyle name="Moeda 9 3 2 3 3" xfId="9743" xr:uid="{0E4ADD42-C79D-4829-BDD0-980EDE874F71}"/>
    <cellStyle name="Moeda 9 3 2 4" xfId="9252" xr:uid="{BDBE92B9-837A-48B7-9A72-F65BA58BE7D0}"/>
    <cellStyle name="Moeda 9 3 2 5" xfId="9588" xr:uid="{6972FC93-260B-466B-99B6-49AD89D3C8C7}"/>
    <cellStyle name="Moeda 9 3 3" xfId="8916" xr:uid="{00000000-0005-0000-0000-0000860F0000}"/>
    <cellStyle name="Moeda 9 3 3 2" xfId="9080" xr:uid="{00000000-0005-0000-0000-0000870F0000}"/>
    <cellStyle name="Moeda 9 3 3 2 2" xfId="9453" xr:uid="{6BE313B7-EF17-46D1-AEA8-6C6A632D10E4}"/>
    <cellStyle name="Moeda 9 3 3 2 3" xfId="9789" xr:uid="{97DC5CE3-3D1E-4F74-B215-848741DAB9FA}"/>
    <cellStyle name="Moeda 9 3 3 3" xfId="9299" xr:uid="{10DC0F89-11B2-48B6-8AEE-6BE489AE7073}"/>
    <cellStyle name="Moeda 9 3 3 4" xfId="9635" xr:uid="{74BA6571-D74C-4A08-B253-060881FC8FF3}"/>
    <cellStyle name="Moeda 9 3 4" xfId="9005" xr:uid="{00000000-0005-0000-0000-0000880F0000}"/>
    <cellStyle name="Moeda 9 3 4 2" xfId="9378" xr:uid="{8D534F2B-8678-49A5-89BD-0004A21F158D}"/>
    <cellStyle name="Moeda 9 3 4 3" xfId="9714" xr:uid="{5C425681-8E09-4EFF-8B90-7BB9CDE81A0D}"/>
    <cellStyle name="Moeda 9 3 5" xfId="9221" xr:uid="{FA9830E3-C410-4B22-A66D-B3D7168638DE}"/>
    <cellStyle name="Moeda 9 3 6" xfId="9557" xr:uid="{A9CE5B53-BE63-474F-B7A3-EBEF50F61AA9}"/>
    <cellStyle name="Moeda 9 4" xfId="3733" xr:uid="{00000000-0005-0000-0000-0000890F0000}"/>
    <cellStyle name="Moeda 9 4 2" xfId="8647" xr:uid="{00000000-0005-0000-0000-00008A0F0000}"/>
    <cellStyle name="Moeda 9 4 2 2" xfId="8953" xr:uid="{00000000-0005-0000-0000-00008B0F0000}"/>
    <cellStyle name="Moeda 9 4 2 2 2" xfId="9117" xr:uid="{00000000-0005-0000-0000-00008C0F0000}"/>
    <cellStyle name="Moeda 9 4 2 2 2 2" xfId="9490" xr:uid="{29AF3452-410C-417F-A120-DD2E361E9AD1}"/>
    <cellStyle name="Moeda 9 4 2 2 2 3" xfId="9826" xr:uid="{8DC7DADF-2B54-4CD8-83BE-32D2DD4A363C}"/>
    <cellStyle name="Moeda 9 4 2 2 3" xfId="9336" xr:uid="{1DE7FC57-3F0F-4106-8768-C6A78DAA4200}"/>
    <cellStyle name="Moeda 9 4 2 2 4" xfId="9672" xr:uid="{0391DCDF-BA15-4DAB-B7C9-1E0211C505F0}"/>
    <cellStyle name="Moeda 9 4 2 3" xfId="9040" xr:uid="{00000000-0005-0000-0000-00008D0F0000}"/>
    <cellStyle name="Moeda 9 4 2 3 2" xfId="9413" xr:uid="{7D81150C-F6D2-40D8-B8FA-B684CF73D6DB}"/>
    <cellStyle name="Moeda 9 4 2 3 3" xfId="9749" xr:uid="{A5074302-3600-43CD-9092-4DA60AAE0A34}"/>
    <cellStyle name="Moeda 9 4 2 4" xfId="9258" xr:uid="{CC8FAE12-CD9A-43DD-8850-436F73173951}"/>
    <cellStyle name="Moeda 9 4 2 5" xfId="9594" xr:uid="{0FEB122C-A689-4D23-826C-ADCE239A8987}"/>
    <cellStyle name="Moeda 9 4 3" xfId="8926" xr:uid="{00000000-0005-0000-0000-00008E0F0000}"/>
    <cellStyle name="Moeda 9 4 3 2" xfId="9090" xr:uid="{00000000-0005-0000-0000-00008F0F0000}"/>
    <cellStyle name="Moeda 9 4 3 2 2" xfId="9463" xr:uid="{AB697B72-F18F-426C-A278-621FD30FD802}"/>
    <cellStyle name="Moeda 9 4 3 2 3" xfId="9799" xr:uid="{21362690-7A6F-4BB4-BCEE-256D5691A425}"/>
    <cellStyle name="Moeda 9 4 3 3" xfId="9309" xr:uid="{ABCF8692-1A97-470B-B1DC-EF5939F5FE0C}"/>
    <cellStyle name="Moeda 9 4 3 4" xfId="9645" xr:uid="{8740DA7F-C142-4EFA-911E-3D62C543C2A0}"/>
    <cellStyle name="Moeda 9 4 4" xfId="9013" xr:uid="{00000000-0005-0000-0000-0000900F0000}"/>
    <cellStyle name="Moeda 9 4 4 2" xfId="9386" xr:uid="{AAD25EA7-BB5E-4626-BDE5-4543C79237A8}"/>
    <cellStyle name="Moeda 9 4 4 3" xfId="9722" xr:uid="{7D2ABE73-917B-441F-A3B4-7B21061BB9A5}"/>
    <cellStyle name="Moeda 9 4 5" xfId="9231" xr:uid="{2F7DE599-1E40-46A6-8092-087F8C19A416}"/>
    <cellStyle name="Moeda 9 4 6" xfId="9567" xr:uid="{8B13E079-6416-4B96-BC46-BFF5FED8A040}"/>
    <cellStyle name="Moeda 9 5" xfId="2820" xr:uid="{00000000-0005-0000-0000-0000910F0000}"/>
    <cellStyle name="Moeda 9 5 2" xfId="8904" xr:uid="{00000000-0005-0000-0000-0000920F0000}"/>
    <cellStyle name="Moeda 9 5 2 2" xfId="9068" xr:uid="{00000000-0005-0000-0000-0000930F0000}"/>
    <cellStyle name="Moeda 9 5 2 2 2" xfId="9441" xr:uid="{CAAD1CAF-12A3-4ACA-9961-6BDB7FEA5915}"/>
    <cellStyle name="Moeda 9 5 2 2 3" xfId="9777" xr:uid="{C3DC4E50-75C6-45AF-8AD6-7CF87C99F0E5}"/>
    <cellStyle name="Moeda 9 5 2 3" xfId="9287" xr:uid="{04F3BF1E-4E14-43E5-BC4C-B3D0F509C186}"/>
    <cellStyle name="Moeda 9 5 2 4" xfId="9623" xr:uid="{0FBE178C-B67F-4199-9A32-3A50BCFF9952}"/>
    <cellStyle name="Moeda 9 5 3" xfId="8993" xr:uid="{00000000-0005-0000-0000-0000940F0000}"/>
    <cellStyle name="Moeda 9 5 3 2" xfId="9366" xr:uid="{5164F0E1-6F4C-4754-8D63-93201012985D}"/>
    <cellStyle name="Moeda 9 5 3 3" xfId="9702" xr:uid="{812C1596-CF8E-47D7-B6C4-D12DAF35CDB1}"/>
    <cellStyle name="Moeda 9 5 4" xfId="9209" xr:uid="{2E8A2B30-7E03-4521-9C47-AA5F49575EFD}"/>
    <cellStyle name="Moeda 9 5 5" xfId="9545" xr:uid="{6EE371FB-4606-4865-B4E6-C79B1A6BDC92}"/>
    <cellStyle name="Moeda 9 6" xfId="7857" xr:uid="{00000000-0005-0000-0000-0000950F0000}"/>
    <cellStyle name="Moeda 9 6 2" xfId="8939" xr:uid="{00000000-0005-0000-0000-0000960F0000}"/>
    <cellStyle name="Moeda 9 6 2 2" xfId="9103" xr:uid="{00000000-0005-0000-0000-0000970F0000}"/>
    <cellStyle name="Moeda 9 6 2 2 2" xfId="9476" xr:uid="{294DC0DF-35D9-4AA4-9D0E-83F46597639C}"/>
    <cellStyle name="Moeda 9 6 2 2 3" xfId="9812" xr:uid="{538B72C1-F0B9-4A5B-A623-1920093220DA}"/>
    <cellStyle name="Moeda 9 6 2 3" xfId="9322" xr:uid="{AB3531FD-FD64-40CE-B783-0FAE0EEF6037}"/>
    <cellStyle name="Moeda 9 6 2 4" xfId="9658" xr:uid="{F3FCC9DF-47D0-44B4-97F0-4DDC1D9F30F6}"/>
    <cellStyle name="Moeda 9 6 3" xfId="9026" xr:uid="{00000000-0005-0000-0000-0000980F0000}"/>
    <cellStyle name="Moeda 9 6 3 2" xfId="9399" xr:uid="{78D743E5-3C4C-4968-AEA5-EB25C3CD6BC7}"/>
    <cellStyle name="Moeda 9 6 3 3" xfId="9735" xr:uid="{F22832AB-B5DE-4617-AA6E-F2C2560BEA62}"/>
    <cellStyle name="Moeda 9 6 4" xfId="9244" xr:uid="{EE284F4B-9203-4035-A0EE-0822C26B039E}"/>
    <cellStyle name="Moeda 9 6 5" xfId="9580" xr:uid="{1145FFD5-2BD0-46DE-8D2D-EB4CCD65E1FE}"/>
    <cellStyle name="Moeda 9 7" xfId="8902" xr:uid="{00000000-0005-0000-0000-0000990F0000}"/>
    <cellStyle name="Moeda 9 7 2" xfId="9066" xr:uid="{00000000-0005-0000-0000-00009A0F0000}"/>
    <cellStyle name="Moeda 9 7 2 2" xfId="9439" xr:uid="{B2559190-9DE5-437B-BCBA-1E9E30FDE672}"/>
    <cellStyle name="Moeda 9 7 2 3" xfId="9775" xr:uid="{B34B3CD5-C666-416C-9515-2BC454A9A0E6}"/>
    <cellStyle name="Moeda 9 7 3" xfId="9285" xr:uid="{70DE6E6C-E8C7-4B5C-9D15-FB624E8D248F}"/>
    <cellStyle name="Moeda 9 7 4" xfId="9621" xr:uid="{29B83BE8-5C5E-4053-81B4-7FFA662E4E41}"/>
    <cellStyle name="Moeda 9 8" xfId="8991" xr:uid="{00000000-0005-0000-0000-00009B0F0000}"/>
    <cellStyle name="Moeda 9 8 2" xfId="9364" xr:uid="{427A296D-BF2F-46C2-A537-B30DF43AA0EE}"/>
    <cellStyle name="Moeda 9 8 3" xfId="9700" xr:uid="{471B21FF-98B7-4BDA-A7B7-ACC57F37B8A2}"/>
    <cellStyle name="Moeda 9 9" xfId="2646" xr:uid="{00000000-0005-0000-0000-00009C0F0000}"/>
    <cellStyle name="Moeda 9 9 2" xfId="9207" xr:uid="{784E127B-224D-4EF7-BE77-6E0E51C2A4BA}"/>
    <cellStyle name="Moeda 9 9 3" xfId="9543" xr:uid="{E69DAA3F-929F-4ECA-BFDD-5D9BE2ED6479}"/>
    <cellStyle name="Moneda_CALDERA.XLC" xfId="452" xr:uid="{00000000-0005-0000-0000-00009D0F0000}"/>
    <cellStyle name="Monétaire [0]_CONV" xfId="8783" xr:uid="{00000000-0005-0000-0000-00009E0F0000}"/>
    <cellStyle name="Monétaire_CONV" xfId="8784" xr:uid="{00000000-0005-0000-0000-00009F0F0000}"/>
    <cellStyle name="montantes" xfId="453" xr:uid="{00000000-0005-0000-0000-0000A00F0000}"/>
    <cellStyle name="Named Range" xfId="454" xr:uid="{00000000-0005-0000-0000-0000A10F0000}"/>
    <cellStyle name="Named Range Tag" xfId="455" xr:uid="{00000000-0005-0000-0000-0000A20F0000}"/>
    <cellStyle name="Neutral" xfId="456" xr:uid="{00000000-0005-0000-0000-0000A30F0000}"/>
    <cellStyle name="Neutral 10" xfId="2117" xr:uid="{00000000-0005-0000-0000-0000A40F0000}"/>
    <cellStyle name="Neutral 2" xfId="1095" xr:uid="{00000000-0005-0000-0000-0000A50F0000}"/>
    <cellStyle name="Neutral 2 2" xfId="3576" xr:uid="{00000000-0005-0000-0000-0000A60F0000}"/>
    <cellStyle name="Neutral 2 2 2" xfId="5188" xr:uid="{00000000-0005-0000-0000-0000A70F0000}"/>
    <cellStyle name="Neutral 2 2 3" xfId="8560" xr:uid="{00000000-0005-0000-0000-0000A80F0000}"/>
    <cellStyle name="Neutral 2 3" xfId="3357" xr:uid="{00000000-0005-0000-0000-0000A90F0000}"/>
    <cellStyle name="Neutral 2 3 2" xfId="4987" xr:uid="{00000000-0005-0000-0000-0000AA0F0000}"/>
    <cellStyle name="Neutral 2 3 3" xfId="8391" xr:uid="{00000000-0005-0000-0000-0000AB0F0000}"/>
    <cellStyle name="Neutral 2 4" xfId="4049" xr:uid="{00000000-0005-0000-0000-0000AC0F0000}"/>
    <cellStyle name="Neutral 2 5" xfId="6367" xr:uid="{00000000-0005-0000-0000-0000AD0F0000}"/>
    <cellStyle name="Neutral 3" xfId="3358" xr:uid="{00000000-0005-0000-0000-0000AE0F0000}"/>
    <cellStyle name="Neutral 3 2" xfId="4988" xr:uid="{00000000-0005-0000-0000-0000AF0F0000}"/>
    <cellStyle name="Neutral 3 3" xfId="8392" xr:uid="{00000000-0005-0000-0000-0000B00F0000}"/>
    <cellStyle name="Neutral 4" xfId="3359" xr:uid="{00000000-0005-0000-0000-0000B10F0000}"/>
    <cellStyle name="Neutral 4 2" xfId="4989" xr:uid="{00000000-0005-0000-0000-0000B20F0000}"/>
    <cellStyle name="Neutral 4 3" xfId="8393" xr:uid="{00000000-0005-0000-0000-0000B30F0000}"/>
    <cellStyle name="Neutral 5" xfId="3360" xr:uid="{00000000-0005-0000-0000-0000B40F0000}"/>
    <cellStyle name="Neutral 5 2" xfId="4990" xr:uid="{00000000-0005-0000-0000-0000B50F0000}"/>
    <cellStyle name="Neutral 5 3" xfId="8394" xr:uid="{00000000-0005-0000-0000-0000B60F0000}"/>
    <cellStyle name="Neutral 6" xfId="3361" xr:uid="{00000000-0005-0000-0000-0000B70F0000}"/>
    <cellStyle name="Neutral 6 2" xfId="4991" xr:uid="{00000000-0005-0000-0000-0000B80F0000}"/>
    <cellStyle name="Neutral 6 3" xfId="8395" xr:uid="{00000000-0005-0000-0000-0000B90F0000}"/>
    <cellStyle name="Neutral 7" xfId="3356" xr:uid="{00000000-0005-0000-0000-0000BA0F0000}"/>
    <cellStyle name="Neutral 7 2" xfId="4986" xr:uid="{00000000-0005-0000-0000-0000BB0F0000}"/>
    <cellStyle name="Neutral 7 3" xfId="8390" xr:uid="{00000000-0005-0000-0000-0000BC0F0000}"/>
    <cellStyle name="Neutral 8" xfId="4048" xr:uid="{00000000-0005-0000-0000-0000BD0F0000}"/>
    <cellStyle name="Neutral 9" xfId="7360" xr:uid="{00000000-0005-0000-0000-0000BE0F0000}"/>
    <cellStyle name="Neutro 2" xfId="457" xr:uid="{00000000-0005-0000-0000-0000BF0F0000}"/>
    <cellStyle name="Neutro 2 2" xfId="6286" xr:uid="{00000000-0005-0000-0000-0000C00F0000}"/>
    <cellStyle name="Neutro 3" xfId="458" xr:uid="{00000000-0005-0000-0000-0000C10F0000}"/>
    <cellStyle name="Neutro 3 2" xfId="1004" xr:uid="{00000000-0005-0000-0000-0000C20F0000}"/>
    <cellStyle name="Neutro 4" xfId="459" xr:uid="{00000000-0005-0000-0000-0000C30F0000}"/>
    <cellStyle name="Normal" xfId="0" builtinId="0"/>
    <cellStyle name="Normal - Style1" xfId="460" xr:uid="{00000000-0005-0000-0000-0000C50F0000}"/>
    <cellStyle name="Normal [1]" xfId="461" xr:uid="{00000000-0005-0000-0000-0000C60F0000}"/>
    <cellStyle name="Normal [2]" xfId="462" xr:uid="{00000000-0005-0000-0000-0000C70F0000}"/>
    <cellStyle name="Normal [3]" xfId="463" xr:uid="{00000000-0005-0000-0000-0000C80F0000}"/>
    <cellStyle name="Normal 10" xfId="464" xr:uid="{00000000-0005-0000-0000-0000C90F0000}"/>
    <cellStyle name="Normal 10 10" xfId="465" xr:uid="{00000000-0005-0000-0000-0000CA0F0000}"/>
    <cellStyle name="Normal 10 10 2" xfId="4050" xr:uid="{00000000-0005-0000-0000-0000CB0F0000}"/>
    <cellStyle name="Normal 10 10 3" xfId="7432" xr:uid="{00000000-0005-0000-0000-0000CC0F0000}"/>
    <cellStyle name="Normal 10 10 4" xfId="2199" xr:uid="{00000000-0005-0000-0000-0000CD0F0000}"/>
    <cellStyle name="Normal 10 11" xfId="466" xr:uid="{00000000-0005-0000-0000-0000CE0F0000}"/>
    <cellStyle name="Normal 10 11 2" xfId="4051" xr:uid="{00000000-0005-0000-0000-0000CF0F0000}"/>
    <cellStyle name="Normal 10 11 3" xfId="7433" xr:uid="{00000000-0005-0000-0000-0000D00F0000}"/>
    <cellStyle name="Normal 10 11 4" xfId="2200" xr:uid="{00000000-0005-0000-0000-0000D10F0000}"/>
    <cellStyle name="Normal 10 12" xfId="467" xr:uid="{00000000-0005-0000-0000-0000D20F0000}"/>
    <cellStyle name="Normal 10 12 2" xfId="4052" xr:uid="{00000000-0005-0000-0000-0000D30F0000}"/>
    <cellStyle name="Normal 10 12 3" xfId="7434" xr:uid="{00000000-0005-0000-0000-0000D40F0000}"/>
    <cellStyle name="Normal 10 12 4" xfId="2201" xr:uid="{00000000-0005-0000-0000-0000D50F0000}"/>
    <cellStyle name="Normal 10 13" xfId="468" xr:uid="{00000000-0005-0000-0000-0000D60F0000}"/>
    <cellStyle name="Normal 10 13 2" xfId="4053" xr:uid="{00000000-0005-0000-0000-0000D70F0000}"/>
    <cellStyle name="Normal 10 13 3" xfId="7435" xr:uid="{00000000-0005-0000-0000-0000D80F0000}"/>
    <cellStyle name="Normal 10 13 4" xfId="2202" xr:uid="{00000000-0005-0000-0000-0000D90F0000}"/>
    <cellStyle name="Normal 10 14" xfId="2203" xr:uid="{00000000-0005-0000-0000-0000DA0F0000}"/>
    <cellStyle name="Normal 10 14 2" xfId="4054" xr:uid="{00000000-0005-0000-0000-0000DB0F0000}"/>
    <cellStyle name="Normal 10 14 3" xfId="7436" xr:uid="{00000000-0005-0000-0000-0000DC0F0000}"/>
    <cellStyle name="Normal 10 15" xfId="2204" xr:uid="{00000000-0005-0000-0000-0000DD0F0000}"/>
    <cellStyle name="Normal 10 15 2" xfId="4055" xr:uid="{00000000-0005-0000-0000-0000DE0F0000}"/>
    <cellStyle name="Normal 10 15 3" xfId="7437" xr:uid="{00000000-0005-0000-0000-0000DF0F0000}"/>
    <cellStyle name="Normal 10 16" xfId="2205" xr:uid="{00000000-0005-0000-0000-0000E00F0000}"/>
    <cellStyle name="Normal 10 16 2" xfId="4056" xr:uid="{00000000-0005-0000-0000-0000E10F0000}"/>
    <cellStyle name="Normal 10 16 3" xfId="7438" xr:uid="{00000000-0005-0000-0000-0000E20F0000}"/>
    <cellStyle name="Normal 10 17" xfId="2206" xr:uid="{00000000-0005-0000-0000-0000E30F0000}"/>
    <cellStyle name="Normal 10 17 2" xfId="4057" xr:uid="{00000000-0005-0000-0000-0000E40F0000}"/>
    <cellStyle name="Normal 10 17 3" xfId="7439" xr:uid="{00000000-0005-0000-0000-0000E50F0000}"/>
    <cellStyle name="Normal 10 18" xfId="2207" xr:uid="{00000000-0005-0000-0000-0000E60F0000}"/>
    <cellStyle name="Normal 10 18 2" xfId="4058" xr:uid="{00000000-0005-0000-0000-0000E70F0000}"/>
    <cellStyle name="Normal 10 18 3" xfId="7440" xr:uid="{00000000-0005-0000-0000-0000E80F0000}"/>
    <cellStyle name="Normal 10 19" xfId="2208" xr:uid="{00000000-0005-0000-0000-0000E90F0000}"/>
    <cellStyle name="Normal 10 19 2" xfId="4059" xr:uid="{00000000-0005-0000-0000-0000EA0F0000}"/>
    <cellStyle name="Normal 10 19 3" xfId="7441" xr:uid="{00000000-0005-0000-0000-0000EB0F0000}"/>
    <cellStyle name="Normal 10 2" xfId="469" xr:uid="{00000000-0005-0000-0000-0000EC0F0000}"/>
    <cellStyle name="Normal 10 2 10" xfId="6458" xr:uid="{00000000-0005-0000-0000-0000ED0F0000}"/>
    <cellStyle name="Normal 10 2 11" xfId="1206" xr:uid="{00000000-0005-0000-0000-0000EE0F0000}"/>
    <cellStyle name="Normal 10 2 2" xfId="1277" xr:uid="{00000000-0005-0000-0000-0000EF0F0000}"/>
    <cellStyle name="Normal 10 2 2 2" xfId="1549" xr:uid="{00000000-0005-0000-0000-0000F00F0000}"/>
    <cellStyle name="Normal 10 2 2 2 2" xfId="5576" xr:uid="{00000000-0005-0000-0000-0000F10F0000}"/>
    <cellStyle name="Normal 10 2 2 2 3" xfId="6801" xr:uid="{00000000-0005-0000-0000-0000F20F0000}"/>
    <cellStyle name="Normal 10 2 2 3" xfId="1754" xr:uid="{00000000-0005-0000-0000-0000F30F0000}"/>
    <cellStyle name="Normal 10 2 2 3 2" xfId="5776" xr:uid="{00000000-0005-0000-0000-0000F40F0000}"/>
    <cellStyle name="Normal 10 2 2 3 3" xfId="7001" xr:uid="{00000000-0005-0000-0000-0000F50F0000}"/>
    <cellStyle name="Normal 10 2 2 4" xfId="2001" xr:uid="{00000000-0005-0000-0000-0000F60F0000}"/>
    <cellStyle name="Normal 10 2 2 4 2" xfId="6020" xr:uid="{00000000-0005-0000-0000-0000F70F0000}"/>
    <cellStyle name="Normal 10 2 2 4 3" xfId="7248" xr:uid="{00000000-0005-0000-0000-0000F80F0000}"/>
    <cellStyle name="Normal 10 2 2 5" xfId="3642" xr:uid="{00000000-0005-0000-0000-0000F90F0000}"/>
    <cellStyle name="Normal 10 2 2 5 2" xfId="5314" xr:uid="{00000000-0005-0000-0000-0000FA0F0000}"/>
    <cellStyle name="Normal 10 2 2 5 3" xfId="8599" xr:uid="{00000000-0005-0000-0000-0000FB0F0000}"/>
    <cellStyle name="Normal 10 2 2 6" xfId="3364" xr:uid="{00000000-0005-0000-0000-0000FC0F0000}"/>
    <cellStyle name="Normal 10 2 2 7" xfId="4994" xr:uid="{00000000-0005-0000-0000-0000FD0F0000}"/>
    <cellStyle name="Normal 10 2 2 8" xfId="6529" xr:uid="{00000000-0005-0000-0000-0000FE0F0000}"/>
    <cellStyle name="Normal 10 2 3" xfId="1324" xr:uid="{00000000-0005-0000-0000-0000FF0F0000}"/>
    <cellStyle name="Normal 10 2 3 2" xfId="1592" xr:uid="{00000000-0005-0000-0000-000000100000}"/>
    <cellStyle name="Normal 10 2 3 2 2" xfId="5618" xr:uid="{00000000-0005-0000-0000-000001100000}"/>
    <cellStyle name="Normal 10 2 3 2 3" xfId="6843" xr:uid="{00000000-0005-0000-0000-000002100000}"/>
    <cellStyle name="Normal 10 2 3 3" xfId="1796" xr:uid="{00000000-0005-0000-0000-000003100000}"/>
    <cellStyle name="Normal 10 2 3 3 2" xfId="5817" xr:uid="{00000000-0005-0000-0000-000004100000}"/>
    <cellStyle name="Normal 10 2 3 3 3" xfId="7043" xr:uid="{00000000-0005-0000-0000-000005100000}"/>
    <cellStyle name="Normal 10 2 3 4" xfId="2000" xr:uid="{00000000-0005-0000-0000-000006100000}"/>
    <cellStyle name="Normal 10 2 3 4 2" xfId="6019" xr:uid="{00000000-0005-0000-0000-000007100000}"/>
    <cellStyle name="Normal 10 2 3 4 3" xfId="7247" xr:uid="{00000000-0005-0000-0000-000008100000}"/>
    <cellStyle name="Normal 10 2 3 5" xfId="5360" xr:uid="{00000000-0005-0000-0000-000009100000}"/>
    <cellStyle name="Normal 10 2 3 6" xfId="6576" xr:uid="{00000000-0005-0000-0000-00000A100000}"/>
    <cellStyle name="Normal 10 2 4" xfId="1476" xr:uid="{00000000-0005-0000-0000-00000B100000}"/>
    <cellStyle name="Normal 10 2 4 2" xfId="5504" xr:uid="{00000000-0005-0000-0000-00000C100000}"/>
    <cellStyle name="Normal 10 2 4 3" xfId="6728" xr:uid="{00000000-0005-0000-0000-00000D100000}"/>
    <cellStyle name="Normal 10 2 5" xfId="1683" xr:uid="{00000000-0005-0000-0000-00000E100000}"/>
    <cellStyle name="Normal 10 2 5 2" xfId="5705" xr:uid="{00000000-0005-0000-0000-00000F100000}"/>
    <cellStyle name="Normal 10 2 5 3" xfId="6930" xr:uid="{00000000-0005-0000-0000-000010100000}"/>
    <cellStyle name="Normal 10 2 6" xfId="1790" xr:uid="{00000000-0005-0000-0000-000011100000}"/>
    <cellStyle name="Normal 10 2 6 2" xfId="5811" xr:uid="{00000000-0005-0000-0000-000012100000}"/>
    <cellStyle name="Normal 10 2 6 3" xfId="7037" xr:uid="{00000000-0005-0000-0000-000013100000}"/>
    <cellStyle name="Normal 10 2 7" xfId="2209" xr:uid="{00000000-0005-0000-0000-000014100000}"/>
    <cellStyle name="Normal 10 2 7 2" xfId="3618" xr:uid="{00000000-0005-0000-0000-000015100000}"/>
    <cellStyle name="Normal 10 2 7 3" xfId="5247" xr:uid="{00000000-0005-0000-0000-000016100000}"/>
    <cellStyle name="Normal 10 2 7 4" xfId="7442" xr:uid="{00000000-0005-0000-0000-000017100000}"/>
    <cellStyle name="Normal 10 2 8" xfId="3363" xr:uid="{00000000-0005-0000-0000-000018100000}"/>
    <cellStyle name="Normal 10 2 8 2" xfId="4993" xr:uid="{00000000-0005-0000-0000-000019100000}"/>
    <cellStyle name="Normal 10 2 8 3" xfId="8397" xr:uid="{00000000-0005-0000-0000-00001A100000}"/>
    <cellStyle name="Normal 10 2 9" xfId="4060" xr:uid="{00000000-0005-0000-0000-00001B100000}"/>
    <cellStyle name="Normal 10 20" xfId="2210" xr:uid="{00000000-0005-0000-0000-00001C100000}"/>
    <cellStyle name="Normal 10 20 2" xfId="4061" xr:uid="{00000000-0005-0000-0000-00001D100000}"/>
    <cellStyle name="Normal 10 20 3" xfId="7443" xr:uid="{00000000-0005-0000-0000-00001E100000}"/>
    <cellStyle name="Normal 10 21" xfId="2211" xr:uid="{00000000-0005-0000-0000-00001F100000}"/>
    <cellStyle name="Normal 10 21 2" xfId="4062" xr:uid="{00000000-0005-0000-0000-000020100000}"/>
    <cellStyle name="Normal 10 21 3" xfId="7444" xr:uid="{00000000-0005-0000-0000-000021100000}"/>
    <cellStyle name="Normal 10 22" xfId="2212" xr:uid="{00000000-0005-0000-0000-000022100000}"/>
    <cellStyle name="Normal 10 22 2" xfId="4063" xr:uid="{00000000-0005-0000-0000-000023100000}"/>
    <cellStyle name="Normal 10 22 3" xfId="7445" xr:uid="{00000000-0005-0000-0000-000024100000}"/>
    <cellStyle name="Normal 10 23" xfId="2213" xr:uid="{00000000-0005-0000-0000-000025100000}"/>
    <cellStyle name="Normal 10 23 2" xfId="4064" xr:uid="{00000000-0005-0000-0000-000026100000}"/>
    <cellStyle name="Normal 10 23 3" xfId="7446" xr:uid="{00000000-0005-0000-0000-000027100000}"/>
    <cellStyle name="Normal 10 24" xfId="2214" xr:uid="{00000000-0005-0000-0000-000028100000}"/>
    <cellStyle name="Normal 10 24 2" xfId="4065" xr:uid="{00000000-0005-0000-0000-000029100000}"/>
    <cellStyle name="Normal 10 24 3" xfId="7447" xr:uid="{00000000-0005-0000-0000-00002A100000}"/>
    <cellStyle name="Normal 10 25" xfId="2215" xr:uid="{00000000-0005-0000-0000-00002B100000}"/>
    <cellStyle name="Normal 10 25 2" xfId="4066" xr:uid="{00000000-0005-0000-0000-00002C100000}"/>
    <cellStyle name="Normal 10 25 3" xfId="7448" xr:uid="{00000000-0005-0000-0000-00002D100000}"/>
    <cellStyle name="Normal 10 26" xfId="2216" xr:uid="{00000000-0005-0000-0000-00002E100000}"/>
    <cellStyle name="Normal 10 26 2" xfId="4067" xr:uid="{00000000-0005-0000-0000-00002F100000}"/>
    <cellStyle name="Normal 10 26 3" xfId="7449" xr:uid="{00000000-0005-0000-0000-000030100000}"/>
    <cellStyle name="Normal 10 27" xfId="2217" xr:uid="{00000000-0005-0000-0000-000031100000}"/>
    <cellStyle name="Normal 10 27 2" xfId="4068" xr:uid="{00000000-0005-0000-0000-000032100000}"/>
    <cellStyle name="Normal 10 27 3" xfId="7450" xr:uid="{00000000-0005-0000-0000-000033100000}"/>
    <cellStyle name="Normal 10 28" xfId="2218" xr:uid="{00000000-0005-0000-0000-000034100000}"/>
    <cellStyle name="Normal 10 28 2" xfId="4069" xr:uid="{00000000-0005-0000-0000-000035100000}"/>
    <cellStyle name="Normal 10 28 3" xfId="7451" xr:uid="{00000000-0005-0000-0000-000036100000}"/>
    <cellStyle name="Normal 10 29" xfId="2219" xr:uid="{00000000-0005-0000-0000-000037100000}"/>
    <cellStyle name="Normal 10 29 2" xfId="4070" xr:uid="{00000000-0005-0000-0000-000038100000}"/>
    <cellStyle name="Normal 10 29 3" xfId="7452" xr:uid="{00000000-0005-0000-0000-000039100000}"/>
    <cellStyle name="Normal 10 3" xfId="470" xr:uid="{00000000-0005-0000-0000-00003A100000}"/>
    <cellStyle name="Normal 10 3 2" xfId="1526" xr:uid="{00000000-0005-0000-0000-00003B100000}"/>
    <cellStyle name="Normal 10 3 2 2" xfId="5553" xr:uid="{00000000-0005-0000-0000-00003C100000}"/>
    <cellStyle name="Normal 10 3 2 3" xfId="6778" xr:uid="{00000000-0005-0000-0000-00003D100000}"/>
    <cellStyle name="Normal 10 3 3" xfId="1731" xr:uid="{00000000-0005-0000-0000-00003E100000}"/>
    <cellStyle name="Normal 10 3 3 2" xfId="5753" xr:uid="{00000000-0005-0000-0000-00003F100000}"/>
    <cellStyle name="Normal 10 3 3 3" xfId="6978" xr:uid="{00000000-0005-0000-0000-000040100000}"/>
    <cellStyle name="Normal 10 3 4" xfId="1482" xr:uid="{00000000-0005-0000-0000-000041100000}"/>
    <cellStyle name="Normal 10 3 4 2" xfId="5510" xr:uid="{00000000-0005-0000-0000-000042100000}"/>
    <cellStyle name="Normal 10 3 4 3" xfId="6734" xr:uid="{00000000-0005-0000-0000-000043100000}"/>
    <cellStyle name="Normal 10 3 5" xfId="2220" xr:uid="{00000000-0005-0000-0000-000044100000}"/>
    <cellStyle name="Normal 10 3 5 2" xfId="3634" xr:uid="{00000000-0005-0000-0000-000045100000}"/>
    <cellStyle name="Normal 10 3 5 3" xfId="5292" xr:uid="{00000000-0005-0000-0000-000046100000}"/>
    <cellStyle name="Normal 10 3 5 4" xfId="7453" xr:uid="{00000000-0005-0000-0000-000047100000}"/>
    <cellStyle name="Normal 10 3 6" xfId="4071" xr:uid="{00000000-0005-0000-0000-000048100000}"/>
    <cellStyle name="Normal 10 3 7" xfId="6507" xr:uid="{00000000-0005-0000-0000-000049100000}"/>
    <cellStyle name="Normal 10 3 8" xfId="1255" xr:uid="{00000000-0005-0000-0000-00004A100000}"/>
    <cellStyle name="Normal 10 30" xfId="2221" xr:uid="{00000000-0005-0000-0000-00004B100000}"/>
    <cellStyle name="Normal 10 30 2" xfId="4072" xr:uid="{00000000-0005-0000-0000-00004C100000}"/>
    <cellStyle name="Normal 10 30 3" xfId="7454" xr:uid="{00000000-0005-0000-0000-00004D100000}"/>
    <cellStyle name="Normal 10 31" xfId="2222" xr:uid="{00000000-0005-0000-0000-00004E100000}"/>
    <cellStyle name="Normal 10 31 2" xfId="4073" xr:uid="{00000000-0005-0000-0000-00004F100000}"/>
    <cellStyle name="Normal 10 31 3" xfId="7455" xr:uid="{00000000-0005-0000-0000-000050100000}"/>
    <cellStyle name="Normal 10 32" xfId="2223" xr:uid="{00000000-0005-0000-0000-000051100000}"/>
    <cellStyle name="Normal 10 32 2" xfId="4074" xr:uid="{00000000-0005-0000-0000-000052100000}"/>
    <cellStyle name="Normal 10 32 3" xfId="7456" xr:uid="{00000000-0005-0000-0000-000053100000}"/>
    <cellStyle name="Normal 10 33" xfId="2224" xr:uid="{00000000-0005-0000-0000-000054100000}"/>
    <cellStyle name="Normal 10 33 2" xfId="4075" xr:uid="{00000000-0005-0000-0000-000055100000}"/>
    <cellStyle name="Normal 10 33 3" xfId="7457" xr:uid="{00000000-0005-0000-0000-000056100000}"/>
    <cellStyle name="Normal 10 34" xfId="2225" xr:uid="{00000000-0005-0000-0000-000057100000}"/>
    <cellStyle name="Normal 10 34 2" xfId="4076" xr:uid="{00000000-0005-0000-0000-000058100000}"/>
    <cellStyle name="Normal 10 34 3" xfId="7458" xr:uid="{00000000-0005-0000-0000-000059100000}"/>
    <cellStyle name="Normal 10 35" xfId="2226" xr:uid="{00000000-0005-0000-0000-00005A100000}"/>
    <cellStyle name="Normal 10 35 2" xfId="4077" xr:uid="{00000000-0005-0000-0000-00005B100000}"/>
    <cellStyle name="Normal 10 35 3" xfId="7459" xr:uid="{00000000-0005-0000-0000-00005C100000}"/>
    <cellStyle name="Normal 10 36" xfId="2227" xr:uid="{00000000-0005-0000-0000-00005D100000}"/>
    <cellStyle name="Normal 10 36 2" xfId="4078" xr:uid="{00000000-0005-0000-0000-00005E100000}"/>
    <cellStyle name="Normal 10 36 3" xfId="7460" xr:uid="{00000000-0005-0000-0000-00005F100000}"/>
    <cellStyle name="Normal 10 37" xfId="2228" xr:uid="{00000000-0005-0000-0000-000060100000}"/>
    <cellStyle name="Normal 10 37 2" xfId="4079" xr:uid="{00000000-0005-0000-0000-000061100000}"/>
    <cellStyle name="Normal 10 37 3" xfId="7461" xr:uid="{00000000-0005-0000-0000-000062100000}"/>
    <cellStyle name="Normal 10 38" xfId="2229" xr:uid="{00000000-0005-0000-0000-000063100000}"/>
    <cellStyle name="Normal 10 38 2" xfId="4080" xr:uid="{00000000-0005-0000-0000-000064100000}"/>
    <cellStyle name="Normal 10 38 3" xfId="7462" xr:uid="{00000000-0005-0000-0000-000065100000}"/>
    <cellStyle name="Normal 10 39" xfId="2230" xr:uid="{00000000-0005-0000-0000-000066100000}"/>
    <cellStyle name="Normal 10 39 2" xfId="4081" xr:uid="{00000000-0005-0000-0000-000067100000}"/>
    <cellStyle name="Normal 10 39 3" xfId="7463" xr:uid="{00000000-0005-0000-0000-000068100000}"/>
    <cellStyle name="Normal 10 4" xfId="471" xr:uid="{00000000-0005-0000-0000-000069100000}"/>
    <cellStyle name="Normal 10 4 2" xfId="1571" xr:uid="{00000000-0005-0000-0000-00006A100000}"/>
    <cellStyle name="Normal 10 4 2 2" xfId="5597" xr:uid="{00000000-0005-0000-0000-00006B100000}"/>
    <cellStyle name="Normal 10 4 2 3" xfId="6822" xr:uid="{00000000-0005-0000-0000-00006C100000}"/>
    <cellStyle name="Normal 10 4 3" xfId="1775" xr:uid="{00000000-0005-0000-0000-00006D100000}"/>
    <cellStyle name="Normal 10 4 3 2" xfId="5796" xr:uid="{00000000-0005-0000-0000-00006E100000}"/>
    <cellStyle name="Normal 10 4 3 3" xfId="7022" xr:uid="{00000000-0005-0000-0000-00006F100000}"/>
    <cellStyle name="Normal 10 4 4" xfId="1925" xr:uid="{00000000-0005-0000-0000-000070100000}"/>
    <cellStyle name="Normal 10 4 4 2" xfId="5945" xr:uid="{00000000-0005-0000-0000-000071100000}"/>
    <cellStyle name="Normal 10 4 4 3" xfId="7172" xr:uid="{00000000-0005-0000-0000-000072100000}"/>
    <cellStyle name="Normal 10 4 5" xfId="2231" xr:uid="{00000000-0005-0000-0000-000073100000}"/>
    <cellStyle name="Normal 10 4 5 2" xfId="3659" xr:uid="{00000000-0005-0000-0000-000074100000}"/>
    <cellStyle name="Normal 10 4 5 3" xfId="5338" xr:uid="{00000000-0005-0000-0000-000075100000}"/>
    <cellStyle name="Normal 10 4 5 4" xfId="7464" xr:uid="{00000000-0005-0000-0000-000076100000}"/>
    <cellStyle name="Normal 10 4 6" xfId="4082" xr:uid="{00000000-0005-0000-0000-000077100000}"/>
    <cellStyle name="Normal 10 4 7" xfId="6554" xr:uid="{00000000-0005-0000-0000-000078100000}"/>
    <cellStyle name="Normal 10 4 8" xfId="1302" xr:uid="{00000000-0005-0000-0000-000079100000}"/>
    <cellStyle name="Normal 10 40" xfId="2232" xr:uid="{00000000-0005-0000-0000-00007A100000}"/>
    <cellStyle name="Normal 10 40 2" xfId="4083" xr:uid="{00000000-0005-0000-0000-00007B100000}"/>
    <cellStyle name="Normal 10 40 3" xfId="7465" xr:uid="{00000000-0005-0000-0000-00007C100000}"/>
    <cellStyle name="Normal 10 41" xfId="2233" xr:uid="{00000000-0005-0000-0000-00007D100000}"/>
    <cellStyle name="Normal 10 41 2" xfId="4084" xr:uid="{00000000-0005-0000-0000-00007E100000}"/>
    <cellStyle name="Normal 10 41 3" xfId="7466" xr:uid="{00000000-0005-0000-0000-00007F100000}"/>
    <cellStyle name="Normal 10 42" xfId="2234" xr:uid="{00000000-0005-0000-0000-000080100000}"/>
    <cellStyle name="Normal 10 42 2" xfId="4085" xr:uid="{00000000-0005-0000-0000-000081100000}"/>
    <cellStyle name="Normal 10 42 3" xfId="7467" xr:uid="{00000000-0005-0000-0000-000082100000}"/>
    <cellStyle name="Normal 10 43" xfId="2235" xr:uid="{00000000-0005-0000-0000-000083100000}"/>
    <cellStyle name="Normal 10 43 2" xfId="4086" xr:uid="{00000000-0005-0000-0000-000084100000}"/>
    <cellStyle name="Normal 10 43 3" xfId="7468" xr:uid="{00000000-0005-0000-0000-000085100000}"/>
    <cellStyle name="Normal 10 44" xfId="2236" xr:uid="{00000000-0005-0000-0000-000086100000}"/>
    <cellStyle name="Normal 10 44 2" xfId="4087" xr:uid="{00000000-0005-0000-0000-000087100000}"/>
    <cellStyle name="Normal 10 44 3" xfId="7469" xr:uid="{00000000-0005-0000-0000-000088100000}"/>
    <cellStyle name="Normal 10 45" xfId="2237" xr:uid="{00000000-0005-0000-0000-000089100000}"/>
    <cellStyle name="Normal 10 45 2" xfId="4088" xr:uid="{00000000-0005-0000-0000-00008A100000}"/>
    <cellStyle name="Normal 10 45 3" xfId="7470" xr:uid="{00000000-0005-0000-0000-00008B100000}"/>
    <cellStyle name="Normal 10 46" xfId="2238" xr:uid="{00000000-0005-0000-0000-00008C100000}"/>
    <cellStyle name="Normal 10 46 2" xfId="4089" xr:uid="{00000000-0005-0000-0000-00008D100000}"/>
    <cellStyle name="Normal 10 46 3" xfId="7471" xr:uid="{00000000-0005-0000-0000-00008E100000}"/>
    <cellStyle name="Normal 10 47" xfId="2239" xr:uid="{00000000-0005-0000-0000-00008F100000}"/>
    <cellStyle name="Normal 10 47 2" xfId="4090" xr:uid="{00000000-0005-0000-0000-000090100000}"/>
    <cellStyle name="Normal 10 47 3" xfId="7472" xr:uid="{00000000-0005-0000-0000-000091100000}"/>
    <cellStyle name="Normal 10 48" xfId="2240" xr:uid="{00000000-0005-0000-0000-000092100000}"/>
    <cellStyle name="Normal 10 48 2" xfId="4091" xr:uid="{00000000-0005-0000-0000-000093100000}"/>
    <cellStyle name="Normal 10 48 3" xfId="7473" xr:uid="{00000000-0005-0000-0000-000094100000}"/>
    <cellStyle name="Normal 10 49" xfId="2241" xr:uid="{00000000-0005-0000-0000-000095100000}"/>
    <cellStyle name="Normal 10 49 2" xfId="4092" xr:uid="{00000000-0005-0000-0000-000096100000}"/>
    <cellStyle name="Normal 10 49 3" xfId="7474" xr:uid="{00000000-0005-0000-0000-000097100000}"/>
    <cellStyle name="Normal 10 5" xfId="472" xr:uid="{00000000-0005-0000-0000-000098100000}"/>
    <cellStyle name="Normal 10 5 2" xfId="2242" xr:uid="{00000000-0005-0000-0000-000099100000}"/>
    <cellStyle name="Normal 10 5 2 2" xfId="3677" xr:uid="{00000000-0005-0000-0000-00009A100000}"/>
    <cellStyle name="Normal 10 5 2 3" xfId="5479" xr:uid="{00000000-0005-0000-0000-00009B100000}"/>
    <cellStyle name="Normal 10 5 2 4" xfId="7475" xr:uid="{00000000-0005-0000-0000-00009C100000}"/>
    <cellStyle name="Normal 10 5 3" xfId="4093" xr:uid="{00000000-0005-0000-0000-00009D100000}"/>
    <cellStyle name="Normal 10 5 4" xfId="6703" xr:uid="{00000000-0005-0000-0000-00009E100000}"/>
    <cellStyle name="Normal 10 5 5" xfId="1451" xr:uid="{00000000-0005-0000-0000-00009F100000}"/>
    <cellStyle name="Normal 10 50" xfId="2243" xr:uid="{00000000-0005-0000-0000-0000A0100000}"/>
    <cellStyle name="Normal 10 50 2" xfId="4094" xr:uid="{00000000-0005-0000-0000-0000A1100000}"/>
    <cellStyle name="Normal 10 50 3" xfId="7476" xr:uid="{00000000-0005-0000-0000-0000A2100000}"/>
    <cellStyle name="Normal 10 51" xfId="2244" xr:uid="{00000000-0005-0000-0000-0000A3100000}"/>
    <cellStyle name="Normal 10 51 2" xfId="4095" xr:uid="{00000000-0005-0000-0000-0000A4100000}"/>
    <cellStyle name="Normal 10 51 3" xfId="7477" xr:uid="{00000000-0005-0000-0000-0000A5100000}"/>
    <cellStyle name="Normal 10 52" xfId="2245" xr:uid="{00000000-0005-0000-0000-0000A6100000}"/>
    <cellStyle name="Normal 10 52 2" xfId="4096" xr:uid="{00000000-0005-0000-0000-0000A7100000}"/>
    <cellStyle name="Normal 10 52 3" xfId="7478" xr:uid="{00000000-0005-0000-0000-0000A8100000}"/>
    <cellStyle name="Normal 10 53" xfId="2246" xr:uid="{00000000-0005-0000-0000-0000A9100000}"/>
    <cellStyle name="Normal 10 53 2" xfId="4097" xr:uid="{00000000-0005-0000-0000-0000AA100000}"/>
    <cellStyle name="Normal 10 53 3" xfId="7479" xr:uid="{00000000-0005-0000-0000-0000AB100000}"/>
    <cellStyle name="Normal 10 54" xfId="2247" xr:uid="{00000000-0005-0000-0000-0000AC100000}"/>
    <cellStyle name="Normal 10 54 2" xfId="4098" xr:uid="{00000000-0005-0000-0000-0000AD100000}"/>
    <cellStyle name="Normal 10 54 3" xfId="7480" xr:uid="{00000000-0005-0000-0000-0000AE100000}"/>
    <cellStyle name="Normal 10 55" xfId="2248" xr:uid="{00000000-0005-0000-0000-0000AF100000}"/>
    <cellStyle name="Normal 10 55 2" xfId="4099" xr:uid="{00000000-0005-0000-0000-0000B0100000}"/>
    <cellStyle name="Normal 10 55 3" xfId="7481" xr:uid="{00000000-0005-0000-0000-0000B1100000}"/>
    <cellStyle name="Normal 10 56" xfId="2249" xr:uid="{00000000-0005-0000-0000-0000B2100000}"/>
    <cellStyle name="Normal 10 56 2" xfId="4100" xr:uid="{00000000-0005-0000-0000-0000B3100000}"/>
    <cellStyle name="Normal 10 56 3" xfId="7482" xr:uid="{00000000-0005-0000-0000-0000B4100000}"/>
    <cellStyle name="Normal 10 57" xfId="2250" xr:uid="{00000000-0005-0000-0000-0000B5100000}"/>
    <cellStyle name="Normal 10 57 2" xfId="4101" xr:uid="{00000000-0005-0000-0000-0000B6100000}"/>
    <cellStyle name="Normal 10 57 3" xfId="7483" xr:uid="{00000000-0005-0000-0000-0000B7100000}"/>
    <cellStyle name="Normal 10 58" xfId="2251" xr:uid="{00000000-0005-0000-0000-0000B8100000}"/>
    <cellStyle name="Normal 10 58 2" xfId="4102" xr:uid="{00000000-0005-0000-0000-0000B9100000}"/>
    <cellStyle name="Normal 10 58 3" xfId="7484" xr:uid="{00000000-0005-0000-0000-0000BA100000}"/>
    <cellStyle name="Normal 10 59" xfId="2252" xr:uid="{00000000-0005-0000-0000-0000BB100000}"/>
    <cellStyle name="Normal 10 59 2" xfId="4103" xr:uid="{00000000-0005-0000-0000-0000BC100000}"/>
    <cellStyle name="Normal 10 59 3" xfId="7485" xr:uid="{00000000-0005-0000-0000-0000BD100000}"/>
    <cellStyle name="Normal 10 6" xfId="473" xr:uid="{00000000-0005-0000-0000-0000BE100000}"/>
    <cellStyle name="Normal 10 6 2" xfId="2253" xr:uid="{00000000-0005-0000-0000-0000BF100000}"/>
    <cellStyle name="Normal 10 6 2 2" xfId="3671" xr:uid="{00000000-0005-0000-0000-0000C0100000}"/>
    <cellStyle name="Normal 10 6 2 3" xfId="5438" xr:uid="{00000000-0005-0000-0000-0000C1100000}"/>
    <cellStyle name="Normal 10 6 2 4" xfId="7486" xr:uid="{00000000-0005-0000-0000-0000C2100000}"/>
    <cellStyle name="Normal 10 6 3" xfId="4104" xr:uid="{00000000-0005-0000-0000-0000C3100000}"/>
    <cellStyle name="Normal 10 6 4" xfId="6659" xr:uid="{00000000-0005-0000-0000-0000C4100000}"/>
    <cellStyle name="Normal 10 6 5" xfId="1407" xr:uid="{00000000-0005-0000-0000-0000C5100000}"/>
    <cellStyle name="Normal 10 60" xfId="2254" xr:uid="{00000000-0005-0000-0000-0000C6100000}"/>
    <cellStyle name="Normal 10 60 2" xfId="4105" xr:uid="{00000000-0005-0000-0000-0000C7100000}"/>
    <cellStyle name="Normal 10 60 3" xfId="7487" xr:uid="{00000000-0005-0000-0000-0000C8100000}"/>
    <cellStyle name="Normal 10 61" xfId="2255" xr:uid="{00000000-0005-0000-0000-0000C9100000}"/>
    <cellStyle name="Normal 10 61 2" xfId="4106" xr:uid="{00000000-0005-0000-0000-0000CA100000}"/>
    <cellStyle name="Normal 10 61 3" xfId="7488" xr:uid="{00000000-0005-0000-0000-0000CB100000}"/>
    <cellStyle name="Normal 10 62" xfId="2256" xr:uid="{00000000-0005-0000-0000-0000CC100000}"/>
    <cellStyle name="Normal 10 62 2" xfId="4107" xr:uid="{00000000-0005-0000-0000-0000CD100000}"/>
    <cellStyle name="Normal 10 62 3" xfId="7489" xr:uid="{00000000-0005-0000-0000-0000CE100000}"/>
    <cellStyle name="Normal 10 63" xfId="2257" xr:uid="{00000000-0005-0000-0000-0000CF100000}"/>
    <cellStyle name="Normal 10 63 2" xfId="4108" xr:uid="{00000000-0005-0000-0000-0000D0100000}"/>
    <cellStyle name="Normal 10 63 3" xfId="7490" xr:uid="{00000000-0005-0000-0000-0000D1100000}"/>
    <cellStyle name="Normal 10 64" xfId="2258" xr:uid="{00000000-0005-0000-0000-0000D2100000}"/>
    <cellStyle name="Normal 10 64 2" xfId="4109" xr:uid="{00000000-0005-0000-0000-0000D3100000}"/>
    <cellStyle name="Normal 10 64 3" xfId="7491" xr:uid="{00000000-0005-0000-0000-0000D4100000}"/>
    <cellStyle name="Normal 10 65" xfId="2259" xr:uid="{00000000-0005-0000-0000-0000D5100000}"/>
    <cellStyle name="Normal 10 65 2" xfId="4110" xr:uid="{00000000-0005-0000-0000-0000D6100000}"/>
    <cellStyle name="Normal 10 65 3" xfId="7492" xr:uid="{00000000-0005-0000-0000-0000D7100000}"/>
    <cellStyle name="Normal 10 66" xfId="2260" xr:uid="{00000000-0005-0000-0000-0000D8100000}"/>
    <cellStyle name="Normal 10 66 2" xfId="4111" xr:uid="{00000000-0005-0000-0000-0000D9100000}"/>
    <cellStyle name="Normal 10 66 3" xfId="7493" xr:uid="{00000000-0005-0000-0000-0000DA100000}"/>
    <cellStyle name="Normal 10 67" xfId="2261" xr:uid="{00000000-0005-0000-0000-0000DB100000}"/>
    <cellStyle name="Normal 10 67 2" xfId="4112" xr:uid="{00000000-0005-0000-0000-0000DC100000}"/>
    <cellStyle name="Normal 10 67 3" xfId="7494" xr:uid="{00000000-0005-0000-0000-0000DD100000}"/>
    <cellStyle name="Normal 10 68" xfId="2262" xr:uid="{00000000-0005-0000-0000-0000DE100000}"/>
    <cellStyle name="Normal 10 68 2" xfId="4113" xr:uid="{00000000-0005-0000-0000-0000DF100000}"/>
    <cellStyle name="Normal 10 68 3" xfId="7495" xr:uid="{00000000-0005-0000-0000-0000E0100000}"/>
    <cellStyle name="Normal 10 69" xfId="2263" xr:uid="{00000000-0005-0000-0000-0000E1100000}"/>
    <cellStyle name="Normal 10 69 2" xfId="4114" xr:uid="{00000000-0005-0000-0000-0000E2100000}"/>
    <cellStyle name="Normal 10 69 3" xfId="7496" xr:uid="{00000000-0005-0000-0000-0000E3100000}"/>
    <cellStyle name="Normal 10 7" xfId="474" xr:uid="{00000000-0005-0000-0000-0000E4100000}"/>
    <cellStyle name="Normal 10 7 2" xfId="2264" xr:uid="{00000000-0005-0000-0000-0000E5100000}"/>
    <cellStyle name="Normal 10 7 2 2" xfId="3697" xr:uid="{00000000-0005-0000-0000-0000E6100000}"/>
    <cellStyle name="Normal 10 7 2 3" xfId="5706" xr:uid="{00000000-0005-0000-0000-0000E7100000}"/>
    <cellStyle name="Normal 10 7 2 4" xfId="7497" xr:uid="{00000000-0005-0000-0000-0000E8100000}"/>
    <cellStyle name="Normal 10 7 3" xfId="4115" xr:uid="{00000000-0005-0000-0000-0000E9100000}"/>
    <cellStyle name="Normal 10 7 4" xfId="6931" xr:uid="{00000000-0005-0000-0000-0000EA100000}"/>
    <cellStyle name="Normal 10 7 5" xfId="1684" xr:uid="{00000000-0005-0000-0000-0000EB100000}"/>
    <cellStyle name="Normal 10 70" xfId="2265" xr:uid="{00000000-0005-0000-0000-0000EC100000}"/>
    <cellStyle name="Normal 10 70 2" xfId="4116" xr:uid="{00000000-0005-0000-0000-0000ED100000}"/>
    <cellStyle name="Normal 10 70 3" xfId="7498" xr:uid="{00000000-0005-0000-0000-0000EE100000}"/>
    <cellStyle name="Normal 10 71" xfId="2266" xr:uid="{00000000-0005-0000-0000-0000EF100000}"/>
    <cellStyle name="Normal 10 71 2" xfId="4117" xr:uid="{00000000-0005-0000-0000-0000F0100000}"/>
    <cellStyle name="Normal 10 71 3" xfId="7499" xr:uid="{00000000-0005-0000-0000-0000F1100000}"/>
    <cellStyle name="Normal 10 72" xfId="2267" xr:uid="{00000000-0005-0000-0000-0000F2100000}"/>
    <cellStyle name="Normal 10 72 2" xfId="4118" xr:uid="{00000000-0005-0000-0000-0000F3100000}"/>
    <cellStyle name="Normal 10 72 3" xfId="7500" xr:uid="{00000000-0005-0000-0000-0000F4100000}"/>
    <cellStyle name="Normal 10 73" xfId="2268" xr:uid="{00000000-0005-0000-0000-0000F5100000}"/>
    <cellStyle name="Normal 10 73 2" xfId="4119" xr:uid="{00000000-0005-0000-0000-0000F6100000}"/>
    <cellStyle name="Normal 10 73 3" xfId="7501" xr:uid="{00000000-0005-0000-0000-0000F7100000}"/>
    <cellStyle name="Normal 10 74" xfId="2269" xr:uid="{00000000-0005-0000-0000-0000F8100000}"/>
    <cellStyle name="Normal 10 74 2" xfId="4120" xr:uid="{00000000-0005-0000-0000-0000F9100000}"/>
    <cellStyle name="Normal 10 74 3" xfId="7502" xr:uid="{00000000-0005-0000-0000-0000FA100000}"/>
    <cellStyle name="Normal 10 75" xfId="2270" xr:uid="{00000000-0005-0000-0000-0000FB100000}"/>
    <cellStyle name="Normal 10 75 2" xfId="4121" xr:uid="{00000000-0005-0000-0000-0000FC100000}"/>
    <cellStyle name="Normal 10 75 3" xfId="7503" xr:uid="{00000000-0005-0000-0000-0000FD100000}"/>
    <cellStyle name="Normal 10 76" xfId="2271" xr:uid="{00000000-0005-0000-0000-0000FE100000}"/>
    <cellStyle name="Normal 10 76 2" xfId="4122" xr:uid="{00000000-0005-0000-0000-0000FF100000}"/>
    <cellStyle name="Normal 10 76 3" xfId="7504" xr:uid="{00000000-0005-0000-0000-000000110000}"/>
    <cellStyle name="Normal 10 77" xfId="2272" xr:uid="{00000000-0005-0000-0000-000001110000}"/>
    <cellStyle name="Normal 10 77 2" xfId="4123" xr:uid="{00000000-0005-0000-0000-000002110000}"/>
    <cellStyle name="Normal 10 77 3" xfId="7505" xr:uid="{00000000-0005-0000-0000-000003110000}"/>
    <cellStyle name="Normal 10 78" xfId="2273" xr:uid="{00000000-0005-0000-0000-000004110000}"/>
    <cellStyle name="Normal 10 78 2" xfId="4124" xr:uid="{00000000-0005-0000-0000-000005110000}"/>
    <cellStyle name="Normal 10 78 3" xfId="7506" xr:uid="{00000000-0005-0000-0000-000006110000}"/>
    <cellStyle name="Normal 10 79" xfId="2274" xr:uid="{00000000-0005-0000-0000-000007110000}"/>
    <cellStyle name="Normal 10 79 2" xfId="4125" xr:uid="{00000000-0005-0000-0000-000008110000}"/>
    <cellStyle name="Normal 10 79 3" xfId="7507" xr:uid="{00000000-0005-0000-0000-000009110000}"/>
    <cellStyle name="Normal 10 8" xfId="475" xr:uid="{00000000-0005-0000-0000-00000A110000}"/>
    <cellStyle name="Normal 10 8 2" xfId="2275" xr:uid="{00000000-0005-0000-0000-00000B110000}"/>
    <cellStyle name="Normal 10 8 2 2" xfId="3611" xr:uid="{00000000-0005-0000-0000-00000C110000}"/>
    <cellStyle name="Normal 10 8 2 3" xfId="5225" xr:uid="{00000000-0005-0000-0000-00000D110000}"/>
    <cellStyle name="Normal 10 8 2 4" xfId="7508" xr:uid="{00000000-0005-0000-0000-00000E110000}"/>
    <cellStyle name="Normal 10 8 3" xfId="4126" xr:uid="{00000000-0005-0000-0000-00000F110000}"/>
    <cellStyle name="Normal 10 8 4" xfId="6434" xr:uid="{00000000-0005-0000-0000-000010110000}"/>
    <cellStyle name="Normal 10 8 5" xfId="1182" xr:uid="{00000000-0005-0000-0000-000011110000}"/>
    <cellStyle name="Normal 10 80" xfId="3362" xr:uid="{00000000-0005-0000-0000-000012110000}"/>
    <cellStyle name="Normal 10 80 2" xfId="3837" xr:uid="{00000000-0005-0000-0000-000013110000}"/>
    <cellStyle name="Normal 10 80 2 2" xfId="6218" xr:uid="{00000000-0005-0000-0000-000014110000}"/>
    <cellStyle name="Normal 10 80 2 3" xfId="8748" xr:uid="{00000000-0005-0000-0000-000015110000}"/>
    <cellStyle name="Normal 10 80 3" xfId="4992" xr:uid="{00000000-0005-0000-0000-000016110000}"/>
    <cellStyle name="Normal 10 80 4" xfId="8396" xr:uid="{00000000-0005-0000-0000-000017110000}"/>
    <cellStyle name="Normal 10 81" xfId="3860" xr:uid="{00000000-0005-0000-0000-000018110000}"/>
    <cellStyle name="Normal 10 82" xfId="6368" xr:uid="{00000000-0005-0000-0000-000019110000}"/>
    <cellStyle name="Normal 10 83" xfId="1096" xr:uid="{00000000-0005-0000-0000-00001A110000}"/>
    <cellStyle name="Normal 10 9" xfId="476" xr:uid="{00000000-0005-0000-0000-00001B110000}"/>
    <cellStyle name="Normal 10 9 2" xfId="4127" xr:uid="{00000000-0005-0000-0000-00001C110000}"/>
    <cellStyle name="Normal 10 9 3" xfId="7509" xr:uid="{00000000-0005-0000-0000-00001D110000}"/>
    <cellStyle name="Normal 10 9 4" xfId="2276" xr:uid="{00000000-0005-0000-0000-00001E110000}"/>
    <cellStyle name="Normal 100" xfId="9144" xr:uid="{00000000-0005-0000-0000-00001F110000}"/>
    <cellStyle name="Normal 100 2" xfId="9146" xr:uid="{00000000-0005-0000-0000-000020110000}"/>
    <cellStyle name="Normal 101" xfId="9145" xr:uid="{00000000-0005-0000-0000-000021110000}"/>
    <cellStyle name="Normal 101 2" xfId="9148" xr:uid="{00000000-0005-0000-0000-000022110000}"/>
    <cellStyle name="Normal 101 2 2" xfId="9151" xr:uid="{00000000-0005-0000-0000-000023110000}"/>
    <cellStyle name="Normal 102" xfId="9147" xr:uid="{00000000-0005-0000-0000-000024110000}"/>
    <cellStyle name="Normal 102 2" xfId="9152" xr:uid="{00000000-0005-0000-0000-000025110000}"/>
    <cellStyle name="Normal 103" xfId="9149" xr:uid="{00000000-0005-0000-0000-000026110000}"/>
    <cellStyle name="Normal 103 2" xfId="9154" xr:uid="{00000000-0005-0000-0000-000027110000}"/>
    <cellStyle name="Normal 104" xfId="9153" xr:uid="{00000000-0005-0000-0000-000028110000}"/>
    <cellStyle name="Normal 104 2" xfId="9156" xr:uid="{00000000-0005-0000-0000-000029110000}"/>
    <cellStyle name="Normal 105" xfId="9155" xr:uid="{00000000-0005-0000-0000-00002A110000}"/>
    <cellStyle name="Normal 105 2" xfId="9158" xr:uid="{00000000-0005-0000-0000-00002B110000}"/>
    <cellStyle name="Normal 105 2 2" xfId="9160" xr:uid="{00000000-0005-0000-0000-00002C110000}"/>
    <cellStyle name="Normal 106" xfId="9157" xr:uid="{00000000-0005-0000-0000-00002D110000}"/>
    <cellStyle name="Normal 106 2" xfId="9161" xr:uid="{00000000-0005-0000-0000-00002E110000}"/>
    <cellStyle name="Normal 107" xfId="9159" xr:uid="{00000000-0005-0000-0000-00002F110000}"/>
    <cellStyle name="Normal 107 2" xfId="9162" xr:uid="{00000000-0005-0000-0000-000030110000}"/>
    <cellStyle name="Normal 108" xfId="979" xr:uid="{00000000-0005-0000-0000-000031110000}"/>
    <cellStyle name="Normal 109" xfId="980" xr:uid="{00000000-0005-0000-0000-000032110000}"/>
    <cellStyle name="Normal 109 2" xfId="9165" xr:uid="{00000000-0005-0000-0000-000033110000}"/>
    <cellStyle name="Normal 11" xfId="477" xr:uid="{00000000-0005-0000-0000-000034110000}"/>
    <cellStyle name="Normal 11 10" xfId="4534" xr:uid="{00000000-0005-0000-0000-000035110000}"/>
    <cellStyle name="Normal 11 11" xfId="6435" xr:uid="{00000000-0005-0000-0000-000036110000}"/>
    <cellStyle name="Normal 11 12" xfId="1183" xr:uid="{00000000-0005-0000-0000-000037110000}"/>
    <cellStyle name="Normal 11 2" xfId="478" xr:uid="{00000000-0005-0000-0000-000038110000}"/>
    <cellStyle name="Normal 11 2 2" xfId="986" xr:uid="{00000000-0005-0000-0000-000039110000}"/>
    <cellStyle name="Normal 11 2 2 2" xfId="5554" xr:uid="{00000000-0005-0000-0000-00003A110000}"/>
    <cellStyle name="Normal 11 2 2 3" xfId="6779" xr:uid="{00000000-0005-0000-0000-00003B110000}"/>
    <cellStyle name="Normal 11 2 2 4" xfId="1527" xr:uid="{00000000-0005-0000-0000-00003C110000}"/>
    <cellStyle name="Normal 11 2 3" xfId="1732" xr:uid="{00000000-0005-0000-0000-00003D110000}"/>
    <cellStyle name="Normal 11 2 3 2" xfId="5754" xr:uid="{00000000-0005-0000-0000-00003E110000}"/>
    <cellStyle name="Normal 11 2 3 3" xfId="6979" xr:uid="{00000000-0005-0000-0000-00003F110000}"/>
    <cellStyle name="Normal 11 2 4" xfId="1630" xr:uid="{00000000-0005-0000-0000-000040110000}"/>
    <cellStyle name="Normal 11 2 4 2" xfId="5656" xr:uid="{00000000-0005-0000-0000-000041110000}"/>
    <cellStyle name="Normal 11 2 4 3" xfId="6881" xr:uid="{00000000-0005-0000-0000-000042110000}"/>
    <cellStyle name="Normal 11 2 5" xfId="2277" xr:uid="{00000000-0005-0000-0000-000043110000}"/>
    <cellStyle name="Normal 11 2 5 2" xfId="3635" xr:uid="{00000000-0005-0000-0000-000044110000}"/>
    <cellStyle name="Normal 11 2 5 3" xfId="5293" xr:uid="{00000000-0005-0000-0000-000045110000}"/>
    <cellStyle name="Normal 11 2 5 4" xfId="7510" xr:uid="{00000000-0005-0000-0000-000046110000}"/>
    <cellStyle name="Normal 11 2 6" xfId="3365" xr:uid="{00000000-0005-0000-0000-000047110000}"/>
    <cellStyle name="Normal 11 2 6 2" xfId="4995" xr:uid="{00000000-0005-0000-0000-000048110000}"/>
    <cellStyle name="Normal 11 2 6 3" xfId="8398" xr:uid="{00000000-0005-0000-0000-000049110000}"/>
    <cellStyle name="Normal 11 2 7" xfId="4128" xr:uid="{00000000-0005-0000-0000-00004A110000}"/>
    <cellStyle name="Normal 11 2 8" xfId="6508" xr:uid="{00000000-0005-0000-0000-00004B110000}"/>
    <cellStyle name="Normal 11 2 9" xfId="1256" xr:uid="{00000000-0005-0000-0000-00004C110000}"/>
    <cellStyle name="Normal 11 3" xfId="479" xr:uid="{00000000-0005-0000-0000-00004D110000}"/>
    <cellStyle name="Normal 11 3 2" xfId="1572" xr:uid="{00000000-0005-0000-0000-00004E110000}"/>
    <cellStyle name="Normal 11 3 2 2" xfId="5598" xr:uid="{00000000-0005-0000-0000-00004F110000}"/>
    <cellStyle name="Normal 11 3 2 3" xfId="6823" xr:uid="{00000000-0005-0000-0000-000050110000}"/>
    <cellStyle name="Normal 11 3 3" xfId="1776" xr:uid="{00000000-0005-0000-0000-000051110000}"/>
    <cellStyle name="Normal 11 3 3 2" xfId="5797" xr:uid="{00000000-0005-0000-0000-000052110000}"/>
    <cellStyle name="Normal 11 3 3 3" xfId="7023" xr:uid="{00000000-0005-0000-0000-000053110000}"/>
    <cellStyle name="Normal 11 3 4" xfId="1975" xr:uid="{00000000-0005-0000-0000-000054110000}"/>
    <cellStyle name="Normal 11 3 4 2" xfId="5994" xr:uid="{00000000-0005-0000-0000-000055110000}"/>
    <cellStyle name="Normal 11 3 4 3" xfId="7222" xr:uid="{00000000-0005-0000-0000-000056110000}"/>
    <cellStyle name="Normal 11 3 5" xfId="2647" xr:uid="{00000000-0005-0000-0000-000057110000}"/>
    <cellStyle name="Normal 11 3 5 2" xfId="3660" xr:uid="{00000000-0005-0000-0000-000058110000}"/>
    <cellStyle name="Normal 11 3 5 3" xfId="5339" xr:uid="{00000000-0005-0000-0000-000059110000}"/>
    <cellStyle name="Normal 11 3 5 4" xfId="7858" xr:uid="{00000000-0005-0000-0000-00005A110000}"/>
    <cellStyle name="Normal 11 3 6" xfId="4129" xr:uid="{00000000-0005-0000-0000-00005B110000}"/>
    <cellStyle name="Normal 11 3 7" xfId="6555" xr:uid="{00000000-0005-0000-0000-00005C110000}"/>
    <cellStyle name="Normal 11 3 8" xfId="1303" xr:uid="{00000000-0005-0000-0000-00005D110000}"/>
    <cellStyle name="Normal 11 4" xfId="480" xr:uid="{00000000-0005-0000-0000-00005E110000}"/>
    <cellStyle name="Normal 11 4 2" xfId="3678" xr:uid="{00000000-0005-0000-0000-00005F110000}"/>
    <cellStyle name="Normal 11 4 2 2" xfId="5480" xr:uid="{00000000-0005-0000-0000-000060110000}"/>
    <cellStyle name="Normal 11 4 2 3" xfId="8610" xr:uid="{00000000-0005-0000-0000-000061110000}"/>
    <cellStyle name="Normal 11 4 3" xfId="4549" xr:uid="{00000000-0005-0000-0000-000062110000}"/>
    <cellStyle name="Normal 11 4 4" xfId="6704" xr:uid="{00000000-0005-0000-0000-000063110000}"/>
    <cellStyle name="Normal 11 4 5" xfId="1452" xr:uid="{00000000-0005-0000-0000-000064110000}"/>
    <cellStyle name="Normal 11 5" xfId="481" xr:uid="{00000000-0005-0000-0000-000065110000}"/>
    <cellStyle name="Normal 11 5 2" xfId="3672" xr:uid="{00000000-0005-0000-0000-000066110000}"/>
    <cellStyle name="Normal 11 5 2 2" xfId="5465" xr:uid="{00000000-0005-0000-0000-000067110000}"/>
    <cellStyle name="Normal 11 5 2 3" xfId="8609" xr:uid="{00000000-0005-0000-0000-000068110000}"/>
    <cellStyle name="Normal 11 5 3" xfId="4634" xr:uid="{00000000-0005-0000-0000-000069110000}"/>
    <cellStyle name="Normal 11 5 4" xfId="6687" xr:uid="{00000000-0005-0000-0000-00006A110000}"/>
    <cellStyle name="Normal 11 5 5" xfId="1435" xr:uid="{00000000-0005-0000-0000-00006B110000}"/>
    <cellStyle name="Normal 11 6" xfId="1689" xr:uid="{00000000-0005-0000-0000-00006C110000}"/>
    <cellStyle name="Normal 11 6 2" xfId="5711" xr:uid="{00000000-0005-0000-0000-00006D110000}"/>
    <cellStyle name="Normal 11 6 3" xfId="6936" xr:uid="{00000000-0005-0000-0000-00006E110000}"/>
    <cellStyle name="Normal 11 7" xfId="3612" xr:uid="{00000000-0005-0000-0000-00006F110000}"/>
    <cellStyle name="Normal 11 7 2" xfId="5226" xr:uid="{00000000-0005-0000-0000-000070110000}"/>
    <cellStyle name="Normal 11 7 3" xfId="8592" xr:uid="{00000000-0005-0000-0000-000071110000}"/>
    <cellStyle name="Normal 11 8" xfId="2768" xr:uid="{00000000-0005-0000-0000-000072110000}"/>
    <cellStyle name="Normal 11 9" xfId="3861" xr:uid="{00000000-0005-0000-0000-000073110000}"/>
    <cellStyle name="Normal 110" xfId="982" xr:uid="{00000000-0005-0000-0000-000074110000}"/>
    <cellStyle name="Normal 110 2" xfId="9168" xr:uid="{00000000-0005-0000-0000-000075110000}"/>
    <cellStyle name="Normal 111" xfId="9166" xr:uid="{00000000-0005-0000-0000-000076110000}"/>
    <cellStyle name="Normal 111 2" xfId="9170" xr:uid="{00000000-0005-0000-0000-000077110000}"/>
    <cellStyle name="Normal 112" xfId="9169" xr:uid="{00000000-0005-0000-0000-000078110000}"/>
    <cellStyle name="Normal 112 2" xfId="9172" xr:uid="{00000000-0005-0000-0000-000079110000}"/>
    <cellStyle name="Normal 113" xfId="9171" xr:uid="{00000000-0005-0000-0000-00007A110000}"/>
    <cellStyle name="Normal 113 2" xfId="9508" xr:uid="{E9178E28-C0DD-4227-AE58-AE3CCB84B62E}"/>
    <cellStyle name="Normal 12" xfId="482" xr:uid="{00000000-0005-0000-0000-00007B110000}"/>
    <cellStyle name="Normal 12 10" xfId="4542" xr:uid="{00000000-0005-0000-0000-00007C110000}"/>
    <cellStyle name="Normal 12 11" xfId="6463" xr:uid="{00000000-0005-0000-0000-00007D110000}"/>
    <cellStyle name="Normal 12 12" xfId="1211" xr:uid="{00000000-0005-0000-0000-00007E110000}"/>
    <cellStyle name="Normal 12 2" xfId="483" xr:uid="{00000000-0005-0000-0000-00007F110000}"/>
    <cellStyle name="Normal 12 2 2" xfId="4130" xr:uid="{00000000-0005-0000-0000-000080110000}"/>
    <cellStyle name="Normal 12 2 3" xfId="7511" xr:uid="{00000000-0005-0000-0000-000081110000}"/>
    <cellStyle name="Normal 12 2 4" xfId="2278" xr:uid="{00000000-0005-0000-0000-000082110000}"/>
    <cellStyle name="Normal 12 3" xfId="484" xr:uid="{00000000-0005-0000-0000-000083110000}"/>
    <cellStyle name="Normal 12 3 2" xfId="4131" xr:uid="{00000000-0005-0000-0000-000084110000}"/>
    <cellStyle name="Normal 12 3 3" xfId="7859" xr:uid="{00000000-0005-0000-0000-000085110000}"/>
    <cellStyle name="Normal 12 3 4" xfId="2648" xr:uid="{00000000-0005-0000-0000-000086110000}"/>
    <cellStyle name="Normal 12 4" xfId="2911" xr:uid="{00000000-0005-0000-0000-000087110000}"/>
    <cellStyle name="Normal 12 4 2" xfId="4578" xr:uid="{00000000-0005-0000-0000-000088110000}"/>
    <cellStyle name="Normal 12 4 3" xfId="7969" xr:uid="{00000000-0005-0000-0000-000089110000}"/>
    <cellStyle name="Normal 12 5" xfId="3001" xr:uid="{00000000-0005-0000-0000-00008A110000}"/>
    <cellStyle name="Normal 12 5 2" xfId="4663" xr:uid="{00000000-0005-0000-0000-00008B110000}"/>
    <cellStyle name="Normal 12 5 3" xfId="8057" xr:uid="{00000000-0005-0000-0000-00008C110000}"/>
    <cellStyle name="Normal 12 6" xfId="3750" xr:uid="{00000000-0005-0000-0000-00008D110000}"/>
    <cellStyle name="Normal 12 6 2" xfId="6147" xr:uid="{00000000-0005-0000-0000-00008E110000}"/>
    <cellStyle name="Normal 12 6 3" xfId="8663" xr:uid="{00000000-0005-0000-0000-00008F110000}"/>
    <cellStyle name="Normal 12 7" xfId="2800" xr:uid="{00000000-0005-0000-0000-000090110000}"/>
    <cellStyle name="Normal 12 8" xfId="2754" xr:uid="{00000000-0005-0000-0000-000091110000}"/>
    <cellStyle name="Normal 12 9" xfId="3862" xr:uid="{00000000-0005-0000-0000-000092110000}"/>
    <cellStyle name="Normal 13" xfId="485" xr:uid="{00000000-0005-0000-0000-000093110000}"/>
    <cellStyle name="Normal 13 10" xfId="6460" xr:uid="{00000000-0005-0000-0000-000094110000}"/>
    <cellStyle name="Normal 13 11" xfId="1208" xr:uid="{00000000-0005-0000-0000-000095110000}"/>
    <cellStyle name="Normal 13 2" xfId="2649" xr:uid="{00000000-0005-0000-0000-000096110000}"/>
    <cellStyle name="Normal 13 2 2" xfId="2650" xr:uid="{00000000-0005-0000-0000-000097110000}"/>
    <cellStyle name="Normal 13 2 2 2" xfId="2965" xr:uid="{00000000-0005-0000-0000-000098110000}"/>
    <cellStyle name="Normal 13 2 2 2 2" xfId="4629" xr:uid="{00000000-0005-0000-0000-000099110000}"/>
    <cellStyle name="Normal 13 2 2 2 3" xfId="8021" xr:uid="{00000000-0005-0000-0000-00009A110000}"/>
    <cellStyle name="Normal 13 2 2 3" xfId="3065" xr:uid="{00000000-0005-0000-0000-00009B110000}"/>
    <cellStyle name="Normal 13 2 2 3 2" xfId="4712" xr:uid="{00000000-0005-0000-0000-00009C110000}"/>
    <cellStyle name="Normal 13 2 2 3 3" xfId="8121" xr:uid="{00000000-0005-0000-0000-00009D110000}"/>
    <cellStyle name="Normal 13 2 2 4" xfId="3828" xr:uid="{00000000-0005-0000-0000-00009E110000}"/>
    <cellStyle name="Normal 13 2 2 4 2" xfId="6211" xr:uid="{00000000-0005-0000-0000-00009F110000}"/>
    <cellStyle name="Normal 13 2 2 4 3" xfId="8739" xr:uid="{00000000-0005-0000-0000-0000A0110000}"/>
    <cellStyle name="Normal 13 2 2 5" xfId="2872" xr:uid="{00000000-0005-0000-0000-0000A1110000}"/>
    <cellStyle name="Normal 13 2 2 6" xfId="4133" xr:uid="{00000000-0005-0000-0000-0000A2110000}"/>
    <cellStyle name="Normal 13 2 2 7" xfId="7861" xr:uid="{00000000-0005-0000-0000-0000A3110000}"/>
    <cellStyle name="Normal 13 2 3" xfId="2966" xr:uid="{00000000-0005-0000-0000-0000A4110000}"/>
    <cellStyle name="Normal 13 2 3 2" xfId="4630" xr:uid="{00000000-0005-0000-0000-0000A5110000}"/>
    <cellStyle name="Normal 13 2 3 3" xfId="8022" xr:uid="{00000000-0005-0000-0000-0000A6110000}"/>
    <cellStyle name="Normal 13 2 4" xfId="3066" xr:uid="{00000000-0005-0000-0000-0000A7110000}"/>
    <cellStyle name="Normal 13 2 4 2" xfId="4713" xr:uid="{00000000-0005-0000-0000-0000A8110000}"/>
    <cellStyle name="Normal 13 2 4 3" xfId="8122" xr:uid="{00000000-0005-0000-0000-0000A9110000}"/>
    <cellStyle name="Normal 13 2 5" xfId="3768" xr:uid="{00000000-0005-0000-0000-0000AA110000}"/>
    <cellStyle name="Normal 13 2 5 2" xfId="6162" xr:uid="{00000000-0005-0000-0000-0000AB110000}"/>
    <cellStyle name="Normal 13 2 5 3" xfId="8680" xr:uid="{00000000-0005-0000-0000-0000AC110000}"/>
    <cellStyle name="Normal 13 2 6" xfId="2873" xr:uid="{00000000-0005-0000-0000-0000AD110000}"/>
    <cellStyle name="Normal 13 2 7" xfId="4132" xr:uid="{00000000-0005-0000-0000-0000AE110000}"/>
    <cellStyle name="Normal 13 2 8" xfId="7860" xr:uid="{00000000-0005-0000-0000-0000AF110000}"/>
    <cellStyle name="Normal 13 3" xfId="2651" xr:uid="{00000000-0005-0000-0000-0000B0110000}"/>
    <cellStyle name="Normal 13 3 2" xfId="2964" xr:uid="{00000000-0005-0000-0000-0000B1110000}"/>
    <cellStyle name="Normal 13 3 2 2" xfId="4628" xr:uid="{00000000-0005-0000-0000-0000B2110000}"/>
    <cellStyle name="Normal 13 3 2 3" xfId="8020" xr:uid="{00000000-0005-0000-0000-0000B3110000}"/>
    <cellStyle name="Normal 13 3 3" xfId="3064" xr:uid="{00000000-0005-0000-0000-0000B4110000}"/>
    <cellStyle name="Normal 13 3 3 2" xfId="4711" xr:uid="{00000000-0005-0000-0000-0000B5110000}"/>
    <cellStyle name="Normal 13 3 3 3" xfId="8120" xr:uid="{00000000-0005-0000-0000-0000B6110000}"/>
    <cellStyle name="Normal 13 3 4" xfId="3739" xr:uid="{00000000-0005-0000-0000-0000B7110000}"/>
    <cellStyle name="Normal 13 3 4 2" xfId="6140" xr:uid="{00000000-0005-0000-0000-0000B8110000}"/>
    <cellStyle name="Normal 13 3 4 3" xfId="8653" xr:uid="{00000000-0005-0000-0000-0000B9110000}"/>
    <cellStyle name="Normal 13 3 5" xfId="2871" xr:uid="{00000000-0005-0000-0000-0000BA110000}"/>
    <cellStyle name="Normal 13 3 6" xfId="4134" xr:uid="{00000000-0005-0000-0000-0000BB110000}"/>
    <cellStyle name="Normal 13 3 7" xfId="7862" xr:uid="{00000000-0005-0000-0000-0000BC110000}"/>
    <cellStyle name="Normal 13 4" xfId="2922" xr:uid="{00000000-0005-0000-0000-0000BD110000}"/>
    <cellStyle name="Normal 13 4 2" xfId="3813" xr:uid="{00000000-0005-0000-0000-0000BE110000}"/>
    <cellStyle name="Normal 13 4 2 2" xfId="6200" xr:uid="{00000000-0005-0000-0000-0000BF110000}"/>
    <cellStyle name="Normal 13 4 2 3" xfId="8724" xr:uid="{00000000-0005-0000-0000-0000C0110000}"/>
    <cellStyle name="Normal 13 4 3" xfId="4590" xr:uid="{00000000-0005-0000-0000-0000C1110000}"/>
    <cellStyle name="Normal 13 4 4" xfId="7979" xr:uid="{00000000-0005-0000-0000-0000C2110000}"/>
    <cellStyle name="Normal 13 5" xfId="3015" xr:uid="{00000000-0005-0000-0000-0000C3110000}"/>
    <cellStyle name="Normal 13 5 2" xfId="4674" xr:uid="{00000000-0005-0000-0000-0000C4110000}"/>
    <cellStyle name="Normal 13 5 3" xfId="8071" xr:uid="{00000000-0005-0000-0000-0000C5110000}"/>
    <cellStyle name="Normal 13 6" xfId="3366" xr:uid="{00000000-0005-0000-0000-0000C6110000}"/>
    <cellStyle name="Normal 13 6 2" xfId="4996" xr:uid="{00000000-0005-0000-0000-0000C7110000}"/>
    <cellStyle name="Normal 13 6 3" xfId="8399" xr:uid="{00000000-0005-0000-0000-0000C8110000}"/>
    <cellStyle name="Normal 13 7" xfId="3732" xr:uid="{00000000-0005-0000-0000-0000C9110000}"/>
    <cellStyle name="Normal 13 7 2" xfId="6134" xr:uid="{00000000-0005-0000-0000-0000CA110000}"/>
    <cellStyle name="Normal 13 7 3" xfId="8646" xr:uid="{00000000-0005-0000-0000-0000CB110000}"/>
    <cellStyle name="Normal 13 8" xfId="2815" xr:uid="{00000000-0005-0000-0000-0000CC110000}"/>
    <cellStyle name="Normal 13 9" xfId="3863" xr:uid="{00000000-0005-0000-0000-0000CD110000}"/>
    <cellStyle name="Normal 14" xfId="486" xr:uid="{00000000-0005-0000-0000-0000CE110000}"/>
    <cellStyle name="Normal 14 10" xfId="6465" xr:uid="{00000000-0005-0000-0000-0000CF110000}"/>
    <cellStyle name="Normal 14 11" xfId="1213" xr:uid="{00000000-0005-0000-0000-0000D0110000}"/>
    <cellStyle name="Normal 14 2" xfId="1278" xr:uid="{00000000-0005-0000-0000-0000D1110000}"/>
    <cellStyle name="Normal 14 2 2" xfId="1550" xr:uid="{00000000-0005-0000-0000-0000D2110000}"/>
    <cellStyle name="Normal 14 2 2 2" xfId="5577" xr:uid="{00000000-0005-0000-0000-0000D3110000}"/>
    <cellStyle name="Normal 14 2 2 3" xfId="6802" xr:uid="{00000000-0005-0000-0000-0000D4110000}"/>
    <cellStyle name="Normal 14 2 3" xfId="1755" xr:uid="{00000000-0005-0000-0000-0000D5110000}"/>
    <cellStyle name="Normal 14 2 3 2" xfId="5777" xr:uid="{00000000-0005-0000-0000-0000D6110000}"/>
    <cellStyle name="Normal 14 2 3 3" xfId="7002" xr:uid="{00000000-0005-0000-0000-0000D7110000}"/>
    <cellStyle name="Normal 14 2 4" xfId="1928" xr:uid="{00000000-0005-0000-0000-0000D8110000}"/>
    <cellStyle name="Normal 14 2 4 2" xfId="5948" xr:uid="{00000000-0005-0000-0000-0000D9110000}"/>
    <cellStyle name="Normal 14 2 4 3" xfId="7175" xr:uid="{00000000-0005-0000-0000-0000DA110000}"/>
    <cellStyle name="Normal 14 2 5" xfId="2652" xr:uid="{00000000-0005-0000-0000-0000DB110000}"/>
    <cellStyle name="Normal 14 2 5 2" xfId="3643" xr:uid="{00000000-0005-0000-0000-0000DC110000}"/>
    <cellStyle name="Normal 14 2 5 3" xfId="5315" xr:uid="{00000000-0005-0000-0000-0000DD110000}"/>
    <cellStyle name="Normal 14 2 5 4" xfId="7863" xr:uid="{00000000-0005-0000-0000-0000DE110000}"/>
    <cellStyle name="Normal 14 2 6" xfId="4135" xr:uid="{00000000-0005-0000-0000-0000DF110000}"/>
    <cellStyle name="Normal 14 2 7" xfId="6530" xr:uid="{00000000-0005-0000-0000-0000E0110000}"/>
    <cellStyle name="Normal 14 3" xfId="1325" xr:uid="{00000000-0005-0000-0000-0000E1110000}"/>
    <cellStyle name="Normal 14 3 2" xfId="1593" xr:uid="{00000000-0005-0000-0000-0000E2110000}"/>
    <cellStyle name="Normal 14 3 2 2" xfId="5619" xr:uid="{00000000-0005-0000-0000-0000E3110000}"/>
    <cellStyle name="Normal 14 3 2 3" xfId="6844" xr:uid="{00000000-0005-0000-0000-0000E4110000}"/>
    <cellStyle name="Normal 14 3 3" xfId="1797" xr:uid="{00000000-0005-0000-0000-0000E5110000}"/>
    <cellStyle name="Normal 14 3 3 2" xfId="5818" xr:uid="{00000000-0005-0000-0000-0000E6110000}"/>
    <cellStyle name="Normal 14 3 3 3" xfId="7044" xr:uid="{00000000-0005-0000-0000-0000E7110000}"/>
    <cellStyle name="Normal 14 3 4" xfId="1930" xr:uid="{00000000-0005-0000-0000-0000E8110000}"/>
    <cellStyle name="Normal 14 3 4 2" xfId="5950" xr:uid="{00000000-0005-0000-0000-0000E9110000}"/>
    <cellStyle name="Normal 14 3 4 3" xfId="7177" xr:uid="{00000000-0005-0000-0000-0000EA110000}"/>
    <cellStyle name="Normal 14 3 5" xfId="5361" xr:uid="{00000000-0005-0000-0000-0000EB110000}"/>
    <cellStyle name="Normal 14 3 6" xfId="6577" xr:uid="{00000000-0005-0000-0000-0000EC110000}"/>
    <cellStyle name="Normal 14 4" xfId="1483" xr:uid="{00000000-0005-0000-0000-0000ED110000}"/>
    <cellStyle name="Normal 14 4 2" xfId="5511" xr:uid="{00000000-0005-0000-0000-0000EE110000}"/>
    <cellStyle name="Normal 14 4 3" xfId="6735" xr:uid="{00000000-0005-0000-0000-0000EF110000}"/>
    <cellStyle name="Normal 14 5" xfId="1690" xr:uid="{00000000-0005-0000-0000-0000F0110000}"/>
    <cellStyle name="Normal 14 5 2" xfId="5712" xr:uid="{00000000-0005-0000-0000-0000F1110000}"/>
    <cellStyle name="Normal 14 5 3" xfId="6937" xr:uid="{00000000-0005-0000-0000-0000F2110000}"/>
    <cellStyle name="Normal 14 6" xfId="1954" xr:uid="{00000000-0005-0000-0000-0000F3110000}"/>
    <cellStyle name="Normal 14 6 2" xfId="5974" xr:uid="{00000000-0005-0000-0000-0000F4110000}"/>
    <cellStyle name="Normal 14 6 3" xfId="7201" xr:uid="{00000000-0005-0000-0000-0000F5110000}"/>
    <cellStyle name="Normal 14 7" xfId="2630" xr:uid="{00000000-0005-0000-0000-0000F6110000}"/>
    <cellStyle name="Normal 14 7 2" xfId="3623" xr:uid="{00000000-0005-0000-0000-0000F7110000}"/>
    <cellStyle name="Normal 14 7 3" xfId="5252" xr:uid="{00000000-0005-0000-0000-0000F8110000}"/>
    <cellStyle name="Normal 14 7 4" xfId="7847" xr:uid="{00000000-0005-0000-0000-0000F9110000}"/>
    <cellStyle name="Normal 14 8" xfId="3367" xr:uid="{00000000-0005-0000-0000-0000FA110000}"/>
    <cellStyle name="Normal 14 8 2" xfId="4997" xr:uid="{00000000-0005-0000-0000-0000FB110000}"/>
    <cellStyle name="Normal 14 8 3" xfId="8400" xr:uid="{00000000-0005-0000-0000-0000FC110000}"/>
    <cellStyle name="Normal 14 9" xfId="3881" xr:uid="{00000000-0005-0000-0000-0000FD110000}"/>
    <cellStyle name="Normal 15" xfId="487" xr:uid="{00000000-0005-0000-0000-0000FE110000}"/>
    <cellStyle name="Normal 15 10" xfId="4543" xr:uid="{00000000-0005-0000-0000-0000FF110000}"/>
    <cellStyle name="Normal 15 11" xfId="6466" xr:uid="{00000000-0005-0000-0000-000000120000}"/>
    <cellStyle name="Normal 15 12" xfId="1214" xr:uid="{00000000-0005-0000-0000-000001120000}"/>
    <cellStyle name="Normal 15 2" xfId="488" xr:uid="{00000000-0005-0000-0000-000002120000}"/>
    <cellStyle name="Normal 15 2 2" xfId="1551" xr:uid="{00000000-0005-0000-0000-000003120000}"/>
    <cellStyle name="Normal 15 2 2 2" xfId="5578" xr:uid="{00000000-0005-0000-0000-000004120000}"/>
    <cellStyle name="Normal 15 2 2 3" xfId="6803" xr:uid="{00000000-0005-0000-0000-000005120000}"/>
    <cellStyle name="Normal 15 2 3" xfId="1756" xr:uid="{00000000-0005-0000-0000-000006120000}"/>
    <cellStyle name="Normal 15 2 3 2" xfId="5778" xr:uid="{00000000-0005-0000-0000-000007120000}"/>
    <cellStyle name="Normal 15 2 3 3" xfId="7003" xr:uid="{00000000-0005-0000-0000-000008120000}"/>
    <cellStyle name="Normal 15 2 4" xfId="1932" xr:uid="{00000000-0005-0000-0000-000009120000}"/>
    <cellStyle name="Normal 15 2 4 2" xfId="5952" xr:uid="{00000000-0005-0000-0000-00000A120000}"/>
    <cellStyle name="Normal 15 2 4 3" xfId="7179" xr:uid="{00000000-0005-0000-0000-00000B120000}"/>
    <cellStyle name="Normal 15 2 5" xfId="2653" xr:uid="{00000000-0005-0000-0000-00000C120000}"/>
    <cellStyle name="Normal 15 2 5 2" xfId="3644" xr:uid="{00000000-0005-0000-0000-00000D120000}"/>
    <cellStyle name="Normal 15 2 5 3" xfId="5316" xr:uid="{00000000-0005-0000-0000-00000E120000}"/>
    <cellStyle name="Normal 15 2 5 4" xfId="7864" xr:uid="{00000000-0005-0000-0000-00000F120000}"/>
    <cellStyle name="Normal 15 2 6" xfId="4136" xr:uid="{00000000-0005-0000-0000-000010120000}"/>
    <cellStyle name="Normal 15 2 7" xfId="6531" xr:uid="{00000000-0005-0000-0000-000011120000}"/>
    <cellStyle name="Normal 15 2 8" xfId="1279" xr:uid="{00000000-0005-0000-0000-000012120000}"/>
    <cellStyle name="Normal 15 3" xfId="1326" xr:uid="{00000000-0005-0000-0000-000013120000}"/>
    <cellStyle name="Normal 15 3 2" xfId="1594" xr:uid="{00000000-0005-0000-0000-000014120000}"/>
    <cellStyle name="Normal 15 3 2 2" xfId="5620" xr:uid="{00000000-0005-0000-0000-000015120000}"/>
    <cellStyle name="Normal 15 3 2 3" xfId="6845" xr:uid="{00000000-0005-0000-0000-000016120000}"/>
    <cellStyle name="Normal 15 3 3" xfId="1798" xr:uid="{00000000-0005-0000-0000-000017120000}"/>
    <cellStyle name="Normal 15 3 3 2" xfId="5819" xr:uid="{00000000-0005-0000-0000-000018120000}"/>
    <cellStyle name="Normal 15 3 3 3" xfId="7045" xr:uid="{00000000-0005-0000-0000-000019120000}"/>
    <cellStyle name="Normal 15 3 4" xfId="1931" xr:uid="{00000000-0005-0000-0000-00001A120000}"/>
    <cellStyle name="Normal 15 3 4 2" xfId="5951" xr:uid="{00000000-0005-0000-0000-00001B120000}"/>
    <cellStyle name="Normal 15 3 4 3" xfId="7178" xr:uid="{00000000-0005-0000-0000-00001C120000}"/>
    <cellStyle name="Normal 15 3 5" xfId="5362" xr:uid="{00000000-0005-0000-0000-00001D120000}"/>
    <cellStyle name="Normal 15 3 6" xfId="6578" xr:uid="{00000000-0005-0000-0000-00001E120000}"/>
    <cellStyle name="Normal 15 4" xfId="1484" xr:uid="{00000000-0005-0000-0000-00001F120000}"/>
    <cellStyle name="Normal 15 4 2" xfId="5512" xr:uid="{00000000-0005-0000-0000-000020120000}"/>
    <cellStyle name="Normal 15 4 3" xfId="6736" xr:uid="{00000000-0005-0000-0000-000021120000}"/>
    <cellStyle name="Normal 15 5" xfId="1691" xr:uid="{00000000-0005-0000-0000-000022120000}"/>
    <cellStyle name="Normal 15 5 2" xfId="5713" xr:uid="{00000000-0005-0000-0000-000023120000}"/>
    <cellStyle name="Normal 15 5 3" xfId="6938" xr:uid="{00000000-0005-0000-0000-000024120000}"/>
    <cellStyle name="Normal 15 6" xfId="1990" xr:uid="{00000000-0005-0000-0000-000025120000}"/>
    <cellStyle name="Normal 15 6 2" xfId="6009" xr:uid="{00000000-0005-0000-0000-000026120000}"/>
    <cellStyle name="Normal 15 6 3" xfId="7237" xr:uid="{00000000-0005-0000-0000-000027120000}"/>
    <cellStyle name="Normal 15 7" xfId="2279" xr:uid="{00000000-0005-0000-0000-000028120000}"/>
    <cellStyle name="Normal 15 7 2" xfId="3624" xr:uid="{00000000-0005-0000-0000-000029120000}"/>
    <cellStyle name="Normal 15 7 3" xfId="5253" xr:uid="{00000000-0005-0000-0000-00002A120000}"/>
    <cellStyle name="Normal 15 7 4" xfId="7512" xr:uid="{00000000-0005-0000-0000-00002B120000}"/>
    <cellStyle name="Normal 15 8" xfId="2629" xr:uid="{00000000-0005-0000-0000-00002C120000}"/>
    <cellStyle name="Normal 15 8 2" xfId="4998" xr:uid="{00000000-0005-0000-0000-00002D120000}"/>
    <cellStyle name="Normal 15 8 3" xfId="7846" xr:uid="{00000000-0005-0000-0000-00002E120000}"/>
    <cellStyle name="Normal 15 9" xfId="3882" xr:uid="{00000000-0005-0000-0000-00002F120000}"/>
    <cellStyle name="Normal 16" xfId="489" xr:uid="{00000000-0005-0000-0000-000030120000}"/>
    <cellStyle name="Normal 16 10" xfId="3886" xr:uid="{00000000-0005-0000-0000-000031120000}"/>
    <cellStyle name="Normal 16 11" xfId="6467" xr:uid="{00000000-0005-0000-0000-000032120000}"/>
    <cellStyle name="Normal 16 12" xfId="1215" xr:uid="{00000000-0005-0000-0000-000033120000}"/>
    <cellStyle name="Normal 16 2" xfId="490" xr:uid="{00000000-0005-0000-0000-000034120000}"/>
    <cellStyle name="Normal 16 2 2" xfId="1552" xr:uid="{00000000-0005-0000-0000-000035120000}"/>
    <cellStyle name="Normal 16 2 2 2" xfId="3686" xr:uid="{00000000-0005-0000-0000-000036120000}"/>
    <cellStyle name="Normal 16 2 2 2 2" xfId="5579" xr:uid="{00000000-0005-0000-0000-000037120000}"/>
    <cellStyle name="Normal 16 2 2 2 3" xfId="8614" xr:uid="{00000000-0005-0000-0000-000038120000}"/>
    <cellStyle name="Normal 16 2 2 3" xfId="4626" xr:uid="{00000000-0005-0000-0000-000039120000}"/>
    <cellStyle name="Normal 16 2 2 4" xfId="6804" xr:uid="{00000000-0005-0000-0000-00003A120000}"/>
    <cellStyle name="Normal 16 2 3" xfId="1757" xr:uid="{00000000-0005-0000-0000-00003B120000}"/>
    <cellStyle name="Normal 16 2 3 2" xfId="3700" xr:uid="{00000000-0005-0000-0000-00003C120000}"/>
    <cellStyle name="Normal 16 2 3 2 2" xfId="5779" xr:uid="{00000000-0005-0000-0000-00003D120000}"/>
    <cellStyle name="Normal 16 2 3 2 3" xfId="8620" xr:uid="{00000000-0005-0000-0000-00003E120000}"/>
    <cellStyle name="Normal 16 2 3 3" xfId="4709" xr:uid="{00000000-0005-0000-0000-00003F120000}"/>
    <cellStyle name="Normal 16 2 3 4" xfId="7004" xr:uid="{00000000-0005-0000-0000-000040120000}"/>
    <cellStyle name="Normal 16 2 4" xfId="1978" xr:uid="{00000000-0005-0000-0000-000041120000}"/>
    <cellStyle name="Normal 16 2 4 2" xfId="5997" xr:uid="{00000000-0005-0000-0000-000042120000}"/>
    <cellStyle name="Normal 16 2 4 3" xfId="7225" xr:uid="{00000000-0005-0000-0000-000043120000}"/>
    <cellStyle name="Normal 16 2 5" xfId="3645" xr:uid="{00000000-0005-0000-0000-000044120000}"/>
    <cellStyle name="Normal 16 2 5 2" xfId="5317" xr:uid="{00000000-0005-0000-0000-000045120000}"/>
    <cellStyle name="Normal 16 2 5 3" xfId="8600" xr:uid="{00000000-0005-0000-0000-000046120000}"/>
    <cellStyle name="Normal 16 2 6" xfId="2869" xr:uid="{00000000-0005-0000-0000-000047120000}"/>
    <cellStyle name="Normal 16 2 7" xfId="4137" xr:uid="{00000000-0005-0000-0000-000048120000}"/>
    <cellStyle name="Normal 16 2 8" xfId="6532" xr:uid="{00000000-0005-0000-0000-000049120000}"/>
    <cellStyle name="Normal 16 2 9" xfId="1280" xr:uid="{00000000-0005-0000-0000-00004A120000}"/>
    <cellStyle name="Normal 16 3" xfId="1327" xr:uid="{00000000-0005-0000-0000-00004B120000}"/>
    <cellStyle name="Normal 16 3 2" xfId="1595" xr:uid="{00000000-0005-0000-0000-00004C120000}"/>
    <cellStyle name="Normal 16 3 2 2" xfId="5621" xr:uid="{00000000-0005-0000-0000-00004D120000}"/>
    <cellStyle name="Normal 16 3 2 3" xfId="6846" xr:uid="{00000000-0005-0000-0000-00004E120000}"/>
    <cellStyle name="Normal 16 3 3" xfId="1799" xr:uid="{00000000-0005-0000-0000-00004F120000}"/>
    <cellStyle name="Normal 16 3 3 2" xfId="5820" xr:uid="{00000000-0005-0000-0000-000050120000}"/>
    <cellStyle name="Normal 16 3 3 3" xfId="7046" xr:uid="{00000000-0005-0000-0000-000051120000}"/>
    <cellStyle name="Normal 16 3 4" xfId="1977" xr:uid="{00000000-0005-0000-0000-000052120000}"/>
    <cellStyle name="Normal 16 3 4 2" xfId="5996" xr:uid="{00000000-0005-0000-0000-000053120000}"/>
    <cellStyle name="Normal 16 3 4 3" xfId="7224" xr:uid="{00000000-0005-0000-0000-000054120000}"/>
    <cellStyle name="Normal 16 3 5" xfId="3663" xr:uid="{00000000-0005-0000-0000-000055120000}"/>
    <cellStyle name="Normal 16 3 5 2" xfId="5363" xr:uid="{00000000-0005-0000-0000-000056120000}"/>
    <cellStyle name="Normal 16 3 5 3" xfId="8606" xr:uid="{00000000-0005-0000-0000-000057120000}"/>
    <cellStyle name="Normal 16 3 6" xfId="4627" xr:uid="{00000000-0005-0000-0000-000058120000}"/>
    <cellStyle name="Normal 16 3 7" xfId="6579" xr:uid="{00000000-0005-0000-0000-000059120000}"/>
    <cellStyle name="Normal 16 4" xfId="1485" xr:uid="{00000000-0005-0000-0000-00005A120000}"/>
    <cellStyle name="Normal 16 4 2" xfId="3679" xr:uid="{00000000-0005-0000-0000-00005B120000}"/>
    <cellStyle name="Normal 16 4 2 2" xfId="5513" xr:uid="{00000000-0005-0000-0000-00005C120000}"/>
    <cellStyle name="Normal 16 4 2 3" xfId="8611" xr:uid="{00000000-0005-0000-0000-00005D120000}"/>
    <cellStyle name="Normal 16 4 3" xfId="4710" xr:uid="{00000000-0005-0000-0000-00005E120000}"/>
    <cellStyle name="Normal 16 4 4" xfId="6737" xr:uid="{00000000-0005-0000-0000-00005F120000}"/>
    <cellStyle name="Normal 16 5" xfId="1692" xr:uid="{00000000-0005-0000-0000-000060120000}"/>
    <cellStyle name="Normal 16 5 2" xfId="5714" xr:uid="{00000000-0005-0000-0000-000061120000}"/>
    <cellStyle name="Normal 16 5 3" xfId="6939" xr:uid="{00000000-0005-0000-0000-000062120000}"/>
    <cellStyle name="Normal 16 6" xfId="1986" xr:uid="{00000000-0005-0000-0000-000063120000}"/>
    <cellStyle name="Normal 16 6 2" xfId="6005" xr:uid="{00000000-0005-0000-0000-000064120000}"/>
    <cellStyle name="Normal 16 6 3" xfId="7233" xr:uid="{00000000-0005-0000-0000-000065120000}"/>
    <cellStyle name="Normal 16 7" xfId="2622" xr:uid="{00000000-0005-0000-0000-000066120000}"/>
    <cellStyle name="Normal 16 7 2" xfId="3625" xr:uid="{00000000-0005-0000-0000-000067120000}"/>
    <cellStyle name="Normal 16 7 3" xfId="5254" xr:uid="{00000000-0005-0000-0000-000068120000}"/>
    <cellStyle name="Normal 16 7 4" xfId="7839" xr:uid="{00000000-0005-0000-0000-000069120000}"/>
    <cellStyle name="Normal 16 8" xfId="3368" xr:uid="{00000000-0005-0000-0000-00006A120000}"/>
    <cellStyle name="Normal 16 8 2" xfId="4999" xr:uid="{00000000-0005-0000-0000-00006B120000}"/>
    <cellStyle name="Normal 16 8 3" xfId="8401" xr:uid="{00000000-0005-0000-0000-00006C120000}"/>
    <cellStyle name="Normal 16 9" xfId="2870" xr:uid="{00000000-0005-0000-0000-00006D120000}"/>
    <cellStyle name="Normal 17" xfId="491" xr:uid="{00000000-0005-0000-0000-00006E120000}"/>
    <cellStyle name="Normal 17 10" xfId="8874" xr:uid="{00000000-0005-0000-0000-00006F120000}"/>
    <cellStyle name="Normal 17 11" xfId="1216" xr:uid="{00000000-0005-0000-0000-000070120000}"/>
    <cellStyle name="Normal 17 2" xfId="1248" xr:uid="{00000000-0005-0000-0000-000071120000}"/>
    <cellStyle name="Normal 17 2 2" xfId="1338" xr:uid="{00000000-0005-0000-0000-000072120000}"/>
    <cellStyle name="Normal 17 2 2 2" xfId="1354" xr:uid="{00000000-0005-0000-0000-000073120000}"/>
    <cellStyle name="Normal 17 2 2 2 2" xfId="1622" xr:uid="{00000000-0005-0000-0000-000074120000}"/>
    <cellStyle name="Normal 17 2 2 2 2 2" xfId="5648" xr:uid="{00000000-0005-0000-0000-000075120000}"/>
    <cellStyle name="Normal 17 2 2 2 2 3" xfId="6873" xr:uid="{00000000-0005-0000-0000-000076120000}"/>
    <cellStyle name="Normal 17 2 2 2 3" xfId="1823" xr:uid="{00000000-0005-0000-0000-000077120000}"/>
    <cellStyle name="Normal 17 2 2 2 3 2" xfId="5844" xr:uid="{00000000-0005-0000-0000-000078120000}"/>
    <cellStyle name="Normal 17 2 2 2 3 3" xfId="7070" xr:uid="{00000000-0005-0000-0000-000079120000}"/>
    <cellStyle name="Normal 17 2 2 2 4" xfId="1940" xr:uid="{00000000-0005-0000-0000-00007A120000}"/>
    <cellStyle name="Normal 17 2 2 2 4 2" xfId="5960" xr:uid="{00000000-0005-0000-0000-00007B120000}"/>
    <cellStyle name="Normal 17 2 2 2 4 3" xfId="7187" xr:uid="{00000000-0005-0000-0000-00007C120000}"/>
    <cellStyle name="Normal 17 2 2 2 5" xfId="5388" xr:uid="{00000000-0005-0000-0000-00007D120000}"/>
    <cellStyle name="Normal 17 2 2 2 6" xfId="6606" xr:uid="{00000000-0005-0000-0000-00007E120000}"/>
    <cellStyle name="Normal 17 2 2 3" xfId="1606" xr:uid="{00000000-0005-0000-0000-00007F120000}"/>
    <cellStyle name="Normal 17 2 2 3 2" xfId="5632" xr:uid="{00000000-0005-0000-0000-000080120000}"/>
    <cellStyle name="Normal 17 2 2 3 3" xfId="6857" xr:uid="{00000000-0005-0000-0000-000081120000}"/>
    <cellStyle name="Normal 17 2 2 4" xfId="1807" xr:uid="{00000000-0005-0000-0000-000082120000}"/>
    <cellStyle name="Normal 17 2 2 4 2" xfId="5828" xr:uid="{00000000-0005-0000-0000-000083120000}"/>
    <cellStyle name="Normal 17 2 2 4 3" xfId="7054" xr:uid="{00000000-0005-0000-0000-000084120000}"/>
    <cellStyle name="Normal 17 2 2 5" xfId="1944" xr:uid="{00000000-0005-0000-0000-000085120000}"/>
    <cellStyle name="Normal 17 2 2 5 2" xfId="5964" xr:uid="{00000000-0005-0000-0000-000086120000}"/>
    <cellStyle name="Normal 17 2 2 5 3" xfId="7191" xr:uid="{00000000-0005-0000-0000-000087120000}"/>
    <cellStyle name="Normal 17 2 2 6" xfId="5372" xr:uid="{00000000-0005-0000-0000-000088120000}"/>
    <cellStyle name="Normal 17 2 2 7" xfId="6590" xr:uid="{00000000-0005-0000-0000-000089120000}"/>
    <cellStyle name="Normal 17 2 3" xfId="1363" xr:uid="{00000000-0005-0000-0000-00008A120000}"/>
    <cellStyle name="Normal 17 2 3 2" xfId="1631" xr:uid="{00000000-0005-0000-0000-00008B120000}"/>
    <cellStyle name="Normal 17 2 3 2 2" xfId="5657" xr:uid="{00000000-0005-0000-0000-00008C120000}"/>
    <cellStyle name="Normal 17 2 3 2 3" xfId="6882" xr:uid="{00000000-0005-0000-0000-00008D120000}"/>
    <cellStyle name="Normal 17 2 3 3" xfId="1831" xr:uid="{00000000-0005-0000-0000-00008E120000}"/>
    <cellStyle name="Normal 17 2 3 3 2" xfId="5852" xr:uid="{00000000-0005-0000-0000-00008F120000}"/>
    <cellStyle name="Normal 17 2 3 3 3" xfId="7078" xr:uid="{00000000-0005-0000-0000-000090120000}"/>
    <cellStyle name="Normal 17 2 3 4" xfId="1893" xr:uid="{00000000-0005-0000-0000-000091120000}"/>
    <cellStyle name="Normal 17 2 3 4 2" xfId="5913" xr:uid="{00000000-0005-0000-0000-000092120000}"/>
    <cellStyle name="Normal 17 2 3 4 3" xfId="7140" xr:uid="{00000000-0005-0000-0000-000093120000}"/>
    <cellStyle name="Normal 17 2 3 5" xfId="5396" xr:uid="{00000000-0005-0000-0000-000094120000}"/>
    <cellStyle name="Normal 17 2 3 6" xfId="6615" xr:uid="{00000000-0005-0000-0000-000095120000}"/>
    <cellStyle name="Normal 17 2 4" xfId="1518" xr:uid="{00000000-0005-0000-0000-000096120000}"/>
    <cellStyle name="Normal 17 2 4 2" xfId="5546" xr:uid="{00000000-0005-0000-0000-000097120000}"/>
    <cellStyle name="Normal 17 2 4 3" xfId="6770" xr:uid="{00000000-0005-0000-0000-000098120000}"/>
    <cellStyle name="Normal 17 2 5" xfId="1723" xr:uid="{00000000-0005-0000-0000-000099120000}"/>
    <cellStyle name="Normal 17 2 5 2" xfId="5745" xr:uid="{00000000-0005-0000-0000-00009A120000}"/>
    <cellStyle name="Normal 17 2 5 3" xfId="6970" xr:uid="{00000000-0005-0000-0000-00009B120000}"/>
    <cellStyle name="Normal 17 2 6" xfId="1718" xr:uid="{00000000-0005-0000-0000-00009C120000}"/>
    <cellStyle name="Normal 17 2 6 2" xfId="5740" xr:uid="{00000000-0005-0000-0000-00009D120000}"/>
    <cellStyle name="Normal 17 2 6 3" xfId="6965" xr:uid="{00000000-0005-0000-0000-00009E120000}"/>
    <cellStyle name="Normal 17 2 7" xfId="5285" xr:uid="{00000000-0005-0000-0000-00009F120000}"/>
    <cellStyle name="Normal 17 2 8" xfId="6500" xr:uid="{00000000-0005-0000-0000-0000A0120000}"/>
    <cellStyle name="Normal 17 3" xfId="1297" xr:uid="{00000000-0005-0000-0000-0000A1120000}"/>
    <cellStyle name="Normal 17 3 2" xfId="1328" xr:uid="{00000000-0005-0000-0000-0000A2120000}"/>
    <cellStyle name="Normal 17 3 2 2" xfId="1596" xr:uid="{00000000-0005-0000-0000-0000A3120000}"/>
    <cellStyle name="Normal 17 3 2 2 2" xfId="5622" xr:uid="{00000000-0005-0000-0000-0000A4120000}"/>
    <cellStyle name="Normal 17 3 2 2 3" xfId="6847" xr:uid="{00000000-0005-0000-0000-0000A5120000}"/>
    <cellStyle name="Normal 17 3 2 3" xfId="1800" xr:uid="{00000000-0005-0000-0000-0000A6120000}"/>
    <cellStyle name="Normal 17 3 2 3 2" xfId="5821" xr:uid="{00000000-0005-0000-0000-0000A7120000}"/>
    <cellStyle name="Normal 17 3 2 3 3" xfId="7047" xr:uid="{00000000-0005-0000-0000-0000A8120000}"/>
    <cellStyle name="Normal 17 3 2 4" xfId="1905" xr:uid="{00000000-0005-0000-0000-0000A9120000}"/>
    <cellStyle name="Normal 17 3 2 4 2" xfId="5925" xr:uid="{00000000-0005-0000-0000-0000AA120000}"/>
    <cellStyle name="Normal 17 3 2 4 3" xfId="7152" xr:uid="{00000000-0005-0000-0000-0000AB120000}"/>
    <cellStyle name="Normal 17 3 2 5" xfId="5364" xr:uid="{00000000-0005-0000-0000-0000AC120000}"/>
    <cellStyle name="Normal 17 3 2 6" xfId="6580" xr:uid="{00000000-0005-0000-0000-0000AD120000}"/>
    <cellStyle name="Normal 17 3 3" xfId="1565" xr:uid="{00000000-0005-0000-0000-0000AE120000}"/>
    <cellStyle name="Normal 17 3 3 2" xfId="5591" xr:uid="{00000000-0005-0000-0000-0000AF120000}"/>
    <cellStyle name="Normal 17 3 3 3" xfId="6816" xr:uid="{00000000-0005-0000-0000-0000B0120000}"/>
    <cellStyle name="Normal 17 3 4" xfId="1769" xr:uid="{00000000-0005-0000-0000-0000B1120000}"/>
    <cellStyle name="Normal 17 3 4 2" xfId="5790" xr:uid="{00000000-0005-0000-0000-0000B2120000}"/>
    <cellStyle name="Normal 17 3 4 3" xfId="7016" xr:uid="{00000000-0005-0000-0000-0000B3120000}"/>
    <cellStyle name="Normal 17 3 5" xfId="1904" xr:uid="{00000000-0005-0000-0000-0000B4120000}"/>
    <cellStyle name="Normal 17 3 5 2" xfId="5924" xr:uid="{00000000-0005-0000-0000-0000B5120000}"/>
    <cellStyle name="Normal 17 3 5 3" xfId="7151" xr:uid="{00000000-0005-0000-0000-0000B6120000}"/>
    <cellStyle name="Normal 17 3 6" xfId="5333" xr:uid="{00000000-0005-0000-0000-0000B7120000}"/>
    <cellStyle name="Normal 17 3 7" xfId="6549" xr:uid="{00000000-0005-0000-0000-0000B8120000}"/>
    <cellStyle name="Normal 17 4" xfId="1486" xr:uid="{00000000-0005-0000-0000-0000B9120000}"/>
    <cellStyle name="Normal 17 4 2" xfId="5514" xr:uid="{00000000-0005-0000-0000-0000BA120000}"/>
    <cellStyle name="Normal 17 4 3" xfId="6738" xr:uid="{00000000-0005-0000-0000-0000BB120000}"/>
    <cellStyle name="Normal 17 5" xfId="1693" xr:uid="{00000000-0005-0000-0000-0000BC120000}"/>
    <cellStyle name="Normal 17 5 2" xfId="5715" xr:uid="{00000000-0005-0000-0000-0000BD120000}"/>
    <cellStyle name="Normal 17 5 3" xfId="6940" xr:uid="{00000000-0005-0000-0000-0000BE120000}"/>
    <cellStyle name="Normal 17 6" xfId="1921" xr:uid="{00000000-0005-0000-0000-0000BF120000}"/>
    <cellStyle name="Normal 17 6 2" xfId="5941" xr:uid="{00000000-0005-0000-0000-0000C0120000}"/>
    <cellStyle name="Normal 17 6 3" xfId="7168" xr:uid="{00000000-0005-0000-0000-0000C1120000}"/>
    <cellStyle name="Normal 17 7" xfId="3626" xr:uid="{00000000-0005-0000-0000-0000C2120000}"/>
    <cellStyle name="Normal 17 7 2" xfId="5255" xr:uid="{00000000-0005-0000-0000-0000C3120000}"/>
    <cellStyle name="Normal 17 7 3" xfId="8594" xr:uid="{00000000-0005-0000-0000-0000C4120000}"/>
    <cellStyle name="Normal 17 8" xfId="4514" xr:uid="{00000000-0005-0000-0000-0000C5120000}"/>
    <cellStyle name="Normal 17 9" xfId="6468" xr:uid="{00000000-0005-0000-0000-0000C6120000}"/>
    <cellStyle name="Normal 18" xfId="492" xr:uid="{00000000-0005-0000-0000-0000C7120000}"/>
    <cellStyle name="Normal 18 2" xfId="1493" xr:uid="{00000000-0005-0000-0000-0000C8120000}"/>
    <cellStyle name="Normal 18 2 2" xfId="2280" xr:uid="{00000000-0005-0000-0000-0000C9120000}"/>
    <cellStyle name="Normal 18 2 2 2" xfId="3680" xr:uid="{00000000-0005-0000-0000-0000CA120000}"/>
    <cellStyle name="Normal 18 2 2 3" xfId="5521" xr:uid="{00000000-0005-0000-0000-0000CB120000}"/>
    <cellStyle name="Normal 18 2 2 4" xfId="7513" xr:uid="{00000000-0005-0000-0000-0000CC120000}"/>
    <cellStyle name="Normal 18 2 3" xfId="4138" xr:uid="{00000000-0005-0000-0000-0000CD120000}"/>
    <cellStyle name="Normal 18 2 4" xfId="6745" xr:uid="{00000000-0005-0000-0000-0000CE120000}"/>
    <cellStyle name="Normal 18 3" xfId="1700" xr:uid="{00000000-0005-0000-0000-0000CF120000}"/>
    <cellStyle name="Normal 18 3 2" xfId="5722" xr:uid="{00000000-0005-0000-0000-0000D0120000}"/>
    <cellStyle name="Normal 18 3 3" xfId="6947" xr:uid="{00000000-0005-0000-0000-0000D1120000}"/>
    <cellStyle name="Normal 18 4" xfId="1982" xr:uid="{00000000-0005-0000-0000-0000D2120000}"/>
    <cellStyle name="Normal 18 4 2" xfId="6001" xr:uid="{00000000-0005-0000-0000-0000D3120000}"/>
    <cellStyle name="Normal 18 4 3" xfId="7229" xr:uid="{00000000-0005-0000-0000-0000D4120000}"/>
    <cellStyle name="Normal 18 5" xfId="2751" xr:uid="{00000000-0005-0000-0000-0000D5120000}"/>
    <cellStyle name="Normal 18 5 2" xfId="2752" xr:uid="{00000000-0005-0000-0000-0000D6120000}"/>
    <cellStyle name="Normal 18 5 2 2" xfId="3627" xr:uid="{00000000-0005-0000-0000-0000D7120000}"/>
    <cellStyle name="Normal 18 5 3" xfId="5262" xr:uid="{00000000-0005-0000-0000-0000D8120000}"/>
    <cellStyle name="Normal 18 5 4" xfId="7937" xr:uid="{00000000-0005-0000-0000-0000D9120000}"/>
    <cellStyle name="Normal 18 6" xfId="3853" xr:uid="{00000000-0005-0000-0000-0000DA120000}"/>
    <cellStyle name="Normal 18 7" xfId="4515" xr:uid="{00000000-0005-0000-0000-0000DB120000}"/>
    <cellStyle name="Normal 18 8" xfId="6475" xr:uid="{00000000-0005-0000-0000-0000DC120000}"/>
    <cellStyle name="Normal 18 9" xfId="1223" xr:uid="{00000000-0005-0000-0000-0000DD120000}"/>
    <cellStyle name="Normal 19" xfId="493" xr:uid="{00000000-0005-0000-0000-0000DE120000}"/>
    <cellStyle name="Normal 19 2" xfId="494" xr:uid="{00000000-0005-0000-0000-0000DF120000}"/>
    <cellStyle name="Normal 19 2 2" xfId="1626" xr:uid="{00000000-0005-0000-0000-0000E0120000}"/>
    <cellStyle name="Normal 19 2 2 2" xfId="5652" xr:uid="{00000000-0005-0000-0000-0000E1120000}"/>
    <cellStyle name="Normal 19 2 2 3" xfId="6877" xr:uid="{00000000-0005-0000-0000-0000E2120000}"/>
    <cellStyle name="Normal 19 2 3" xfId="1827" xr:uid="{00000000-0005-0000-0000-0000E3120000}"/>
    <cellStyle name="Normal 19 2 3 2" xfId="5848" xr:uid="{00000000-0005-0000-0000-0000E4120000}"/>
    <cellStyle name="Normal 19 2 3 3" xfId="7074" xr:uid="{00000000-0005-0000-0000-0000E5120000}"/>
    <cellStyle name="Normal 19 2 4" xfId="1922" xr:uid="{00000000-0005-0000-0000-0000E6120000}"/>
    <cellStyle name="Normal 19 2 4 2" xfId="5942" xr:uid="{00000000-0005-0000-0000-0000E7120000}"/>
    <cellStyle name="Normal 19 2 4 3" xfId="7169" xr:uid="{00000000-0005-0000-0000-0000E8120000}"/>
    <cellStyle name="Normal 19 2 5" xfId="5391" xr:uid="{00000000-0005-0000-0000-0000E9120000}"/>
    <cellStyle name="Normal 19 2 6" xfId="6610" xr:uid="{00000000-0005-0000-0000-0000EA120000}"/>
    <cellStyle name="Normal 19 2 7" xfId="1358" xr:uid="{00000000-0005-0000-0000-0000EB120000}"/>
    <cellStyle name="Normal 19 3" xfId="1367" xr:uid="{00000000-0005-0000-0000-0000EC120000}"/>
    <cellStyle name="Normal 19 3 2" xfId="1635" xr:uid="{00000000-0005-0000-0000-0000ED120000}"/>
    <cellStyle name="Normal 19 3 2 2" xfId="5661" xr:uid="{00000000-0005-0000-0000-0000EE120000}"/>
    <cellStyle name="Normal 19 3 2 3" xfId="6886" xr:uid="{00000000-0005-0000-0000-0000EF120000}"/>
    <cellStyle name="Normal 19 3 3" xfId="1834" xr:uid="{00000000-0005-0000-0000-0000F0120000}"/>
    <cellStyle name="Normal 19 3 3 2" xfId="5855" xr:uid="{00000000-0005-0000-0000-0000F1120000}"/>
    <cellStyle name="Normal 19 3 3 3" xfId="7081" xr:uid="{00000000-0005-0000-0000-0000F2120000}"/>
    <cellStyle name="Normal 19 3 4" xfId="2020" xr:uid="{00000000-0005-0000-0000-0000F3120000}"/>
    <cellStyle name="Normal 19 3 4 2" xfId="6039" xr:uid="{00000000-0005-0000-0000-0000F4120000}"/>
    <cellStyle name="Normal 19 3 4 3" xfId="7267" xr:uid="{00000000-0005-0000-0000-0000F5120000}"/>
    <cellStyle name="Normal 19 3 5" xfId="5400" xr:uid="{00000000-0005-0000-0000-0000F6120000}"/>
    <cellStyle name="Normal 19 3 6" xfId="6619" xr:uid="{00000000-0005-0000-0000-0000F7120000}"/>
    <cellStyle name="Normal 19 4" xfId="1555" xr:uid="{00000000-0005-0000-0000-0000F8120000}"/>
    <cellStyle name="Normal 19 4 2" xfId="5581" xr:uid="{00000000-0005-0000-0000-0000F9120000}"/>
    <cellStyle name="Normal 19 4 3" xfId="6806" xr:uid="{00000000-0005-0000-0000-0000FA120000}"/>
    <cellStyle name="Normal 19 5" xfId="1760" xr:uid="{00000000-0005-0000-0000-0000FB120000}"/>
    <cellStyle name="Normal 19 5 2" xfId="5782" xr:uid="{00000000-0005-0000-0000-0000FC120000}"/>
    <cellStyle name="Normal 19 5 3" xfId="7007" xr:uid="{00000000-0005-0000-0000-0000FD120000}"/>
    <cellStyle name="Normal 19 6" xfId="2010" xr:uid="{00000000-0005-0000-0000-0000FE120000}"/>
    <cellStyle name="Normal 19 6 2" xfId="6029" xr:uid="{00000000-0005-0000-0000-0000FF120000}"/>
    <cellStyle name="Normal 19 6 3" xfId="7257" xr:uid="{00000000-0005-0000-0000-000000130000}"/>
    <cellStyle name="Normal 19 7" xfId="5000" xr:uid="{00000000-0005-0000-0000-000001130000}"/>
    <cellStyle name="Normal 19 8" xfId="6536" xr:uid="{00000000-0005-0000-0000-000002130000}"/>
    <cellStyle name="Normal 19 9" xfId="1284" xr:uid="{00000000-0005-0000-0000-000003130000}"/>
    <cellStyle name="Normal 2" xfId="495" xr:uid="{00000000-0005-0000-0000-000004130000}"/>
    <cellStyle name="Normal 2 10" xfId="496" xr:uid="{00000000-0005-0000-0000-000005130000}"/>
    <cellStyle name="Normal 2 10 2" xfId="497" xr:uid="{00000000-0005-0000-0000-000006130000}"/>
    <cellStyle name="Normal 2 10 2 2" xfId="3647" xr:uid="{00000000-0005-0000-0000-000007130000}"/>
    <cellStyle name="Normal 2 10 2 3" xfId="5319" xr:uid="{00000000-0005-0000-0000-000008130000}"/>
    <cellStyle name="Normal 2 10 2 4" xfId="7514" xr:uid="{00000000-0005-0000-0000-000009130000}"/>
    <cellStyle name="Normal 2 10 2 5" xfId="2281" xr:uid="{00000000-0005-0000-0000-00000A130000}"/>
    <cellStyle name="Normal 2 10 3" xfId="3857" xr:uid="{00000000-0005-0000-0000-00000B130000}"/>
    <cellStyle name="Normal 2 10 4" xfId="6534" xr:uid="{00000000-0005-0000-0000-00000C130000}"/>
    <cellStyle name="Normal 2 10 5" xfId="1282" xr:uid="{00000000-0005-0000-0000-00000D130000}"/>
    <cellStyle name="Normal 2 100" xfId="2282" xr:uid="{00000000-0005-0000-0000-00000E130000}"/>
    <cellStyle name="Normal 2 100 2" xfId="2654" xr:uid="{00000000-0005-0000-0000-00000F130000}"/>
    <cellStyle name="Normal 2 100 2 2" xfId="2929" xr:uid="{00000000-0005-0000-0000-000010130000}"/>
    <cellStyle name="Normal 2 100 2 2 2" xfId="4597" xr:uid="{00000000-0005-0000-0000-000011130000}"/>
    <cellStyle name="Normal 2 100 2 2 3" xfId="7985" xr:uid="{00000000-0005-0000-0000-000012130000}"/>
    <cellStyle name="Normal 2 100 2 3" xfId="3022" xr:uid="{00000000-0005-0000-0000-000013130000}"/>
    <cellStyle name="Normal 2 100 2 3 2" xfId="4681" xr:uid="{00000000-0005-0000-0000-000014130000}"/>
    <cellStyle name="Normal 2 100 2 3 3" xfId="8078" xr:uid="{00000000-0005-0000-0000-000015130000}"/>
    <cellStyle name="Normal 2 100 2 4" xfId="3724" xr:uid="{00000000-0005-0000-0000-000016130000}"/>
    <cellStyle name="Normal 2 100 2 4 2" xfId="6128" xr:uid="{00000000-0005-0000-0000-000017130000}"/>
    <cellStyle name="Normal 2 100 2 4 3" xfId="8638" xr:uid="{00000000-0005-0000-0000-000018130000}"/>
    <cellStyle name="Normal 2 100 2 5" xfId="2824" xr:uid="{00000000-0005-0000-0000-000019130000}"/>
    <cellStyle name="Normal 2 100 2 6" xfId="4140" xr:uid="{00000000-0005-0000-0000-00001A130000}"/>
    <cellStyle name="Normal 2 100 2 7" xfId="7865" xr:uid="{00000000-0005-0000-0000-00001B130000}"/>
    <cellStyle name="Normal 2 100 3" xfId="2914" xr:uid="{00000000-0005-0000-0000-00001C130000}"/>
    <cellStyle name="Normal 2 100 3 2" xfId="4582" xr:uid="{00000000-0005-0000-0000-00001D130000}"/>
    <cellStyle name="Normal 2 100 3 3" xfId="7971" xr:uid="{00000000-0005-0000-0000-00001E130000}"/>
    <cellStyle name="Normal 2 100 4" xfId="3006" xr:uid="{00000000-0005-0000-0000-00001F130000}"/>
    <cellStyle name="Normal 2 100 4 2" xfId="4666" xr:uid="{00000000-0005-0000-0000-000020130000}"/>
    <cellStyle name="Normal 2 100 4 3" xfId="8062" xr:uid="{00000000-0005-0000-0000-000021130000}"/>
    <cellStyle name="Normal 2 100 5" xfId="3829" xr:uid="{00000000-0005-0000-0000-000022130000}"/>
    <cellStyle name="Normal 2 100 5 2" xfId="6212" xr:uid="{00000000-0005-0000-0000-000023130000}"/>
    <cellStyle name="Normal 2 100 5 3" xfId="8740" xr:uid="{00000000-0005-0000-0000-000024130000}"/>
    <cellStyle name="Normal 2 100 6" xfId="2805" xr:uid="{00000000-0005-0000-0000-000025130000}"/>
    <cellStyle name="Normal 2 100 7" xfId="4139" xr:uid="{00000000-0005-0000-0000-000026130000}"/>
    <cellStyle name="Normal 2 100 8" xfId="7515" xr:uid="{00000000-0005-0000-0000-000027130000}"/>
    <cellStyle name="Normal 2 101" xfId="2672" xr:uid="{00000000-0005-0000-0000-000028130000}"/>
    <cellStyle name="Normal 2 101 2" xfId="2655" xr:uid="{00000000-0005-0000-0000-000029130000}"/>
    <cellStyle name="Normal 2 101 3" xfId="4141" xr:uid="{00000000-0005-0000-0000-00002A130000}"/>
    <cellStyle name="Normal 2 101 4" xfId="7871" xr:uid="{00000000-0005-0000-0000-00002B130000}"/>
    <cellStyle name="Normal 2 102" xfId="3369" xr:uid="{00000000-0005-0000-0000-00002C130000}"/>
    <cellStyle name="Normal 2 102 2" xfId="5001" xr:uid="{00000000-0005-0000-0000-00002D130000}"/>
    <cellStyle name="Normal 2 102 3" xfId="8402" xr:uid="{00000000-0005-0000-0000-00002E130000}"/>
    <cellStyle name="Normal 2 103" xfId="3856" xr:uid="{00000000-0005-0000-0000-00002F130000}"/>
    <cellStyle name="Normal 2 104" xfId="6278" xr:uid="{00000000-0005-0000-0000-000030130000}"/>
    <cellStyle name="Normal 2 105" xfId="996" xr:uid="{00000000-0005-0000-0000-000031130000}"/>
    <cellStyle name="Normal 2 106" xfId="8877" xr:uid="{00000000-0005-0000-0000-000032130000}"/>
    <cellStyle name="Normal 2 106 2" xfId="8962" xr:uid="{00000000-0005-0000-0000-000033130000}"/>
    <cellStyle name="Normal 2 11" xfId="498" xr:uid="{00000000-0005-0000-0000-000034130000}"/>
    <cellStyle name="Normal 2 11 10" xfId="1291" xr:uid="{00000000-0005-0000-0000-000035130000}"/>
    <cellStyle name="Normal 2 11 2" xfId="499" xr:uid="{00000000-0005-0000-0000-000036130000}"/>
    <cellStyle name="Normal 2 11 2 2" xfId="5366" xr:uid="{00000000-0005-0000-0000-000037130000}"/>
    <cellStyle name="Normal 2 11 2 3" xfId="6582" xr:uid="{00000000-0005-0000-0000-000038130000}"/>
    <cellStyle name="Normal 2 11 2 4" xfId="1330" xr:uid="{00000000-0005-0000-0000-000039130000}"/>
    <cellStyle name="Normal 2 11 3" xfId="1561" xr:uid="{00000000-0005-0000-0000-00003A130000}"/>
    <cellStyle name="Normal 2 11 3 2" xfId="5587" xr:uid="{00000000-0005-0000-0000-00003B130000}"/>
    <cellStyle name="Normal 2 11 3 3" xfId="6812" xr:uid="{00000000-0005-0000-0000-00003C130000}"/>
    <cellStyle name="Normal 2 11 4" xfId="1766" xr:uid="{00000000-0005-0000-0000-00003D130000}"/>
    <cellStyle name="Normal 2 11 4 2" xfId="5788" xr:uid="{00000000-0005-0000-0000-00003E130000}"/>
    <cellStyle name="Normal 2 11 4 3" xfId="7013" xr:uid="{00000000-0005-0000-0000-00003F130000}"/>
    <cellStyle name="Normal 2 11 5" xfId="1945" xr:uid="{00000000-0005-0000-0000-000040130000}"/>
    <cellStyle name="Normal 2 11 5 2" xfId="5965" xr:uid="{00000000-0005-0000-0000-000041130000}"/>
    <cellStyle name="Normal 2 11 5 3" xfId="7192" xr:uid="{00000000-0005-0000-0000-000042130000}"/>
    <cellStyle name="Normal 2 11 6" xfId="3653" xr:uid="{00000000-0005-0000-0000-000043130000}"/>
    <cellStyle name="Normal 2 11 6 2" xfId="5327" xr:uid="{00000000-0005-0000-0000-000044130000}"/>
    <cellStyle name="Normal 2 11 6 3" xfId="8603" xr:uid="{00000000-0005-0000-0000-000045130000}"/>
    <cellStyle name="Normal 2 11 7" xfId="3370" xr:uid="{00000000-0005-0000-0000-000046130000}"/>
    <cellStyle name="Normal 2 11 7 2" xfId="5002" xr:uid="{00000000-0005-0000-0000-000047130000}"/>
    <cellStyle name="Normal 2 11 7 3" xfId="8403" xr:uid="{00000000-0005-0000-0000-000048130000}"/>
    <cellStyle name="Normal 2 11 8" xfId="3864" xr:uid="{00000000-0005-0000-0000-000049130000}"/>
    <cellStyle name="Normal 2 11 9" xfId="6543" xr:uid="{00000000-0005-0000-0000-00004A130000}"/>
    <cellStyle name="Normal 2 12" xfId="500" xr:uid="{00000000-0005-0000-0000-00004B130000}"/>
    <cellStyle name="Normal 2 12 2" xfId="501" xr:uid="{00000000-0005-0000-0000-00004C130000}"/>
    <cellStyle name="Normal 2 12 2 2" xfId="3665" xr:uid="{00000000-0005-0000-0000-00004D130000}"/>
    <cellStyle name="Normal 2 12 2 3" xfId="5371" xr:uid="{00000000-0005-0000-0000-00004E130000}"/>
    <cellStyle name="Normal 2 12 2 4" xfId="7517" xr:uid="{00000000-0005-0000-0000-00004F130000}"/>
    <cellStyle name="Normal 2 12 2 5" xfId="2284" xr:uid="{00000000-0005-0000-0000-000050130000}"/>
    <cellStyle name="Normal 2 12 3" xfId="502" xr:uid="{00000000-0005-0000-0000-000051130000}"/>
    <cellStyle name="Normal 2 12 3 2" xfId="5003" xr:uid="{00000000-0005-0000-0000-000052130000}"/>
    <cellStyle name="Normal 2 12 3 3" xfId="8404" xr:uid="{00000000-0005-0000-0000-000053130000}"/>
    <cellStyle name="Normal 2 12 3 4" xfId="3371" xr:uid="{00000000-0005-0000-0000-000054130000}"/>
    <cellStyle name="Normal 2 12 4" xfId="3865" xr:uid="{00000000-0005-0000-0000-000055130000}"/>
    <cellStyle name="Normal 2 12 5" xfId="6589" xr:uid="{00000000-0005-0000-0000-000056130000}"/>
    <cellStyle name="Normal 2 12 6" xfId="1337" xr:uid="{00000000-0005-0000-0000-000057130000}"/>
    <cellStyle name="Normal 2 13" xfId="503" xr:uid="{00000000-0005-0000-0000-000058130000}"/>
    <cellStyle name="Normal 2 13 2" xfId="504" xr:uid="{00000000-0005-0000-0000-000059130000}"/>
    <cellStyle name="Normal 2 13 2 2" xfId="1892" xr:uid="{00000000-0005-0000-0000-00005A130000}"/>
    <cellStyle name="Normal 2 13 2 2 2" xfId="1896" xr:uid="{00000000-0005-0000-0000-00005B130000}"/>
    <cellStyle name="Normal 2 13 2 2 2 2" xfId="5916" xr:uid="{00000000-0005-0000-0000-00005C130000}"/>
    <cellStyle name="Normal 2 13 2 2 2 3" xfId="7143" xr:uid="{00000000-0005-0000-0000-00005D130000}"/>
    <cellStyle name="Normal 2 13 2 2 3" xfId="5912" xr:uid="{00000000-0005-0000-0000-00005E130000}"/>
    <cellStyle name="Normal 2 13 2 2 4" xfId="7139" xr:uid="{00000000-0005-0000-0000-00005F130000}"/>
    <cellStyle name="Normal 2 13 2 3" xfId="5474" xr:uid="{00000000-0005-0000-0000-000060130000}"/>
    <cellStyle name="Normal 2 13 2 4" xfId="6697" xr:uid="{00000000-0005-0000-0000-000061130000}"/>
    <cellStyle name="Normal 2 13 2 5" xfId="1445" xr:uid="{00000000-0005-0000-0000-000062130000}"/>
    <cellStyle name="Normal 2 13 3" xfId="1598" xr:uid="{00000000-0005-0000-0000-000063130000}"/>
    <cellStyle name="Normal 2 13 3 2" xfId="5624" xr:uid="{00000000-0005-0000-0000-000064130000}"/>
    <cellStyle name="Normal 2 13 3 3" xfId="6849" xr:uid="{00000000-0005-0000-0000-000065130000}"/>
    <cellStyle name="Normal 2 13 4" xfId="2065" xr:uid="{00000000-0005-0000-0000-000066130000}"/>
    <cellStyle name="Normal 2 13 4 2" xfId="6084" xr:uid="{00000000-0005-0000-0000-000067130000}"/>
    <cellStyle name="Normal 2 13 4 3" xfId="7312" xr:uid="{00000000-0005-0000-0000-000068130000}"/>
    <cellStyle name="Normal 2 13 5" xfId="3866" xr:uid="{00000000-0005-0000-0000-000069130000}"/>
    <cellStyle name="Normal 2 13 6" xfId="6691" xr:uid="{00000000-0005-0000-0000-00006A130000}"/>
    <cellStyle name="Normal 2 13 7" xfId="1439" xr:uid="{00000000-0005-0000-0000-00006B130000}"/>
    <cellStyle name="Normal 2 14" xfId="505" xr:uid="{00000000-0005-0000-0000-00006C130000}"/>
    <cellStyle name="Normal 2 14 2" xfId="506" xr:uid="{00000000-0005-0000-0000-00006D130000}"/>
    <cellStyle name="Normal 2 14 2 2" xfId="5896" xr:uid="{00000000-0005-0000-0000-00006E130000}"/>
    <cellStyle name="Normal 2 14 2 3" xfId="7123" xr:uid="{00000000-0005-0000-0000-00006F130000}"/>
    <cellStyle name="Normal 2 14 2 4" xfId="1876" xr:uid="{00000000-0005-0000-0000-000070130000}"/>
    <cellStyle name="Normal 2 14 3" xfId="4142" xr:uid="{00000000-0005-0000-0000-000071130000}"/>
    <cellStyle name="Normal 2 14 4" xfId="6772" xr:uid="{00000000-0005-0000-0000-000072130000}"/>
    <cellStyle name="Normal 2 14 5" xfId="1520" xr:uid="{00000000-0005-0000-0000-000073130000}"/>
    <cellStyle name="Normal 2 15" xfId="507" xr:uid="{00000000-0005-0000-0000-000074130000}"/>
    <cellStyle name="Normal 2 15 2" xfId="508" xr:uid="{00000000-0005-0000-0000-000075130000}"/>
    <cellStyle name="Normal 2 15 2 2" xfId="5954" xr:uid="{00000000-0005-0000-0000-000076130000}"/>
    <cellStyle name="Normal 2 15 2 3" xfId="7181" xr:uid="{00000000-0005-0000-0000-000077130000}"/>
    <cellStyle name="Normal 2 15 2 4" xfId="1934" xr:uid="{00000000-0005-0000-0000-000078130000}"/>
    <cellStyle name="Normal 2 15 3" xfId="4143" xr:uid="{00000000-0005-0000-0000-000079130000}"/>
    <cellStyle name="Normal 2 15 4" xfId="7218" xr:uid="{00000000-0005-0000-0000-00007A130000}"/>
    <cellStyle name="Normal 2 15 5" xfId="1971" xr:uid="{00000000-0005-0000-0000-00007B130000}"/>
    <cellStyle name="Normal 2 16" xfId="509" xr:uid="{00000000-0005-0000-0000-00007C130000}"/>
    <cellStyle name="Normal 2 16 2" xfId="510" xr:uid="{00000000-0005-0000-0000-00007D130000}"/>
    <cellStyle name="Normal 2 16 2 2" xfId="3567" xr:uid="{00000000-0005-0000-0000-00007E130000}"/>
    <cellStyle name="Normal 2 16 2 3" xfId="5179" xr:uid="{00000000-0005-0000-0000-00007F130000}"/>
    <cellStyle name="Normal 2 16 2 4" xfId="7521" xr:uid="{00000000-0005-0000-0000-000080130000}"/>
    <cellStyle name="Normal 2 16 2 5" xfId="2288" xr:uid="{00000000-0005-0000-0000-000081130000}"/>
    <cellStyle name="Normal 2 16 3" xfId="4144" xr:uid="{00000000-0005-0000-0000-000082130000}"/>
    <cellStyle name="Normal 2 16 4" xfId="6426" xr:uid="{00000000-0005-0000-0000-000083130000}"/>
    <cellStyle name="Normal 2 16 5" xfId="1173" xr:uid="{00000000-0005-0000-0000-000084130000}"/>
    <cellStyle name="Normal 2 17" xfId="511" xr:uid="{00000000-0005-0000-0000-000085130000}"/>
    <cellStyle name="Normal 2 17 2" xfId="512" xr:uid="{00000000-0005-0000-0000-000086130000}"/>
    <cellStyle name="Normal 2 17 2 2" xfId="4145" xr:uid="{00000000-0005-0000-0000-000087130000}"/>
    <cellStyle name="Normal 2 17 3" xfId="7522" xr:uid="{00000000-0005-0000-0000-000088130000}"/>
    <cellStyle name="Normal 2 17 4" xfId="2289" xr:uid="{00000000-0005-0000-0000-000089130000}"/>
    <cellStyle name="Normal 2 18" xfId="513" xr:uid="{00000000-0005-0000-0000-00008A130000}"/>
    <cellStyle name="Normal 2 18 2" xfId="4146" xr:uid="{00000000-0005-0000-0000-00008B130000}"/>
    <cellStyle name="Normal 2 18 3" xfId="7523" xr:uid="{00000000-0005-0000-0000-00008C130000}"/>
    <cellStyle name="Normal 2 18 4" xfId="2290" xr:uid="{00000000-0005-0000-0000-00008D130000}"/>
    <cellStyle name="Normal 2 19" xfId="514" xr:uid="{00000000-0005-0000-0000-00008E130000}"/>
    <cellStyle name="Normal 2 19 2" xfId="4147" xr:uid="{00000000-0005-0000-0000-00008F130000}"/>
    <cellStyle name="Normal 2 19 3" xfId="7524" xr:uid="{00000000-0005-0000-0000-000090130000}"/>
    <cellStyle name="Normal 2 19 4" xfId="2291" xr:uid="{00000000-0005-0000-0000-000091130000}"/>
    <cellStyle name="Normal 2 2" xfId="515" xr:uid="{00000000-0005-0000-0000-000092130000}"/>
    <cellStyle name="Normal 2 2 10" xfId="516" xr:uid="{00000000-0005-0000-0000-000093130000}"/>
    <cellStyle name="Normal 2 2 10 2" xfId="1871" xr:uid="{00000000-0005-0000-0000-000094130000}"/>
    <cellStyle name="Normal 2 2 10 2 2" xfId="5892" xr:uid="{00000000-0005-0000-0000-000095130000}"/>
    <cellStyle name="Normal 2 2 10 2 3" xfId="7118" xr:uid="{00000000-0005-0000-0000-000096130000}"/>
    <cellStyle name="Normal 2 2 10 3" xfId="2293" xr:uid="{00000000-0005-0000-0000-000097130000}"/>
    <cellStyle name="Normal 2 2 10 3 2" xfId="3691" xr:uid="{00000000-0005-0000-0000-000098130000}"/>
    <cellStyle name="Normal 2 2 10 3 3" xfId="5658" xr:uid="{00000000-0005-0000-0000-000099130000}"/>
    <cellStyle name="Normal 2 2 10 3 4" xfId="7525" xr:uid="{00000000-0005-0000-0000-00009A130000}"/>
    <cellStyle name="Normal 2 2 10 4" xfId="4148" xr:uid="{00000000-0005-0000-0000-00009B130000}"/>
    <cellStyle name="Normal 2 2 10 5" xfId="6883" xr:uid="{00000000-0005-0000-0000-00009C130000}"/>
    <cellStyle name="Normal 2 2 10 6" xfId="1632" xr:uid="{00000000-0005-0000-0000-00009D130000}"/>
    <cellStyle name="Normal 2 2 11" xfId="517" xr:uid="{00000000-0005-0000-0000-00009E130000}"/>
    <cellStyle name="Normal 2 2 11 2" xfId="2084" xr:uid="{00000000-0005-0000-0000-00009F130000}"/>
    <cellStyle name="Normal 2 2 11 2 2" xfId="6103" xr:uid="{00000000-0005-0000-0000-0000A0130000}"/>
    <cellStyle name="Normal 2 2 11 2 3" xfId="7331" xr:uid="{00000000-0005-0000-0000-0000A1130000}"/>
    <cellStyle name="Normal 2 2 11 3" xfId="2294" xr:uid="{00000000-0005-0000-0000-0000A2130000}"/>
    <cellStyle name="Normal 2 2 11 3 2" xfId="3707" xr:uid="{00000000-0005-0000-0000-0000A3130000}"/>
    <cellStyle name="Normal 2 2 11 3 3" xfId="6004" xr:uid="{00000000-0005-0000-0000-0000A4130000}"/>
    <cellStyle name="Normal 2 2 11 3 4" xfId="7526" xr:uid="{00000000-0005-0000-0000-0000A5130000}"/>
    <cellStyle name="Normal 2 2 11 4" xfId="4149" xr:uid="{00000000-0005-0000-0000-0000A6130000}"/>
    <cellStyle name="Normal 2 2 11 5" xfId="7232" xr:uid="{00000000-0005-0000-0000-0000A7130000}"/>
    <cellStyle name="Normal 2 2 11 6" xfId="1985" xr:uid="{00000000-0005-0000-0000-0000A8130000}"/>
    <cellStyle name="Normal 2 2 12" xfId="518" xr:uid="{00000000-0005-0000-0000-0000A9130000}"/>
    <cellStyle name="Normal 2 2 12 2" xfId="4150" xr:uid="{00000000-0005-0000-0000-0000AA130000}"/>
    <cellStyle name="Normal 2 2 12 3" xfId="7527" xr:uid="{00000000-0005-0000-0000-0000AB130000}"/>
    <cellStyle name="Normal 2 2 12 4" xfId="2295" xr:uid="{00000000-0005-0000-0000-0000AC130000}"/>
    <cellStyle name="Normal 2 2 13" xfId="2296" xr:uid="{00000000-0005-0000-0000-0000AD130000}"/>
    <cellStyle name="Normal 2 2 13 2" xfId="4151" xr:uid="{00000000-0005-0000-0000-0000AE130000}"/>
    <cellStyle name="Normal 2 2 13 3" xfId="7528" xr:uid="{00000000-0005-0000-0000-0000AF130000}"/>
    <cellStyle name="Normal 2 2 14" xfId="2297" xr:uid="{00000000-0005-0000-0000-0000B0130000}"/>
    <cellStyle name="Normal 2 2 14 2" xfId="4152" xr:uid="{00000000-0005-0000-0000-0000B1130000}"/>
    <cellStyle name="Normal 2 2 14 3" xfId="7529" xr:uid="{00000000-0005-0000-0000-0000B2130000}"/>
    <cellStyle name="Normal 2 2 15" xfId="2298" xr:uid="{00000000-0005-0000-0000-0000B3130000}"/>
    <cellStyle name="Normal 2 2 15 2" xfId="4153" xr:uid="{00000000-0005-0000-0000-0000B4130000}"/>
    <cellStyle name="Normal 2 2 15 3" xfId="7530" xr:uid="{00000000-0005-0000-0000-0000B5130000}"/>
    <cellStyle name="Normal 2 2 16" xfId="2299" xr:uid="{00000000-0005-0000-0000-0000B6130000}"/>
    <cellStyle name="Normal 2 2 16 2" xfId="2657" xr:uid="{00000000-0005-0000-0000-0000B7130000}"/>
    <cellStyle name="Normal 2 2 16 2 2" xfId="2930" xr:uid="{00000000-0005-0000-0000-0000B8130000}"/>
    <cellStyle name="Normal 2 2 16 2 2 2" xfId="4598" xr:uid="{00000000-0005-0000-0000-0000B9130000}"/>
    <cellStyle name="Normal 2 2 16 2 2 3" xfId="7986" xr:uid="{00000000-0005-0000-0000-0000BA130000}"/>
    <cellStyle name="Normal 2 2 16 2 3" xfId="3023" xr:uid="{00000000-0005-0000-0000-0000BB130000}"/>
    <cellStyle name="Normal 2 2 16 2 3 2" xfId="4682" xr:uid="{00000000-0005-0000-0000-0000BC130000}"/>
    <cellStyle name="Normal 2 2 16 2 3 3" xfId="8079" xr:uid="{00000000-0005-0000-0000-0000BD130000}"/>
    <cellStyle name="Normal 2 2 16 2 4" xfId="3846" xr:uid="{00000000-0005-0000-0000-0000BE130000}"/>
    <cellStyle name="Normal 2 2 16 2 4 2" xfId="6224" xr:uid="{00000000-0005-0000-0000-0000BF130000}"/>
    <cellStyle name="Normal 2 2 16 2 4 3" xfId="8757" xr:uid="{00000000-0005-0000-0000-0000C0130000}"/>
    <cellStyle name="Normal 2 2 16 2 5" xfId="2825" xr:uid="{00000000-0005-0000-0000-0000C1130000}"/>
    <cellStyle name="Normal 2 2 16 2 6" xfId="4155" xr:uid="{00000000-0005-0000-0000-0000C2130000}"/>
    <cellStyle name="Normal 2 2 16 2 7" xfId="7867" xr:uid="{00000000-0005-0000-0000-0000C3130000}"/>
    <cellStyle name="Normal 2 2 16 3" xfId="2915" xr:uid="{00000000-0005-0000-0000-0000C4130000}"/>
    <cellStyle name="Normal 2 2 16 3 2" xfId="4583" xr:uid="{00000000-0005-0000-0000-0000C5130000}"/>
    <cellStyle name="Normal 2 2 16 3 3" xfId="7972" xr:uid="{00000000-0005-0000-0000-0000C6130000}"/>
    <cellStyle name="Normal 2 2 16 4" xfId="3007" xr:uid="{00000000-0005-0000-0000-0000C7130000}"/>
    <cellStyle name="Normal 2 2 16 4 2" xfId="4667" xr:uid="{00000000-0005-0000-0000-0000C8130000}"/>
    <cellStyle name="Normal 2 2 16 4 3" xfId="8063" xr:uid="{00000000-0005-0000-0000-0000C9130000}"/>
    <cellStyle name="Normal 2 2 16 5" xfId="3765" xr:uid="{00000000-0005-0000-0000-0000CA130000}"/>
    <cellStyle name="Normal 2 2 16 5 2" xfId="6160" xr:uid="{00000000-0005-0000-0000-0000CB130000}"/>
    <cellStyle name="Normal 2 2 16 5 3" xfId="8677" xr:uid="{00000000-0005-0000-0000-0000CC130000}"/>
    <cellStyle name="Normal 2 2 16 6" xfId="2806" xr:uid="{00000000-0005-0000-0000-0000CD130000}"/>
    <cellStyle name="Normal 2 2 16 7" xfId="4154" xr:uid="{00000000-0005-0000-0000-0000CE130000}"/>
    <cellStyle name="Normal 2 2 16 8" xfId="7531" xr:uid="{00000000-0005-0000-0000-0000CF130000}"/>
    <cellStyle name="Normal 2 2 17" xfId="3867" xr:uid="{00000000-0005-0000-0000-0000D0130000}"/>
    <cellStyle name="Normal 2 2 18" xfId="6369" xr:uid="{00000000-0005-0000-0000-0000D1130000}"/>
    <cellStyle name="Normal 2 2 19" xfId="8871" xr:uid="{00000000-0005-0000-0000-0000D2130000}"/>
    <cellStyle name="Normal 2 2 2" xfId="519" xr:uid="{00000000-0005-0000-0000-0000D3130000}"/>
    <cellStyle name="Normal 2 2 2 10" xfId="1430" xr:uid="{00000000-0005-0000-0000-0000D4130000}"/>
    <cellStyle name="Normal 2 2 2 10 2" xfId="1870" xr:uid="{00000000-0005-0000-0000-0000D5130000}"/>
    <cellStyle name="Normal 2 2 2 10 2 2" xfId="5891" xr:uid="{00000000-0005-0000-0000-0000D6130000}"/>
    <cellStyle name="Normal 2 2 2 10 2 3" xfId="7117" xr:uid="{00000000-0005-0000-0000-0000D7130000}"/>
    <cellStyle name="Normal 2 2 2 10 3" xfId="5460" xr:uid="{00000000-0005-0000-0000-0000D8130000}"/>
    <cellStyle name="Normal 2 2 2 10 4" xfId="6682" xr:uid="{00000000-0005-0000-0000-0000D9130000}"/>
    <cellStyle name="Normal 2 2 2 11" xfId="1762" xr:uid="{00000000-0005-0000-0000-0000DA130000}"/>
    <cellStyle name="Normal 2 2 2 11 2" xfId="2085" xr:uid="{00000000-0005-0000-0000-0000DB130000}"/>
    <cellStyle name="Normal 2 2 2 11 2 2" xfId="6104" xr:uid="{00000000-0005-0000-0000-0000DC130000}"/>
    <cellStyle name="Normal 2 2 2 11 2 3" xfId="7332" xr:uid="{00000000-0005-0000-0000-0000DD130000}"/>
    <cellStyle name="Normal 2 2 2 11 3" xfId="5784" xr:uid="{00000000-0005-0000-0000-0000DE130000}"/>
    <cellStyle name="Normal 2 2 2 11 4" xfId="7009" xr:uid="{00000000-0005-0000-0000-0000DF130000}"/>
    <cellStyle name="Normal 2 2 2 12" xfId="1199" xr:uid="{00000000-0005-0000-0000-0000E0130000}"/>
    <cellStyle name="Normal 2 2 2 12 2" xfId="5241" xr:uid="{00000000-0005-0000-0000-0000E1130000}"/>
    <cellStyle name="Normal 2 2 2 12 3" xfId="6451" xr:uid="{00000000-0005-0000-0000-0000E2130000}"/>
    <cellStyle name="Normal 2 2 2 13" xfId="2300" xr:uid="{00000000-0005-0000-0000-0000E3130000}"/>
    <cellStyle name="Normal 2 2 2 14" xfId="4156" xr:uid="{00000000-0005-0000-0000-0000E4130000}"/>
    <cellStyle name="Normal 2 2 2 15" xfId="6370" xr:uid="{00000000-0005-0000-0000-0000E5130000}"/>
    <cellStyle name="Normal 2 2 2 16" xfId="1098" xr:uid="{00000000-0005-0000-0000-0000E6130000}"/>
    <cellStyle name="Normal 2 2 2 2" xfId="520" xr:uid="{00000000-0005-0000-0000-0000E7130000}"/>
    <cellStyle name="Normal 2 2 2 2 10" xfId="995" xr:uid="{00000000-0005-0000-0000-0000E8130000}"/>
    <cellStyle name="Normal 2 2 2 2 11" xfId="987" xr:uid="{00000000-0005-0000-0000-0000E9130000}"/>
    <cellStyle name="Normal 2 2 2 2 2" xfId="521" xr:uid="{00000000-0005-0000-0000-0000EA130000}"/>
    <cellStyle name="Normal 2 2 2 2 2 10" xfId="1271" xr:uid="{00000000-0005-0000-0000-0000EB130000}"/>
    <cellStyle name="Normal 2 2 2 2 2 2" xfId="1355" xr:uid="{00000000-0005-0000-0000-0000EC130000}"/>
    <cellStyle name="Normal 2 2 2 2 2 2 2" xfId="1356" xr:uid="{00000000-0005-0000-0000-0000ED130000}"/>
    <cellStyle name="Normal 2 2 2 2 2 2 2 2" xfId="1623" xr:uid="{00000000-0005-0000-0000-0000EE130000}"/>
    <cellStyle name="Normal 2 2 2 2 2 2 2 2 2" xfId="1624" xr:uid="{00000000-0005-0000-0000-0000EF130000}"/>
    <cellStyle name="Normal 2 2 2 2 2 2 2 2 2 2" xfId="1983" xr:uid="{00000000-0005-0000-0000-0000F0130000}"/>
    <cellStyle name="Normal 2 2 2 2 2 2 2 2 2 2 2" xfId="1984" xr:uid="{00000000-0005-0000-0000-0000F1130000}"/>
    <cellStyle name="Normal 2 2 2 2 2 2 2 2 2 2 2 2" xfId="2082" xr:uid="{00000000-0005-0000-0000-0000F2130000}"/>
    <cellStyle name="Normal 2 2 2 2 2 2 2 2 2 2 2 2 2" xfId="2083" xr:uid="{00000000-0005-0000-0000-0000F3130000}"/>
    <cellStyle name="Normal 2 2 2 2 2 2 2 2 2 2 2 2 2 2" xfId="6102" xr:uid="{00000000-0005-0000-0000-0000F4130000}"/>
    <cellStyle name="Normal 2 2 2 2 2 2 2 2 2 2 2 2 2 3" xfId="7330" xr:uid="{00000000-0005-0000-0000-0000F5130000}"/>
    <cellStyle name="Normal 2 2 2 2 2 2 2 2 2 2 2 2 3" xfId="6101" xr:uid="{00000000-0005-0000-0000-0000F6130000}"/>
    <cellStyle name="Normal 2 2 2 2 2 2 2 2 2 2 2 2 4" xfId="7329" xr:uid="{00000000-0005-0000-0000-0000F7130000}"/>
    <cellStyle name="Normal 2 2 2 2 2 2 2 2 2 2 2 3" xfId="2095" xr:uid="{00000000-0005-0000-0000-0000F8130000}"/>
    <cellStyle name="Normal 2 2 2 2 2 2 2 2 2 2 2 3 2" xfId="6112" xr:uid="{00000000-0005-0000-0000-0000F9130000}"/>
    <cellStyle name="Normal 2 2 2 2 2 2 2 2 2 2 2 3 3" xfId="7340" xr:uid="{00000000-0005-0000-0000-0000FA130000}"/>
    <cellStyle name="Normal 2 2 2 2 2 2 2 2 2 2 2 4" xfId="6003" xr:uid="{00000000-0005-0000-0000-0000FB130000}"/>
    <cellStyle name="Normal 2 2 2 2 2 2 2 2 2 2 2 5" xfId="7231" xr:uid="{00000000-0005-0000-0000-0000FC130000}"/>
    <cellStyle name="Normal 2 2 2 2 2 2 2 2 2 2 3" xfId="2079" xr:uid="{00000000-0005-0000-0000-0000FD130000}"/>
    <cellStyle name="Normal 2 2 2 2 2 2 2 2 2 2 3 2" xfId="2094" xr:uid="{00000000-0005-0000-0000-0000FE130000}"/>
    <cellStyle name="Normal 2 2 2 2 2 2 2 2 2 2 3 2 2" xfId="6111" xr:uid="{00000000-0005-0000-0000-0000FF130000}"/>
    <cellStyle name="Normal 2 2 2 2 2 2 2 2 2 2 3 2 3" xfId="7339" xr:uid="{00000000-0005-0000-0000-000000140000}"/>
    <cellStyle name="Normal 2 2 2 2 2 2 2 2 2 2 3 3" xfId="6098" xr:uid="{00000000-0005-0000-0000-000001140000}"/>
    <cellStyle name="Normal 2 2 2 2 2 2 2 2 2 2 3 4" xfId="7326" xr:uid="{00000000-0005-0000-0000-000002140000}"/>
    <cellStyle name="Normal 2 2 2 2 2 2 2 2 2 2 4" xfId="6002" xr:uid="{00000000-0005-0000-0000-000003140000}"/>
    <cellStyle name="Normal 2 2 2 2 2 2 2 2 2 2 5" xfId="7230" xr:uid="{00000000-0005-0000-0000-000004140000}"/>
    <cellStyle name="Normal 2 2 2 2 2 2 2 2 2 3" xfId="2078" xr:uid="{00000000-0005-0000-0000-000005140000}"/>
    <cellStyle name="Normal 2 2 2 2 2 2 2 2 2 3 2" xfId="2093" xr:uid="{00000000-0005-0000-0000-000006140000}"/>
    <cellStyle name="Normal 2 2 2 2 2 2 2 2 2 3 2 2" xfId="6110" xr:uid="{00000000-0005-0000-0000-000007140000}"/>
    <cellStyle name="Normal 2 2 2 2 2 2 2 2 2 3 2 3" xfId="7338" xr:uid="{00000000-0005-0000-0000-000008140000}"/>
    <cellStyle name="Normal 2 2 2 2 2 2 2 2 2 3 3" xfId="6097" xr:uid="{00000000-0005-0000-0000-000009140000}"/>
    <cellStyle name="Normal 2 2 2 2 2 2 2 2 2 3 4" xfId="7325" xr:uid="{00000000-0005-0000-0000-00000A140000}"/>
    <cellStyle name="Normal 2 2 2 2 2 2 2 2 2 4" xfId="5650" xr:uid="{00000000-0005-0000-0000-00000B140000}"/>
    <cellStyle name="Normal 2 2 2 2 2 2 2 2 2 5" xfId="6875" xr:uid="{00000000-0005-0000-0000-00000C140000}"/>
    <cellStyle name="Normal 2 2 2 2 2 2 2 2 3" xfId="1825" xr:uid="{00000000-0005-0000-0000-00000D140000}"/>
    <cellStyle name="Normal 2 2 2 2 2 2 2 2 3 2" xfId="5846" xr:uid="{00000000-0005-0000-0000-00000E140000}"/>
    <cellStyle name="Normal 2 2 2 2 2 2 2 2 3 3" xfId="7072" xr:uid="{00000000-0005-0000-0000-00000F140000}"/>
    <cellStyle name="Normal 2 2 2 2 2 2 2 2 4" xfId="1994" xr:uid="{00000000-0005-0000-0000-000010140000}"/>
    <cellStyle name="Normal 2 2 2 2 2 2 2 2 4 2" xfId="2092" xr:uid="{00000000-0005-0000-0000-000011140000}"/>
    <cellStyle name="Normal 2 2 2 2 2 2 2 2 4 2 2" xfId="6109" xr:uid="{00000000-0005-0000-0000-000012140000}"/>
    <cellStyle name="Normal 2 2 2 2 2 2 2 2 4 2 3" xfId="7337" xr:uid="{00000000-0005-0000-0000-000013140000}"/>
    <cellStyle name="Normal 2 2 2 2 2 2 2 2 4 3" xfId="6013" xr:uid="{00000000-0005-0000-0000-000014140000}"/>
    <cellStyle name="Normal 2 2 2 2 2 2 2 2 4 4" xfId="7241" xr:uid="{00000000-0005-0000-0000-000015140000}"/>
    <cellStyle name="Normal 2 2 2 2 2 2 2 2 5" xfId="5649" xr:uid="{00000000-0005-0000-0000-000016140000}"/>
    <cellStyle name="Normal 2 2 2 2 2 2 2 2 6" xfId="6874" xr:uid="{00000000-0005-0000-0000-000017140000}"/>
    <cellStyle name="Normal 2 2 2 2 2 2 2 3" xfId="1677" xr:uid="{00000000-0005-0000-0000-000018140000}"/>
    <cellStyle name="Normal 2 2 2 2 2 2 2 3 2" xfId="5701" xr:uid="{00000000-0005-0000-0000-000019140000}"/>
    <cellStyle name="Normal 2 2 2 2 2 2 2 3 3" xfId="6926" xr:uid="{00000000-0005-0000-0000-00001A140000}"/>
    <cellStyle name="Normal 2 2 2 2 2 2 2 4" xfId="1824" xr:uid="{00000000-0005-0000-0000-00001B140000}"/>
    <cellStyle name="Normal 2 2 2 2 2 2 2 4 2" xfId="1878" xr:uid="{00000000-0005-0000-0000-00001C140000}"/>
    <cellStyle name="Normal 2 2 2 2 2 2 2 4 2 2" xfId="5898" xr:uid="{00000000-0005-0000-0000-00001D140000}"/>
    <cellStyle name="Normal 2 2 2 2 2 2 2 4 2 3" xfId="7125" xr:uid="{00000000-0005-0000-0000-00001E140000}"/>
    <cellStyle name="Normal 2 2 2 2 2 2 2 4 3" xfId="5845" xr:uid="{00000000-0005-0000-0000-00001F140000}"/>
    <cellStyle name="Normal 2 2 2 2 2 2 2 4 4" xfId="7071" xr:uid="{00000000-0005-0000-0000-000020140000}"/>
    <cellStyle name="Normal 2 2 2 2 2 2 2 5" xfId="2005" xr:uid="{00000000-0005-0000-0000-000021140000}"/>
    <cellStyle name="Normal 2 2 2 2 2 2 2 5 2" xfId="2089" xr:uid="{00000000-0005-0000-0000-000022140000}"/>
    <cellStyle name="Normal 2 2 2 2 2 2 2 5 2 2" xfId="6108" xr:uid="{00000000-0005-0000-0000-000023140000}"/>
    <cellStyle name="Normal 2 2 2 2 2 2 2 5 2 3" xfId="7336" xr:uid="{00000000-0005-0000-0000-000024140000}"/>
    <cellStyle name="Normal 2 2 2 2 2 2 2 5 3" xfId="6024" xr:uid="{00000000-0005-0000-0000-000025140000}"/>
    <cellStyle name="Normal 2 2 2 2 2 2 2 5 4" xfId="7252" xr:uid="{00000000-0005-0000-0000-000026140000}"/>
    <cellStyle name="Normal 2 2 2 2 2 2 2 6" xfId="5390" xr:uid="{00000000-0005-0000-0000-000027140000}"/>
    <cellStyle name="Normal 2 2 2 2 2 2 2 7" xfId="6608" xr:uid="{00000000-0005-0000-0000-000028140000}"/>
    <cellStyle name="Normal 2 2 2 2 2 2 3" xfId="1543" xr:uid="{00000000-0005-0000-0000-000029140000}"/>
    <cellStyle name="Normal 2 2 2 2 2 2 3 2" xfId="1676" xr:uid="{00000000-0005-0000-0000-00002A140000}"/>
    <cellStyle name="Normal 2 2 2 2 2 2 3 2 2" xfId="1949" xr:uid="{00000000-0005-0000-0000-00002B140000}"/>
    <cellStyle name="Normal 2 2 2 2 2 2 3 2 2 2" xfId="2019" xr:uid="{00000000-0005-0000-0000-00002C140000}"/>
    <cellStyle name="Normal 2 2 2 2 2 2 3 2 2 2 2" xfId="6038" xr:uid="{00000000-0005-0000-0000-00002D140000}"/>
    <cellStyle name="Normal 2 2 2 2 2 2 3 2 2 2 3" xfId="7266" xr:uid="{00000000-0005-0000-0000-00002E140000}"/>
    <cellStyle name="Normal 2 2 2 2 2 2 3 2 2 3" xfId="5969" xr:uid="{00000000-0005-0000-0000-00002F140000}"/>
    <cellStyle name="Normal 2 2 2 2 2 2 3 2 2 4" xfId="7196" xr:uid="{00000000-0005-0000-0000-000030140000}"/>
    <cellStyle name="Normal 2 2 2 2 2 2 3 2 3" xfId="5700" xr:uid="{00000000-0005-0000-0000-000031140000}"/>
    <cellStyle name="Normal 2 2 2 2 2 2 3 2 4" xfId="6925" xr:uid="{00000000-0005-0000-0000-000032140000}"/>
    <cellStyle name="Normal 2 2 2 2 2 2 3 3" xfId="1875" xr:uid="{00000000-0005-0000-0000-000033140000}"/>
    <cellStyle name="Normal 2 2 2 2 2 2 3 3 2" xfId="5895" xr:uid="{00000000-0005-0000-0000-000034140000}"/>
    <cellStyle name="Normal 2 2 2 2 2 2 3 3 3" xfId="7122" xr:uid="{00000000-0005-0000-0000-000035140000}"/>
    <cellStyle name="Normal 2 2 2 2 2 2 3 4" xfId="5570" xr:uid="{00000000-0005-0000-0000-000036140000}"/>
    <cellStyle name="Normal 2 2 2 2 2 2 3 5" xfId="6795" xr:uid="{00000000-0005-0000-0000-000037140000}"/>
    <cellStyle name="Normal 2 2 2 2 2 2 4" xfId="1748" xr:uid="{00000000-0005-0000-0000-000038140000}"/>
    <cellStyle name="Normal 2 2 2 2 2 2 4 2" xfId="1879" xr:uid="{00000000-0005-0000-0000-000039140000}"/>
    <cellStyle name="Normal 2 2 2 2 2 2 4 2 2" xfId="5899" xr:uid="{00000000-0005-0000-0000-00003A140000}"/>
    <cellStyle name="Normal 2 2 2 2 2 2 4 2 3" xfId="7126" xr:uid="{00000000-0005-0000-0000-00003B140000}"/>
    <cellStyle name="Normal 2 2 2 2 2 2 4 3" xfId="5770" xr:uid="{00000000-0005-0000-0000-00003C140000}"/>
    <cellStyle name="Normal 2 2 2 2 2 2 4 4" xfId="6995" xr:uid="{00000000-0005-0000-0000-00003D140000}"/>
    <cellStyle name="Normal 2 2 2 2 2 2 5" xfId="1933" xr:uid="{00000000-0005-0000-0000-00003E140000}"/>
    <cellStyle name="Normal 2 2 2 2 2 2 5 2" xfId="2088" xr:uid="{00000000-0005-0000-0000-00003F140000}"/>
    <cellStyle name="Normal 2 2 2 2 2 2 5 2 2" xfId="6107" xr:uid="{00000000-0005-0000-0000-000040140000}"/>
    <cellStyle name="Normal 2 2 2 2 2 2 5 2 3" xfId="7335" xr:uid="{00000000-0005-0000-0000-000041140000}"/>
    <cellStyle name="Normal 2 2 2 2 2 2 5 3" xfId="5953" xr:uid="{00000000-0005-0000-0000-000042140000}"/>
    <cellStyle name="Normal 2 2 2 2 2 2 5 4" xfId="7180" xr:uid="{00000000-0005-0000-0000-000043140000}"/>
    <cellStyle name="Normal 2 2 2 2 2 2 6" xfId="5389" xr:uid="{00000000-0005-0000-0000-000044140000}"/>
    <cellStyle name="Normal 2 2 2 2 2 2 7" xfId="6607" xr:uid="{00000000-0005-0000-0000-000045140000}"/>
    <cellStyle name="Normal 2 2 2 2 2 3" xfId="1365" xr:uid="{00000000-0005-0000-0000-000046140000}"/>
    <cellStyle name="Normal 2 2 2 2 2 3 2" xfId="5398" xr:uid="{00000000-0005-0000-0000-000047140000}"/>
    <cellStyle name="Normal 2 2 2 2 2 3 3" xfId="6617" xr:uid="{00000000-0005-0000-0000-000048140000}"/>
    <cellStyle name="Normal 2 2 2 2 2 4" xfId="1541" xr:uid="{00000000-0005-0000-0000-000049140000}"/>
    <cellStyle name="Normal 2 2 2 2 2 4 2" xfId="1675" xr:uid="{00000000-0005-0000-0000-00004A140000}"/>
    <cellStyle name="Normal 2 2 2 2 2 4 2 2" xfId="1948" xr:uid="{00000000-0005-0000-0000-00004B140000}"/>
    <cellStyle name="Normal 2 2 2 2 2 4 2 2 2" xfId="2018" xr:uid="{00000000-0005-0000-0000-00004C140000}"/>
    <cellStyle name="Normal 2 2 2 2 2 4 2 2 2 2" xfId="6037" xr:uid="{00000000-0005-0000-0000-00004D140000}"/>
    <cellStyle name="Normal 2 2 2 2 2 4 2 2 2 3" xfId="7265" xr:uid="{00000000-0005-0000-0000-00004E140000}"/>
    <cellStyle name="Normal 2 2 2 2 2 4 2 2 3" xfId="5968" xr:uid="{00000000-0005-0000-0000-00004F140000}"/>
    <cellStyle name="Normal 2 2 2 2 2 4 2 2 4" xfId="7195" xr:uid="{00000000-0005-0000-0000-000050140000}"/>
    <cellStyle name="Normal 2 2 2 2 2 4 2 3" xfId="5699" xr:uid="{00000000-0005-0000-0000-000051140000}"/>
    <cellStyle name="Normal 2 2 2 2 2 4 2 4" xfId="6924" xr:uid="{00000000-0005-0000-0000-000052140000}"/>
    <cellStyle name="Normal 2 2 2 2 2 4 3" xfId="1873" xr:uid="{00000000-0005-0000-0000-000053140000}"/>
    <cellStyle name="Normal 2 2 2 2 2 4 3 2" xfId="5894" xr:uid="{00000000-0005-0000-0000-000054140000}"/>
    <cellStyle name="Normal 2 2 2 2 2 4 3 3" xfId="7120" xr:uid="{00000000-0005-0000-0000-000055140000}"/>
    <cellStyle name="Normal 2 2 2 2 2 4 4" xfId="5568" xr:uid="{00000000-0005-0000-0000-000056140000}"/>
    <cellStyle name="Normal 2 2 2 2 2 4 5" xfId="6793" xr:uid="{00000000-0005-0000-0000-000057140000}"/>
    <cellStyle name="Normal 2 2 2 2 2 5" xfId="1746" xr:uid="{00000000-0005-0000-0000-000058140000}"/>
    <cellStyle name="Normal 2 2 2 2 2 5 2" xfId="1481" xr:uid="{00000000-0005-0000-0000-000059140000}"/>
    <cellStyle name="Normal 2 2 2 2 2 5 2 2" xfId="5509" xr:uid="{00000000-0005-0000-0000-00005A140000}"/>
    <cellStyle name="Normal 2 2 2 2 2 5 2 3" xfId="6733" xr:uid="{00000000-0005-0000-0000-00005B140000}"/>
    <cellStyle name="Normal 2 2 2 2 2 5 3" xfId="5768" xr:uid="{00000000-0005-0000-0000-00005C140000}"/>
    <cellStyle name="Normal 2 2 2 2 2 5 4" xfId="6993" xr:uid="{00000000-0005-0000-0000-00005D140000}"/>
    <cellStyle name="Normal 2 2 2 2 2 6" xfId="2003" xr:uid="{00000000-0005-0000-0000-00005E140000}"/>
    <cellStyle name="Normal 2 2 2 2 2 6 2" xfId="2087" xr:uid="{00000000-0005-0000-0000-00005F140000}"/>
    <cellStyle name="Normal 2 2 2 2 2 6 2 2" xfId="6106" xr:uid="{00000000-0005-0000-0000-000060140000}"/>
    <cellStyle name="Normal 2 2 2 2 2 6 2 3" xfId="7334" xr:uid="{00000000-0005-0000-0000-000061140000}"/>
    <cellStyle name="Normal 2 2 2 2 2 6 3" xfId="6022" xr:uid="{00000000-0005-0000-0000-000062140000}"/>
    <cellStyle name="Normal 2 2 2 2 2 6 4" xfId="7250" xr:uid="{00000000-0005-0000-0000-000063140000}"/>
    <cellStyle name="Normal 2 2 2 2 2 7" xfId="3637" xr:uid="{00000000-0005-0000-0000-000064140000}"/>
    <cellStyle name="Normal 2 2 2 2 2 7 2" xfId="5308" xr:uid="{00000000-0005-0000-0000-000065140000}"/>
    <cellStyle name="Normal 2 2 2 2 2 7 3" xfId="8597" xr:uid="{00000000-0005-0000-0000-000066140000}"/>
    <cellStyle name="Normal 2 2 2 2 2 8" xfId="4158" xr:uid="{00000000-0005-0000-0000-000067140000}"/>
    <cellStyle name="Normal 2 2 2 2 2 9" xfId="6523" xr:uid="{00000000-0005-0000-0000-000068140000}"/>
    <cellStyle name="Normal 2 2 2 2 3" xfId="522" xr:uid="{00000000-0005-0000-0000-000069140000}"/>
    <cellStyle name="Normal 2 2 2 2 3 2" xfId="1364" xr:uid="{00000000-0005-0000-0000-00006A140000}"/>
    <cellStyle name="Normal 2 2 2 2 3 2 2" xfId="5397" xr:uid="{00000000-0005-0000-0000-00006B140000}"/>
    <cellStyle name="Normal 2 2 2 2 3 2 3" xfId="6616" xr:uid="{00000000-0005-0000-0000-00006C140000}"/>
    <cellStyle name="Normal 2 2 2 2 3 3" xfId="5354" xr:uid="{00000000-0005-0000-0000-00006D140000}"/>
    <cellStyle name="Normal 2 2 2 2 3 4" xfId="6570" xr:uid="{00000000-0005-0000-0000-00006E140000}"/>
    <cellStyle name="Normal 2 2 2 2 3 5" xfId="1318" xr:uid="{00000000-0005-0000-0000-00006F140000}"/>
    <cellStyle name="Normal 2 2 2 2 4" xfId="523" xr:uid="{00000000-0005-0000-0000-000070140000}"/>
    <cellStyle name="Normal 2 2 2 2 4 2" xfId="1674" xr:uid="{00000000-0005-0000-0000-000071140000}"/>
    <cellStyle name="Normal 2 2 2 2 4 2 2" xfId="1910" xr:uid="{00000000-0005-0000-0000-000072140000}"/>
    <cellStyle name="Normal 2 2 2 2 4 2 2 2" xfId="2017" xr:uid="{00000000-0005-0000-0000-000073140000}"/>
    <cellStyle name="Normal 2 2 2 2 4 2 2 2 2" xfId="6036" xr:uid="{00000000-0005-0000-0000-000074140000}"/>
    <cellStyle name="Normal 2 2 2 2 4 2 2 2 3" xfId="7264" xr:uid="{00000000-0005-0000-0000-000075140000}"/>
    <cellStyle name="Normal 2 2 2 2 4 2 2 3" xfId="5930" xr:uid="{00000000-0005-0000-0000-000076140000}"/>
    <cellStyle name="Normal 2 2 2 2 4 2 2 4" xfId="7157" xr:uid="{00000000-0005-0000-0000-000077140000}"/>
    <cellStyle name="Normal 2 2 2 2 4 2 3" xfId="5698" xr:uid="{00000000-0005-0000-0000-000078140000}"/>
    <cellStyle name="Normal 2 2 2 2 4 2 4" xfId="6923" xr:uid="{00000000-0005-0000-0000-000079140000}"/>
    <cellStyle name="Normal 2 2 2 2 4 3" xfId="1872" xr:uid="{00000000-0005-0000-0000-00007A140000}"/>
    <cellStyle name="Normal 2 2 2 2 4 3 2" xfId="5893" xr:uid="{00000000-0005-0000-0000-00007B140000}"/>
    <cellStyle name="Normal 2 2 2 2 4 3 3" xfId="7119" xr:uid="{00000000-0005-0000-0000-00007C140000}"/>
    <cellStyle name="Normal 2 2 2 2 4 4" xfId="5497" xr:uid="{00000000-0005-0000-0000-00007D140000}"/>
    <cellStyle name="Normal 2 2 2 2 4 5" xfId="6721" xr:uid="{00000000-0005-0000-0000-00007E140000}"/>
    <cellStyle name="Normal 2 2 2 2 4 6" xfId="1469" xr:uid="{00000000-0005-0000-0000-00007F140000}"/>
    <cellStyle name="Normal 2 2 2 2 5" xfId="1419" xr:uid="{00000000-0005-0000-0000-000080140000}"/>
    <cellStyle name="Normal 2 2 2 2 5 2" xfId="1478" xr:uid="{00000000-0005-0000-0000-000081140000}"/>
    <cellStyle name="Normal 2 2 2 2 5 2 2" xfId="5506" xr:uid="{00000000-0005-0000-0000-000082140000}"/>
    <cellStyle name="Normal 2 2 2 2 5 2 3" xfId="6730" xr:uid="{00000000-0005-0000-0000-000083140000}"/>
    <cellStyle name="Normal 2 2 2 2 5 3" xfId="5449" xr:uid="{00000000-0005-0000-0000-000084140000}"/>
    <cellStyle name="Normal 2 2 2 2 5 4" xfId="6671" xr:uid="{00000000-0005-0000-0000-000085140000}"/>
    <cellStyle name="Normal 2 2 2 2 6" xfId="1806" xr:uid="{00000000-0005-0000-0000-000086140000}"/>
    <cellStyle name="Normal 2 2 2 2 6 2" xfId="2086" xr:uid="{00000000-0005-0000-0000-000087140000}"/>
    <cellStyle name="Normal 2 2 2 2 6 2 2" xfId="6105" xr:uid="{00000000-0005-0000-0000-000088140000}"/>
    <cellStyle name="Normal 2 2 2 2 6 2 3" xfId="7333" xr:uid="{00000000-0005-0000-0000-000089140000}"/>
    <cellStyle name="Normal 2 2 2 2 6 3" xfId="5827" xr:uid="{00000000-0005-0000-0000-00008A140000}"/>
    <cellStyle name="Normal 2 2 2 2 6 4" xfId="7053" xr:uid="{00000000-0005-0000-0000-00008B140000}"/>
    <cellStyle name="Normal 2 2 2 2 7" xfId="2673" xr:uid="{00000000-0005-0000-0000-00008C140000}"/>
    <cellStyle name="Normal 2 2 2 2 8" xfId="4157" xr:uid="{00000000-0005-0000-0000-00008D140000}"/>
    <cellStyle name="Normal 2 2 2 2 9" xfId="6277" xr:uid="{00000000-0005-0000-0000-00008E140000}"/>
    <cellStyle name="Normal 2 2 2 3" xfId="524" xr:uid="{00000000-0005-0000-0000-00008F140000}"/>
    <cellStyle name="Normal 2 2 2 3 2" xfId="2677" xr:uid="{00000000-0005-0000-0000-000090140000}"/>
    <cellStyle name="Normal 2 2 2 3 2 2" xfId="3651" xr:uid="{00000000-0005-0000-0000-000091140000}"/>
    <cellStyle name="Normal 2 2 2 3 2 3" xfId="5323" xr:uid="{00000000-0005-0000-0000-000092140000}"/>
    <cellStyle name="Normal 2 2 2 3 2 4" xfId="7873" xr:uid="{00000000-0005-0000-0000-000093140000}"/>
    <cellStyle name="Normal 2 2 2 3 3" xfId="4159" xr:uid="{00000000-0005-0000-0000-000094140000}"/>
    <cellStyle name="Normal 2 2 2 3 4" xfId="6539" xr:uid="{00000000-0005-0000-0000-000095140000}"/>
    <cellStyle name="Normal 2 2 2 3 5" xfId="1287" xr:uid="{00000000-0005-0000-0000-000096140000}"/>
    <cellStyle name="Normal 2 2 2 4" xfId="525" xr:uid="{00000000-0005-0000-0000-000097140000}"/>
    <cellStyle name="Normal 2 2 2 4 2" xfId="5324" xr:uid="{00000000-0005-0000-0000-000098140000}"/>
    <cellStyle name="Normal 2 2 2 4 3" xfId="6540" xr:uid="{00000000-0005-0000-0000-000099140000}"/>
    <cellStyle name="Normal 2 2 2 4 4" xfId="1288" xr:uid="{00000000-0005-0000-0000-00009A140000}"/>
    <cellStyle name="Normal 2 2 2 5" xfId="526" xr:uid="{00000000-0005-0000-0000-00009B140000}"/>
    <cellStyle name="Normal 2 2 2 5 2" xfId="5287" xr:uid="{00000000-0005-0000-0000-00009C140000}"/>
    <cellStyle name="Normal 2 2 2 5 3" xfId="6502" xr:uid="{00000000-0005-0000-0000-00009D140000}"/>
    <cellStyle name="Normal 2 2 2 5 4" xfId="1250" xr:uid="{00000000-0005-0000-0000-00009E140000}"/>
    <cellStyle name="Normal 2 2 2 6" xfId="1247" xr:uid="{00000000-0005-0000-0000-00009F140000}"/>
    <cellStyle name="Normal 2 2 2 6 2" xfId="5284" xr:uid="{00000000-0005-0000-0000-0000A0140000}"/>
    <cellStyle name="Normal 2 2 2 6 3" xfId="6499" xr:uid="{00000000-0005-0000-0000-0000A1140000}"/>
    <cellStyle name="Normal 2 2 2 7" xfId="1317" xr:uid="{00000000-0005-0000-0000-0000A2140000}"/>
    <cellStyle name="Normal 2 2 2 7 2" xfId="1336" xr:uid="{00000000-0005-0000-0000-0000A3140000}"/>
    <cellStyle name="Normal 2 2 2 7 2 2" xfId="5370" xr:uid="{00000000-0005-0000-0000-0000A4140000}"/>
    <cellStyle name="Normal 2 2 2 7 2 3" xfId="6588" xr:uid="{00000000-0005-0000-0000-0000A5140000}"/>
    <cellStyle name="Normal 2 2 2 7 3" xfId="5353" xr:uid="{00000000-0005-0000-0000-0000A6140000}"/>
    <cellStyle name="Normal 2 2 2 7 4" xfId="6569" xr:uid="{00000000-0005-0000-0000-0000A7140000}"/>
    <cellStyle name="Normal 2 2 2 8" xfId="1329" xr:uid="{00000000-0005-0000-0000-0000A8140000}"/>
    <cellStyle name="Normal 2 2 2 8 2" xfId="5365" xr:uid="{00000000-0005-0000-0000-0000A9140000}"/>
    <cellStyle name="Normal 2 2 2 8 3" xfId="6581" xr:uid="{00000000-0005-0000-0000-0000AA140000}"/>
    <cellStyle name="Normal 2 2 2 9" xfId="1466" xr:uid="{00000000-0005-0000-0000-0000AB140000}"/>
    <cellStyle name="Normal 2 2 2 9 2" xfId="1673" xr:uid="{00000000-0005-0000-0000-0000AC140000}"/>
    <cellStyle name="Normal 2 2 2 9 2 2" xfId="1909" xr:uid="{00000000-0005-0000-0000-0000AD140000}"/>
    <cellStyle name="Normal 2 2 2 9 2 2 2" xfId="2016" xr:uid="{00000000-0005-0000-0000-0000AE140000}"/>
    <cellStyle name="Normal 2 2 2 9 2 2 2 2" xfId="6035" xr:uid="{00000000-0005-0000-0000-0000AF140000}"/>
    <cellStyle name="Normal 2 2 2 9 2 2 2 3" xfId="7263" xr:uid="{00000000-0005-0000-0000-0000B0140000}"/>
    <cellStyle name="Normal 2 2 2 9 2 2 3" xfId="5929" xr:uid="{00000000-0005-0000-0000-0000B1140000}"/>
    <cellStyle name="Normal 2 2 2 9 2 2 4" xfId="7156" xr:uid="{00000000-0005-0000-0000-0000B2140000}"/>
    <cellStyle name="Normal 2 2 2 9 2 3" xfId="5697" xr:uid="{00000000-0005-0000-0000-0000B3140000}"/>
    <cellStyle name="Normal 2 2 2 9 2 4" xfId="6922" xr:uid="{00000000-0005-0000-0000-0000B4140000}"/>
    <cellStyle name="Normal 2 2 2 9 3" xfId="1869" xr:uid="{00000000-0005-0000-0000-0000B5140000}"/>
    <cellStyle name="Normal 2 2 2 9 3 2" xfId="5890" xr:uid="{00000000-0005-0000-0000-0000B6140000}"/>
    <cellStyle name="Normal 2 2 2 9 3 3" xfId="7116" xr:uid="{00000000-0005-0000-0000-0000B7140000}"/>
    <cellStyle name="Normal 2 2 2 9 4" xfId="5494" xr:uid="{00000000-0005-0000-0000-0000B8140000}"/>
    <cellStyle name="Normal 2 2 2 9 5" xfId="6718" xr:uid="{00000000-0005-0000-0000-0000B9140000}"/>
    <cellStyle name="Normal 2 2 20" xfId="1097" xr:uid="{00000000-0005-0000-0000-0000BA140000}"/>
    <cellStyle name="Normal 2 2 3" xfId="527" xr:uid="{00000000-0005-0000-0000-0000BB140000}"/>
    <cellStyle name="Normal 2 2 3 2" xfId="528" xr:uid="{00000000-0005-0000-0000-0000BC140000}"/>
    <cellStyle name="Normal 2 2 3 2 2" xfId="1352" xr:uid="{00000000-0005-0000-0000-0000BD140000}"/>
    <cellStyle name="Normal 2 2 3 2 2 2" xfId="1359" xr:uid="{00000000-0005-0000-0000-0000BE140000}"/>
    <cellStyle name="Normal 2 2 3 2 2 2 2" xfId="5392" xr:uid="{00000000-0005-0000-0000-0000BF140000}"/>
    <cellStyle name="Normal 2 2 3 2 2 2 3" xfId="6611" xr:uid="{00000000-0005-0000-0000-0000C0140000}"/>
    <cellStyle name="Normal 2 2 3 2 2 3" xfId="5386" xr:uid="{00000000-0005-0000-0000-0000C1140000}"/>
    <cellStyle name="Normal 2 2 3 2 2 4" xfId="6604" xr:uid="{00000000-0005-0000-0000-0000C2140000}"/>
    <cellStyle name="Normal 2 2 3 2 3" xfId="1368" xr:uid="{00000000-0005-0000-0000-0000C3140000}"/>
    <cellStyle name="Normal 2 2 3 2 3 2" xfId="5401" xr:uid="{00000000-0005-0000-0000-0000C4140000}"/>
    <cellStyle name="Normal 2 2 3 2 3 3" xfId="6620" xr:uid="{00000000-0005-0000-0000-0000C5140000}"/>
    <cellStyle name="Normal 2 2 3 2 4" xfId="2679" xr:uid="{00000000-0005-0000-0000-0000C6140000}"/>
    <cellStyle name="Normal 2 2 3 2 4 2" xfId="3650" xr:uid="{00000000-0005-0000-0000-0000C7140000}"/>
    <cellStyle name="Normal 2 2 3 2 4 3" xfId="5322" xr:uid="{00000000-0005-0000-0000-0000C8140000}"/>
    <cellStyle name="Normal 2 2 3 2 4 4" xfId="7874" xr:uid="{00000000-0005-0000-0000-0000C9140000}"/>
    <cellStyle name="Normal 2 2 3 2 5" xfId="4161" xr:uid="{00000000-0005-0000-0000-0000CA140000}"/>
    <cellStyle name="Normal 2 2 3 2 6" xfId="6538" xr:uid="{00000000-0005-0000-0000-0000CB140000}"/>
    <cellStyle name="Normal 2 2 3 2 7" xfId="1286" xr:uid="{00000000-0005-0000-0000-0000CC140000}"/>
    <cellStyle name="Normal 2 2 3 3" xfId="529" xr:uid="{00000000-0005-0000-0000-0000CD140000}"/>
    <cellStyle name="Normal 2 2 3 3 2" xfId="1361" xr:uid="{00000000-0005-0000-0000-0000CE140000}"/>
    <cellStyle name="Normal 2 2 3 3 2 2" xfId="5394" xr:uid="{00000000-0005-0000-0000-0000CF140000}"/>
    <cellStyle name="Normal 2 2 3 3 2 3" xfId="6613" xr:uid="{00000000-0005-0000-0000-0000D0140000}"/>
    <cellStyle name="Normal 2 2 3 3 3" xfId="5367" xr:uid="{00000000-0005-0000-0000-0000D1140000}"/>
    <cellStyle name="Normal 2 2 3 3 4" xfId="6583" xr:uid="{00000000-0005-0000-0000-0000D2140000}"/>
    <cellStyle name="Normal 2 2 3 3 5" xfId="1331" xr:uid="{00000000-0005-0000-0000-0000D3140000}"/>
    <cellStyle name="Normal 2 2 3 4" xfId="2301" xr:uid="{00000000-0005-0000-0000-0000D4140000}"/>
    <cellStyle name="Normal 2 2 3 4 2" xfId="3629" xr:uid="{00000000-0005-0000-0000-0000D5140000}"/>
    <cellStyle name="Normal 2 2 3 4 3" xfId="5280" xr:uid="{00000000-0005-0000-0000-0000D6140000}"/>
    <cellStyle name="Normal 2 2 3 4 4" xfId="7532" xr:uid="{00000000-0005-0000-0000-0000D7140000}"/>
    <cellStyle name="Normal 2 2 3 5" xfId="2678" xr:uid="{00000000-0005-0000-0000-0000D8140000}"/>
    <cellStyle name="Normal 2 2 3 6" xfId="4160" xr:uid="{00000000-0005-0000-0000-0000D9140000}"/>
    <cellStyle name="Normal 2 2 3 7" xfId="6495" xr:uid="{00000000-0005-0000-0000-0000DA140000}"/>
    <cellStyle name="Normal 2 2 3 8" xfId="1243" xr:uid="{00000000-0005-0000-0000-0000DB140000}"/>
    <cellStyle name="Normal 2 2 4" xfId="530" xr:uid="{00000000-0005-0000-0000-0000DC140000}"/>
    <cellStyle name="Normal 2 2 4 2" xfId="2302" xr:uid="{00000000-0005-0000-0000-0000DD140000}"/>
    <cellStyle name="Normal 2 2 4 2 2" xfId="3632" xr:uid="{00000000-0005-0000-0000-0000DE140000}"/>
    <cellStyle name="Normal 2 2 4 2 3" xfId="5286" xr:uid="{00000000-0005-0000-0000-0000DF140000}"/>
    <cellStyle name="Normal 2 2 4 2 4" xfId="7533" xr:uid="{00000000-0005-0000-0000-0000E0140000}"/>
    <cellStyle name="Normal 2 2 4 3" xfId="4162" xr:uid="{00000000-0005-0000-0000-0000E1140000}"/>
    <cellStyle name="Normal 2 2 4 4" xfId="6501" xr:uid="{00000000-0005-0000-0000-0000E2140000}"/>
    <cellStyle name="Normal 2 2 4 5" xfId="1249" xr:uid="{00000000-0005-0000-0000-0000E3140000}"/>
    <cellStyle name="Normal 2 2 5" xfId="531" xr:uid="{00000000-0005-0000-0000-0000E4140000}"/>
    <cellStyle name="Normal 2 2 5 2" xfId="2303" xr:uid="{00000000-0005-0000-0000-0000E5140000}"/>
    <cellStyle name="Normal 2 2 5 2 2" xfId="3649" xr:uid="{00000000-0005-0000-0000-0000E6140000}"/>
    <cellStyle name="Normal 2 2 5 2 3" xfId="5321" xr:uid="{00000000-0005-0000-0000-0000E7140000}"/>
    <cellStyle name="Normal 2 2 5 2 4" xfId="7534" xr:uid="{00000000-0005-0000-0000-0000E8140000}"/>
    <cellStyle name="Normal 2 2 5 3" xfId="4163" xr:uid="{00000000-0005-0000-0000-0000E9140000}"/>
    <cellStyle name="Normal 2 2 5 4" xfId="6537" xr:uid="{00000000-0005-0000-0000-0000EA140000}"/>
    <cellStyle name="Normal 2 2 5 5" xfId="1285" xr:uid="{00000000-0005-0000-0000-0000EB140000}"/>
    <cellStyle name="Normal 2 2 6" xfId="532" xr:uid="{00000000-0005-0000-0000-0000EC140000}"/>
    <cellStyle name="Normal 2 2 6 2" xfId="2304" xr:uid="{00000000-0005-0000-0000-0000ED140000}"/>
    <cellStyle name="Normal 2 2 6 2 2" xfId="3631" xr:uid="{00000000-0005-0000-0000-0000EE140000}"/>
    <cellStyle name="Normal 2 2 6 2 3" xfId="5282" xr:uid="{00000000-0005-0000-0000-0000EF140000}"/>
    <cellStyle name="Normal 2 2 6 2 4" xfId="7535" xr:uid="{00000000-0005-0000-0000-0000F0140000}"/>
    <cellStyle name="Normal 2 2 6 3" xfId="4164" xr:uid="{00000000-0005-0000-0000-0000F1140000}"/>
    <cellStyle name="Normal 2 2 6 4" xfId="6497" xr:uid="{00000000-0005-0000-0000-0000F2140000}"/>
    <cellStyle name="Normal 2 2 6 5" xfId="1245" xr:uid="{00000000-0005-0000-0000-0000F3140000}"/>
    <cellStyle name="Normal 2 2 7" xfId="533" xr:uid="{00000000-0005-0000-0000-0000F4140000}"/>
    <cellStyle name="Normal 2 2 7 2" xfId="1335" xr:uid="{00000000-0005-0000-0000-0000F5140000}"/>
    <cellStyle name="Normal 2 2 7 2 2" xfId="5369" xr:uid="{00000000-0005-0000-0000-0000F6140000}"/>
    <cellStyle name="Normal 2 2 7 2 3" xfId="6587" xr:uid="{00000000-0005-0000-0000-0000F7140000}"/>
    <cellStyle name="Normal 2 2 7 3" xfId="2305" xr:uid="{00000000-0005-0000-0000-0000F8140000}"/>
    <cellStyle name="Normal 2 2 7 3 2" xfId="3656" xr:uid="{00000000-0005-0000-0000-0000F9140000}"/>
    <cellStyle name="Normal 2 2 7 3 3" xfId="5330" xr:uid="{00000000-0005-0000-0000-0000FA140000}"/>
    <cellStyle name="Normal 2 2 7 3 4" xfId="7536" xr:uid="{00000000-0005-0000-0000-0000FB140000}"/>
    <cellStyle name="Normal 2 2 7 4" xfId="4165" xr:uid="{00000000-0005-0000-0000-0000FC140000}"/>
    <cellStyle name="Normal 2 2 7 5" xfId="6546" xr:uid="{00000000-0005-0000-0000-0000FD140000}"/>
    <cellStyle name="Normal 2 2 7 6" xfId="1294" xr:uid="{00000000-0005-0000-0000-0000FE140000}"/>
    <cellStyle name="Normal 2 2 8" xfId="534" xr:uid="{00000000-0005-0000-0000-0000FF140000}"/>
    <cellStyle name="Normal 2 2 8 2" xfId="2306" xr:uid="{00000000-0005-0000-0000-000000150000}"/>
    <cellStyle name="Normal 2 2 8 2 2" xfId="3664" xr:uid="{00000000-0005-0000-0000-000001150000}"/>
    <cellStyle name="Normal 2 2 8 2 3" xfId="5368" xr:uid="{00000000-0005-0000-0000-000002150000}"/>
    <cellStyle name="Normal 2 2 8 2 4" xfId="7537" xr:uid="{00000000-0005-0000-0000-000003150000}"/>
    <cellStyle name="Normal 2 2 8 3" xfId="4166" xr:uid="{00000000-0005-0000-0000-000004150000}"/>
    <cellStyle name="Normal 2 2 8 4" xfId="6586" xr:uid="{00000000-0005-0000-0000-000005150000}"/>
    <cellStyle name="Normal 2 2 8 5" xfId="1334" xr:uid="{00000000-0005-0000-0000-000006150000}"/>
    <cellStyle name="Normal 2 2 9" xfId="535" xr:uid="{00000000-0005-0000-0000-000007150000}"/>
    <cellStyle name="Normal 2 2 9 2" xfId="1672" xr:uid="{00000000-0005-0000-0000-000008150000}"/>
    <cellStyle name="Normal 2 2 9 2 2" xfId="1894" xr:uid="{00000000-0005-0000-0000-000009150000}"/>
    <cellStyle name="Normal 2 2 9 2 2 2" xfId="2015" xr:uid="{00000000-0005-0000-0000-00000A150000}"/>
    <cellStyle name="Normal 2 2 9 2 2 2 2" xfId="6034" xr:uid="{00000000-0005-0000-0000-00000B150000}"/>
    <cellStyle name="Normal 2 2 9 2 2 2 3" xfId="7262" xr:uid="{00000000-0005-0000-0000-00000C150000}"/>
    <cellStyle name="Normal 2 2 9 2 2 3" xfId="5914" xr:uid="{00000000-0005-0000-0000-00000D150000}"/>
    <cellStyle name="Normal 2 2 9 2 2 4" xfId="7141" xr:uid="{00000000-0005-0000-0000-00000E150000}"/>
    <cellStyle name="Normal 2 2 9 2 3" xfId="5696" xr:uid="{00000000-0005-0000-0000-00000F150000}"/>
    <cellStyle name="Normal 2 2 9 2 4" xfId="6921" xr:uid="{00000000-0005-0000-0000-000010150000}"/>
    <cellStyle name="Normal 2 2 9 3" xfId="1868" xr:uid="{00000000-0005-0000-0000-000011150000}"/>
    <cellStyle name="Normal 2 2 9 3 2" xfId="5889" xr:uid="{00000000-0005-0000-0000-000012150000}"/>
    <cellStyle name="Normal 2 2 9 3 3" xfId="7115" xr:uid="{00000000-0005-0000-0000-000013150000}"/>
    <cellStyle name="Normal 2 2 9 4" xfId="2307" xr:uid="{00000000-0005-0000-0000-000014150000}"/>
    <cellStyle name="Normal 2 2 9 4 2" xfId="3674" xr:uid="{00000000-0005-0000-0000-000015150000}"/>
    <cellStyle name="Normal 2 2 9 4 3" xfId="5471" xr:uid="{00000000-0005-0000-0000-000016150000}"/>
    <cellStyle name="Normal 2 2 9 4 4" xfId="7538" xr:uid="{00000000-0005-0000-0000-000017150000}"/>
    <cellStyle name="Normal 2 2 9 5" xfId="4167" xr:uid="{00000000-0005-0000-0000-000018150000}"/>
    <cellStyle name="Normal 2 2 9 6" xfId="6694" xr:uid="{00000000-0005-0000-0000-000019150000}"/>
    <cellStyle name="Normal 2 2 9 7" xfId="1442" xr:uid="{00000000-0005-0000-0000-00001A150000}"/>
    <cellStyle name="Normal 2 20" xfId="2308" xr:uid="{00000000-0005-0000-0000-00001B150000}"/>
    <cellStyle name="Normal 2 20 2" xfId="4168" xr:uid="{00000000-0005-0000-0000-00001C150000}"/>
    <cellStyle name="Normal 2 20 3" xfId="7539" xr:uid="{00000000-0005-0000-0000-00001D150000}"/>
    <cellStyle name="Normal 2 21" xfId="536" xr:uid="{00000000-0005-0000-0000-00001E150000}"/>
    <cellStyle name="Normal 2 21 2" xfId="4169" xr:uid="{00000000-0005-0000-0000-00001F150000}"/>
    <cellStyle name="Normal 2 21 3" xfId="7540" xr:uid="{00000000-0005-0000-0000-000020150000}"/>
    <cellStyle name="Normal 2 21 4" xfId="2309" xr:uid="{00000000-0005-0000-0000-000021150000}"/>
    <cellStyle name="Normal 2 22" xfId="2310" xr:uid="{00000000-0005-0000-0000-000022150000}"/>
    <cellStyle name="Normal 2 22 2" xfId="4170" xr:uid="{00000000-0005-0000-0000-000023150000}"/>
    <cellStyle name="Normal 2 22 3" xfId="7541" xr:uid="{00000000-0005-0000-0000-000024150000}"/>
    <cellStyle name="Normal 2 23" xfId="2311" xr:uid="{00000000-0005-0000-0000-000025150000}"/>
    <cellStyle name="Normal 2 23 2" xfId="4171" xr:uid="{00000000-0005-0000-0000-000026150000}"/>
    <cellStyle name="Normal 2 23 3" xfId="7542" xr:uid="{00000000-0005-0000-0000-000027150000}"/>
    <cellStyle name="Normal 2 24" xfId="2312" xr:uid="{00000000-0005-0000-0000-000028150000}"/>
    <cellStyle name="Normal 2 24 2" xfId="4172" xr:uid="{00000000-0005-0000-0000-000029150000}"/>
    <cellStyle name="Normal 2 24 3" xfId="7543" xr:uid="{00000000-0005-0000-0000-00002A150000}"/>
    <cellStyle name="Normal 2 25" xfId="2313" xr:uid="{00000000-0005-0000-0000-00002B150000}"/>
    <cellStyle name="Normal 2 25 2" xfId="4173" xr:uid="{00000000-0005-0000-0000-00002C150000}"/>
    <cellStyle name="Normal 2 25 3" xfId="7544" xr:uid="{00000000-0005-0000-0000-00002D150000}"/>
    <cellStyle name="Normal 2 26" xfId="2314" xr:uid="{00000000-0005-0000-0000-00002E150000}"/>
    <cellStyle name="Normal 2 26 2" xfId="4174" xr:uid="{00000000-0005-0000-0000-00002F150000}"/>
    <cellStyle name="Normal 2 26 3" xfId="7545" xr:uid="{00000000-0005-0000-0000-000030150000}"/>
    <cellStyle name="Normal 2 27" xfId="2315" xr:uid="{00000000-0005-0000-0000-000031150000}"/>
    <cellStyle name="Normal 2 27 2" xfId="4175" xr:uid="{00000000-0005-0000-0000-000032150000}"/>
    <cellStyle name="Normal 2 27 3" xfId="7546" xr:uid="{00000000-0005-0000-0000-000033150000}"/>
    <cellStyle name="Normal 2 28" xfId="2316" xr:uid="{00000000-0005-0000-0000-000034150000}"/>
    <cellStyle name="Normal 2 28 2" xfId="4176" xr:uid="{00000000-0005-0000-0000-000035150000}"/>
    <cellStyle name="Normal 2 28 3" xfId="7547" xr:uid="{00000000-0005-0000-0000-000036150000}"/>
    <cellStyle name="Normal 2 29" xfId="2317" xr:uid="{00000000-0005-0000-0000-000037150000}"/>
    <cellStyle name="Normal 2 29 2" xfId="4177" xr:uid="{00000000-0005-0000-0000-000038150000}"/>
    <cellStyle name="Normal 2 29 3" xfId="7548" xr:uid="{00000000-0005-0000-0000-000039150000}"/>
    <cellStyle name="Normal 2 3" xfId="537" xr:uid="{00000000-0005-0000-0000-00003A150000}"/>
    <cellStyle name="Normal 2 3 2" xfId="538" xr:uid="{00000000-0005-0000-0000-00003B150000}"/>
    <cellStyle name="Normal 2 3 2 2" xfId="2681" xr:uid="{00000000-0005-0000-0000-00003C150000}"/>
    <cellStyle name="Normal 2 3 2 2 2" xfId="4179" xr:uid="{00000000-0005-0000-0000-00003D150000}"/>
    <cellStyle name="Normal 2 3 2 2 3" xfId="7876" xr:uid="{00000000-0005-0000-0000-00003E150000}"/>
    <cellStyle name="Normal 2 3 2 3" xfId="2680" xr:uid="{00000000-0005-0000-0000-00003F150000}"/>
    <cellStyle name="Normal 2 3 2 3 2" xfId="3852" xr:uid="{00000000-0005-0000-0000-000040150000}"/>
    <cellStyle name="Normal 2 3 2 3 3" xfId="6228" xr:uid="{00000000-0005-0000-0000-000041150000}"/>
    <cellStyle name="Normal 2 3 2 3 4" xfId="7875" xr:uid="{00000000-0005-0000-0000-000042150000}"/>
    <cellStyle name="Normal 2 3 2 4" xfId="4178" xr:uid="{00000000-0005-0000-0000-000043150000}"/>
    <cellStyle name="Normal 2 3 2 5" xfId="6462" xr:uid="{00000000-0005-0000-0000-000044150000}"/>
    <cellStyle name="Normal 2 3 2 6" xfId="1210" xr:uid="{00000000-0005-0000-0000-000045150000}"/>
    <cellStyle name="Normal 2 3 3" xfId="539" xr:uid="{00000000-0005-0000-0000-000046150000}"/>
    <cellStyle name="Normal 2 3 3 2" xfId="2682" xr:uid="{00000000-0005-0000-0000-000047150000}"/>
    <cellStyle name="Normal 2 3 3 2 2" xfId="3621" xr:uid="{00000000-0005-0000-0000-000048150000}"/>
    <cellStyle name="Normal 2 3 3 2 3" xfId="5250" xr:uid="{00000000-0005-0000-0000-000049150000}"/>
    <cellStyle name="Normal 2 3 3 2 4" xfId="7877" xr:uid="{00000000-0005-0000-0000-00004A150000}"/>
    <cellStyle name="Normal 2 3 3 3" xfId="4180" xr:uid="{00000000-0005-0000-0000-00004B150000}"/>
    <cellStyle name="Normal 2 3 3 4" xfId="6420" xr:uid="{00000000-0005-0000-0000-00004C150000}"/>
    <cellStyle name="Normal 2 3 3 5" xfId="1166" xr:uid="{00000000-0005-0000-0000-00004D150000}"/>
    <cellStyle name="Normal 2 3 4" xfId="2318" xr:uid="{00000000-0005-0000-0000-00004E150000}"/>
    <cellStyle name="Normal 2 3 4 2" xfId="3772" xr:uid="{00000000-0005-0000-0000-00004F150000}"/>
    <cellStyle name="Normal 2 3 4 3" xfId="6167" xr:uid="{00000000-0005-0000-0000-000050150000}"/>
    <cellStyle name="Normal 2 3 4 4" xfId="7549" xr:uid="{00000000-0005-0000-0000-000051150000}"/>
    <cellStyle name="Normal 2 3 5" xfId="3773" xr:uid="{00000000-0005-0000-0000-000052150000}"/>
    <cellStyle name="Normal 2 3 5 2" xfId="6168" xr:uid="{00000000-0005-0000-0000-000053150000}"/>
    <cellStyle name="Normal 2 3 5 3" xfId="8684" xr:uid="{00000000-0005-0000-0000-000054150000}"/>
    <cellStyle name="Normal 2 3 6" xfId="3868" xr:uid="{00000000-0005-0000-0000-000055150000}"/>
    <cellStyle name="Normal 2 3 7" xfId="4541" xr:uid="{00000000-0005-0000-0000-000056150000}"/>
    <cellStyle name="Normal 2 3 8" xfId="6371" xr:uid="{00000000-0005-0000-0000-000057150000}"/>
    <cellStyle name="Normal 2 3 9" xfId="1099" xr:uid="{00000000-0005-0000-0000-000058150000}"/>
    <cellStyle name="Normal 2 30" xfId="2319" xr:uid="{00000000-0005-0000-0000-000059150000}"/>
    <cellStyle name="Normal 2 30 2" xfId="4181" xr:uid="{00000000-0005-0000-0000-00005A150000}"/>
    <cellStyle name="Normal 2 30 3" xfId="7550" xr:uid="{00000000-0005-0000-0000-00005B150000}"/>
    <cellStyle name="Normal 2 31" xfId="2320" xr:uid="{00000000-0005-0000-0000-00005C150000}"/>
    <cellStyle name="Normal 2 31 2" xfId="4182" xr:uid="{00000000-0005-0000-0000-00005D150000}"/>
    <cellStyle name="Normal 2 31 3" xfId="7551" xr:uid="{00000000-0005-0000-0000-00005E150000}"/>
    <cellStyle name="Normal 2 32" xfId="2321" xr:uid="{00000000-0005-0000-0000-00005F150000}"/>
    <cellStyle name="Normal 2 32 2" xfId="4183" xr:uid="{00000000-0005-0000-0000-000060150000}"/>
    <cellStyle name="Normal 2 32 3" xfId="7552" xr:uid="{00000000-0005-0000-0000-000061150000}"/>
    <cellStyle name="Normal 2 33" xfId="2322" xr:uid="{00000000-0005-0000-0000-000062150000}"/>
    <cellStyle name="Normal 2 33 2" xfId="4184" xr:uid="{00000000-0005-0000-0000-000063150000}"/>
    <cellStyle name="Normal 2 33 3" xfId="7553" xr:uid="{00000000-0005-0000-0000-000064150000}"/>
    <cellStyle name="Normal 2 34" xfId="2323" xr:uid="{00000000-0005-0000-0000-000065150000}"/>
    <cellStyle name="Normal 2 34 2" xfId="4185" xr:uid="{00000000-0005-0000-0000-000066150000}"/>
    <cellStyle name="Normal 2 34 3" xfId="7554" xr:uid="{00000000-0005-0000-0000-000067150000}"/>
    <cellStyle name="Normal 2 35" xfId="2324" xr:uid="{00000000-0005-0000-0000-000068150000}"/>
    <cellStyle name="Normal 2 35 2" xfId="4186" xr:uid="{00000000-0005-0000-0000-000069150000}"/>
    <cellStyle name="Normal 2 35 3" xfId="7555" xr:uid="{00000000-0005-0000-0000-00006A150000}"/>
    <cellStyle name="Normal 2 36" xfId="2325" xr:uid="{00000000-0005-0000-0000-00006B150000}"/>
    <cellStyle name="Normal 2 36 2" xfId="4187" xr:uid="{00000000-0005-0000-0000-00006C150000}"/>
    <cellStyle name="Normal 2 36 3" xfId="7556" xr:uid="{00000000-0005-0000-0000-00006D150000}"/>
    <cellStyle name="Normal 2 37" xfId="2326" xr:uid="{00000000-0005-0000-0000-00006E150000}"/>
    <cellStyle name="Normal 2 37 2" xfId="4188" xr:uid="{00000000-0005-0000-0000-00006F150000}"/>
    <cellStyle name="Normal 2 37 3" xfId="7557" xr:uid="{00000000-0005-0000-0000-000070150000}"/>
    <cellStyle name="Normal 2 38" xfId="2327" xr:uid="{00000000-0005-0000-0000-000071150000}"/>
    <cellStyle name="Normal 2 38 2" xfId="4189" xr:uid="{00000000-0005-0000-0000-000072150000}"/>
    <cellStyle name="Normal 2 38 3" xfId="7558" xr:uid="{00000000-0005-0000-0000-000073150000}"/>
    <cellStyle name="Normal 2 39" xfId="2328" xr:uid="{00000000-0005-0000-0000-000074150000}"/>
    <cellStyle name="Normal 2 39 2" xfId="4190" xr:uid="{00000000-0005-0000-0000-000075150000}"/>
    <cellStyle name="Normal 2 39 3" xfId="7559" xr:uid="{00000000-0005-0000-0000-000076150000}"/>
    <cellStyle name="Normal 2 4" xfId="540" xr:uid="{00000000-0005-0000-0000-000077150000}"/>
    <cellStyle name="Normal 2 4 10" xfId="6372" xr:uid="{00000000-0005-0000-0000-000078150000}"/>
    <cellStyle name="Normal 2 4 11" xfId="1100" xr:uid="{00000000-0005-0000-0000-000079150000}"/>
    <cellStyle name="Normal 2 4 2" xfId="541" xr:uid="{00000000-0005-0000-0000-00007A150000}"/>
    <cellStyle name="Normal 2 4 2 2" xfId="1102" xr:uid="{00000000-0005-0000-0000-00007B150000}"/>
    <cellStyle name="Normal 2 4 2 2 2" xfId="2683" xr:uid="{00000000-0005-0000-0000-00007C150000}"/>
    <cellStyle name="Normal 2 4 2 2 2 2" xfId="2962" xr:uid="{00000000-0005-0000-0000-00007D150000}"/>
    <cellStyle name="Normal 2 4 2 2 2 2 2" xfId="4623" xr:uid="{00000000-0005-0000-0000-00007E150000}"/>
    <cellStyle name="Normal 2 4 2 2 2 2 3" xfId="8018" xr:uid="{00000000-0005-0000-0000-00007F150000}"/>
    <cellStyle name="Normal 2 4 2 2 2 3" xfId="3061" xr:uid="{00000000-0005-0000-0000-000080150000}"/>
    <cellStyle name="Normal 2 4 2 2 2 3 2" xfId="4706" xr:uid="{00000000-0005-0000-0000-000081150000}"/>
    <cellStyle name="Normal 2 4 2 2 2 3 3" xfId="8117" xr:uid="{00000000-0005-0000-0000-000082150000}"/>
    <cellStyle name="Normal 2 4 2 2 2 4" xfId="3745" xr:uid="{00000000-0005-0000-0000-000083150000}"/>
    <cellStyle name="Normal 2 4 2 2 2 4 2" xfId="6143" xr:uid="{00000000-0005-0000-0000-000084150000}"/>
    <cellStyle name="Normal 2 4 2 2 2 4 3" xfId="8659" xr:uid="{00000000-0005-0000-0000-000085150000}"/>
    <cellStyle name="Normal 2 4 2 2 2 5" xfId="2866" xr:uid="{00000000-0005-0000-0000-000086150000}"/>
    <cellStyle name="Normal 2 4 2 2 2 6" xfId="4193" xr:uid="{00000000-0005-0000-0000-000087150000}"/>
    <cellStyle name="Normal 2 4 2 2 2 7" xfId="7878" xr:uid="{00000000-0005-0000-0000-000088150000}"/>
    <cellStyle name="Normal 2 4 2 2 3" xfId="4192" xr:uid="{00000000-0005-0000-0000-000089150000}"/>
    <cellStyle name="Normal 2 4 2 2 4" xfId="6374" xr:uid="{00000000-0005-0000-0000-00008A150000}"/>
    <cellStyle name="Normal 2 4 2 3" xfId="1103" xr:uid="{00000000-0005-0000-0000-00008B150000}"/>
    <cellStyle name="Normal 2 4 2 3 2" xfId="2684" xr:uid="{00000000-0005-0000-0000-00008C150000}"/>
    <cellStyle name="Normal 2 4 2 3 2 2" xfId="4195" xr:uid="{00000000-0005-0000-0000-00008D150000}"/>
    <cellStyle name="Normal 2 4 2 3 2 3" xfId="7879" xr:uid="{00000000-0005-0000-0000-00008E150000}"/>
    <cellStyle name="Normal 2 4 2 3 3" xfId="4194" xr:uid="{00000000-0005-0000-0000-00008F150000}"/>
    <cellStyle name="Normal 2 4 2 3 4" xfId="6375" xr:uid="{00000000-0005-0000-0000-000090150000}"/>
    <cellStyle name="Normal 2 4 2 4" xfId="2685" xr:uid="{00000000-0005-0000-0000-000091150000}"/>
    <cellStyle name="Normal 2 4 2 4 2" xfId="2963" xr:uid="{00000000-0005-0000-0000-000092150000}"/>
    <cellStyle name="Normal 2 4 2 4 2 2" xfId="4624" xr:uid="{00000000-0005-0000-0000-000093150000}"/>
    <cellStyle name="Normal 2 4 2 4 2 3" xfId="8019" xr:uid="{00000000-0005-0000-0000-000094150000}"/>
    <cellStyle name="Normal 2 4 2 4 3" xfId="3062" xr:uid="{00000000-0005-0000-0000-000095150000}"/>
    <cellStyle name="Normal 2 4 2 4 3 2" xfId="4707" xr:uid="{00000000-0005-0000-0000-000096150000}"/>
    <cellStyle name="Normal 2 4 2 4 3 3" xfId="8118" xr:uid="{00000000-0005-0000-0000-000097150000}"/>
    <cellStyle name="Normal 2 4 2 4 4" xfId="3802" xr:uid="{00000000-0005-0000-0000-000098150000}"/>
    <cellStyle name="Normal 2 4 2 4 4 2" xfId="6192" xr:uid="{00000000-0005-0000-0000-000099150000}"/>
    <cellStyle name="Normal 2 4 2 4 4 3" xfId="8713" xr:uid="{00000000-0005-0000-0000-00009A150000}"/>
    <cellStyle name="Normal 2 4 2 4 5" xfId="2867" xr:uid="{00000000-0005-0000-0000-00009B150000}"/>
    <cellStyle name="Normal 2 4 2 4 6" xfId="4196" xr:uid="{00000000-0005-0000-0000-00009C150000}"/>
    <cellStyle name="Normal 2 4 2 4 7" xfId="7880" xr:uid="{00000000-0005-0000-0000-00009D150000}"/>
    <cellStyle name="Normal 2 4 2 5" xfId="3372" xr:uid="{00000000-0005-0000-0000-00009E150000}"/>
    <cellStyle name="Normal 2 4 2 5 2" xfId="5004" xr:uid="{00000000-0005-0000-0000-00009F150000}"/>
    <cellStyle name="Normal 2 4 2 5 3" xfId="8405" xr:uid="{00000000-0005-0000-0000-0000A0150000}"/>
    <cellStyle name="Normal 2 4 2 6" xfId="4191" xr:uid="{00000000-0005-0000-0000-0000A1150000}"/>
    <cellStyle name="Normal 2 4 2 7" xfId="6373" xr:uid="{00000000-0005-0000-0000-0000A2150000}"/>
    <cellStyle name="Normal 2 4 2 8" xfId="1101" xr:uid="{00000000-0005-0000-0000-0000A3150000}"/>
    <cellStyle name="Normal 2 4 3" xfId="542" xr:uid="{00000000-0005-0000-0000-0000A4150000}"/>
    <cellStyle name="Normal 2 4 3 2" xfId="1105" xr:uid="{00000000-0005-0000-0000-0000A5150000}"/>
    <cellStyle name="Normal 2 4 3 2 2" xfId="4198" xr:uid="{00000000-0005-0000-0000-0000A6150000}"/>
    <cellStyle name="Normal 2 4 3 2 3" xfId="6377" xr:uid="{00000000-0005-0000-0000-0000A7150000}"/>
    <cellStyle name="Normal 2 4 3 3" xfId="1106" xr:uid="{00000000-0005-0000-0000-0000A8150000}"/>
    <cellStyle name="Normal 2 4 3 3 2" xfId="4199" xr:uid="{00000000-0005-0000-0000-0000A9150000}"/>
    <cellStyle name="Normal 2 4 3 3 3" xfId="6378" xr:uid="{00000000-0005-0000-0000-0000AA150000}"/>
    <cellStyle name="Normal 2 4 3 4" xfId="1107" xr:uid="{00000000-0005-0000-0000-0000AB150000}"/>
    <cellStyle name="Normal 2 4 3 4 2" xfId="1108" xr:uid="{00000000-0005-0000-0000-0000AC150000}"/>
    <cellStyle name="Normal 2 4 3 4 2 2" xfId="2686" xr:uid="{00000000-0005-0000-0000-0000AD150000}"/>
    <cellStyle name="Normal 2 4 3 4 2 2 2" xfId="4202" xr:uid="{00000000-0005-0000-0000-0000AE150000}"/>
    <cellStyle name="Normal 2 4 3 4 2 2 3" xfId="7881" xr:uid="{00000000-0005-0000-0000-0000AF150000}"/>
    <cellStyle name="Normal 2 4 3 4 2 3" xfId="4201" xr:uid="{00000000-0005-0000-0000-0000B0150000}"/>
    <cellStyle name="Normal 2 4 3 4 2 4" xfId="6380" xr:uid="{00000000-0005-0000-0000-0000B1150000}"/>
    <cellStyle name="Normal 2 4 3 4 3" xfId="1109" xr:uid="{00000000-0005-0000-0000-0000B2150000}"/>
    <cellStyle name="Normal 2 4 3 4 3 2" xfId="4203" xr:uid="{00000000-0005-0000-0000-0000B3150000}"/>
    <cellStyle name="Normal 2 4 3 4 3 3" xfId="6381" xr:uid="{00000000-0005-0000-0000-0000B4150000}"/>
    <cellStyle name="Normal 2 4 3 4 4" xfId="4200" xr:uid="{00000000-0005-0000-0000-0000B5150000}"/>
    <cellStyle name="Normal 2 4 3 4 5" xfId="6379" xr:uid="{00000000-0005-0000-0000-0000B6150000}"/>
    <cellStyle name="Normal 2 4 3 5" xfId="2687" xr:uid="{00000000-0005-0000-0000-0000B7150000}"/>
    <cellStyle name="Normal 2 4 3 5 2" xfId="2961" xr:uid="{00000000-0005-0000-0000-0000B8150000}"/>
    <cellStyle name="Normal 2 4 3 5 2 2" xfId="4622" xr:uid="{00000000-0005-0000-0000-0000B9150000}"/>
    <cellStyle name="Normal 2 4 3 5 2 3" xfId="8017" xr:uid="{00000000-0005-0000-0000-0000BA150000}"/>
    <cellStyle name="Normal 2 4 3 5 3" xfId="3060" xr:uid="{00000000-0005-0000-0000-0000BB150000}"/>
    <cellStyle name="Normal 2 4 3 5 3 2" xfId="4705" xr:uid="{00000000-0005-0000-0000-0000BC150000}"/>
    <cellStyle name="Normal 2 4 3 5 3 3" xfId="8116" xr:uid="{00000000-0005-0000-0000-0000BD150000}"/>
    <cellStyle name="Normal 2 4 3 5 4" xfId="3832" xr:uid="{00000000-0005-0000-0000-0000BE150000}"/>
    <cellStyle name="Normal 2 4 3 5 4 2" xfId="6213" xr:uid="{00000000-0005-0000-0000-0000BF150000}"/>
    <cellStyle name="Normal 2 4 3 5 4 3" xfId="8743" xr:uid="{00000000-0005-0000-0000-0000C0150000}"/>
    <cellStyle name="Normal 2 4 3 5 5" xfId="2865" xr:uid="{00000000-0005-0000-0000-0000C1150000}"/>
    <cellStyle name="Normal 2 4 3 5 6" xfId="4204" xr:uid="{00000000-0005-0000-0000-0000C2150000}"/>
    <cellStyle name="Normal 2 4 3 5 7" xfId="7882" xr:uid="{00000000-0005-0000-0000-0000C3150000}"/>
    <cellStyle name="Normal 2 4 3 6" xfId="3620" xr:uid="{00000000-0005-0000-0000-0000C4150000}"/>
    <cellStyle name="Normal 2 4 3 6 2" xfId="5249" xr:uid="{00000000-0005-0000-0000-0000C5150000}"/>
    <cellStyle name="Normal 2 4 3 6 3" xfId="8593" xr:uid="{00000000-0005-0000-0000-0000C6150000}"/>
    <cellStyle name="Normal 2 4 3 7" xfId="4197" xr:uid="{00000000-0005-0000-0000-0000C7150000}"/>
    <cellStyle name="Normal 2 4 3 8" xfId="6376" xr:uid="{00000000-0005-0000-0000-0000C8150000}"/>
    <cellStyle name="Normal 2 4 3 9" xfId="1104" xr:uid="{00000000-0005-0000-0000-0000C9150000}"/>
    <cellStyle name="Normal 2 4 4" xfId="1110" xr:uid="{00000000-0005-0000-0000-0000CA150000}"/>
    <cellStyle name="Normal 2 4 4 2" xfId="1111" xr:uid="{00000000-0005-0000-0000-0000CB150000}"/>
    <cellStyle name="Normal 2 4 4 2 2" xfId="4206" xr:uid="{00000000-0005-0000-0000-0000CC150000}"/>
    <cellStyle name="Normal 2 4 4 2 3" xfId="6383" xr:uid="{00000000-0005-0000-0000-0000CD150000}"/>
    <cellStyle name="Normal 2 4 4 3" xfId="1112" xr:uid="{00000000-0005-0000-0000-0000CE150000}"/>
    <cellStyle name="Normal 2 4 4 3 2" xfId="2688" xr:uid="{00000000-0005-0000-0000-0000CF150000}"/>
    <cellStyle name="Normal 2 4 4 3 2 2" xfId="4208" xr:uid="{00000000-0005-0000-0000-0000D0150000}"/>
    <cellStyle name="Normal 2 4 4 3 2 3" xfId="7883" xr:uid="{00000000-0005-0000-0000-0000D1150000}"/>
    <cellStyle name="Normal 2 4 4 3 3" xfId="4207" xr:uid="{00000000-0005-0000-0000-0000D2150000}"/>
    <cellStyle name="Normal 2 4 4 3 4" xfId="6384" xr:uid="{00000000-0005-0000-0000-0000D3150000}"/>
    <cellStyle name="Normal 2 4 4 4" xfId="4205" xr:uid="{00000000-0005-0000-0000-0000D4150000}"/>
    <cellStyle name="Normal 2 4 4 5" xfId="6382" xr:uid="{00000000-0005-0000-0000-0000D5150000}"/>
    <cellStyle name="Normal 2 4 5" xfId="1113" xr:uid="{00000000-0005-0000-0000-0000D6150000}"/>
    <cellStyle name="Normal 2 4 5 2" xfId="2689" xr:uid="{00000000-0005-0000-0000-0000D7150000}"/>
    <cellStyle name="Normal 2 4 5 2 2" xfId="4210" xr:uid="{00000000-0005-0000-0000-0000D8150000}"/>
    <cellStyle name="Normal 2 4 5 2 3" xfId="7884" xr:uid="{00000000-0005-0000-0000-0000D9150000}"/>
    <cellStyle name="Normal 2 4 5 3" xfId="4209" xr:uid="{00000000-0005-0000-0000-0000DA150000}"/>
    <cellStyle name="Normal 2 4 5 4" xfId="6385" xr:uid="{00000000-0005-0000-0000-0000DB150000}"/>
    <cellStyle name="Normal 2 4 6" xfId="1209" xr:uid="{00000000-0005-0000-0000-0000DC150000}"/>
    <cellStyle name="Normal 2 4 6 2" xfId="2690" xr:uid="{00000000-0005-0000-0000-0000DD150000}"/>
    <cellStyle name="Normal 2 4 6 3" xfId="4211" xr:uid="{00000000-0005-0000-0000-0000DE150000}"/>
    <cellStyle name="Normal 2 4 6 4" xfId="6461" xr:uid="{00000000-0005-0000-0000-0000DF150000}"/>
    <cellStyle name="Normal 2 4 7" xfId="2329" xr:uid="{00000000-0005-0000-0000-0000E0150000}"/>
    <cellStyle name="Normal 2 4 7 2" xfId="2691" xr:uid="{00000000-0005-0000-0000-0000E1150000}"/>
    <cellStyle name="Normal 2 4 7 2 2" xfId="4625" xr:uid="{00000000-0005-0000-0000-0000E2150000}"/>
    <cellStyle name="Normal 2 4 7 2 3" xfId="7885" xr:uid="{00000000-0005-0000-0000-0000E3150000}"/>
    <cellStyle name="Normal 2 4 7 3" xfId="3063" xr:uid="{00000000-0005-0000-0000-0000E4150000}"/>
    <cellStyle name="Normal 2 4 7 3 2" xfId="4708" xr:uid="{00000000-0005-0000-0000-0000E5150000}"/>
    <cellStyle name="Normal 2 4 7 3 3" xfId="8119" xr:uid="{00000000-0005-0000-0000-0000E6150000}"/>
    <cellStyle name="Normal 2 4 7 4" xfId="3770" xr:uid="{00000000-0005-0000-0000-0000E7150000}"/>
    <cellStyle name="Normal 2 4 7 4 2" xfId="6165" xr:uid="{00000000-0005-0000-0000-0000E8150000}"/>
    <cellStyle name="Normal 2 4 7 4 3" xfId="8682" xr:uid="{00000000-0005-0000-0000-0000E9150000}"/>
    <cellStyle name="Normal 2 4 7 5" xfId="2868" xr:uid="{00000000-0005-0000-0000-0000EA150000}"/>
    <cellStyle name="Normal 2 4 7 6" xfId="4212" xr:uid="{00000000-0005-0000-0000-0000EB150000}"/>
    <cellStyle name="Normal 2 4 7 7" xfId="7560" xr:uid="{00000000-0005-0000-0000-0000EC150000}"/>
    <cellStyle name="Normal 2 4 8" xfId="3827" xr:uid="{00000000-0005-0000-0000-0000ED150000}"/>
    <cellStyle name="Normal 2 4 8 2" xfId="6210" xr:uid="{00000000-0005-0000-0000-0000EE150000}"/>
    <cellStyle name="Normal 2 4 8 3" xfId="8738" xr:uid="{00000000-0005-0000-0000-0000EF150000}"/>
    <cellStyle name="Normal 2 4 9" xfId="3869" xr:uid="{00000000-0005-0000-0000-0000F0150000}"/>
    <cellStyle name="Normal 2 4_Folha2" xfId="1114" xr:uid="{00000000-0005-0000-0000-0000F1150000}"/>
    <cellStyle name="Normal 2 40" xfId="2330" xr:uid="{00000000-0005-0000-0000-0000F2150000}"/>
    <cellStyle name="Normal 2 40 2" xfId="4213" xr:uid="{00000000-0005-0000-0000-0000F3150000}"/>
    <cellStyle name="Normal 2 40 3" xfId="7561" xr:uid="{00000000-0005-0000-0000-0000F4150000}"/>
    <cellStyle name="Normal 2 41" xfId="2331" xr:uid="{00000000-0005-0000-0000-0000F5150000}"/>
    <cellStyle name="Normal 2 41 2" xfId="4214" xr:uid="{00000000-0005-0000-0000-0000F6150000}"/>
    <cellStyle name="Normal 2 41 3" xfId="7562" xr:uid="{00000000-0005-0000-0000-0000F7150000}"/>
    <cellStyle name="Normal 2 42" xfId="2332" xr:uid="{00000000-0005-0000-0000-0000F8150000}"/>
    <cellStyle name="Normal 2 42 2" xfId="4215" xr:uid="{00000000-0005-0000-0000-0000F9150000}"/>
    <cellStyle name="Normal 2 42 3" xfId="7563" xr:uid="{00000000-0005-0000-0000-0000FA150000}"/>
    <cellStyle name="Normal 2 43" xfId="2333" xr:uid="{00000000-0005-0000-0000-0000FB150000}"/>
    <cellStyle name="Normal 2 43 2" xfId="4216" xr:uid="{00000000-0005-0000-0000-0000FC150000}"/>
    <cellStyle name="Normal 2 43 3" xfId="7564" xr:uid="{00000000-0005-0000-0000-0000FD150000}"/>
    <cellStyle name="Normal 2 44" xfId="2334" xr:uid="{00000000-0005-0000-0000-0000FE150000}"/>
    <cellStyle name="Normal 2 44 2" xfId="4217" xr:uid="{00000000-0005-0000-0000-0000FF150000}"/>
    <cellStyle name="Normal 2 44 3" xfId="7565" xr:uid="{00000000-0005-0000-0000-000000160000}"/>
    <cellStyle name="Normal 2 45" xfId="2335" xr:uid="{00000000-0005-0000-0000-000001160000}"/>
    <cellStyle name="Normal 2 45 2" xfId="4218" xr:uid="{00000000-0005-0000-0000-000002160000}"/>
    <cellStyle name="Normal 2 45 3" xfId="7566" xr:uid="{00000000-0005-0000-0000-000003160000}"/>
    <cellStyle name="Normal 2 46" xfId="2336" xr:uid="{00000000-0005-0000-0000-000004160000}"/>
    <cellStyle name="Normal 2 46 2" xfId="4219" xr:uid="{00000000-0005-0000-0000-000005160000}"/>
    <cellStyle name="Normal 2 46 3" xfId="7567" xr:uid="{00000000-0005-0000-0000-000006160000}"/>
    <cellStyle name="Normal 2 47" xfId="2337" xr:uid="{00000000-0005-0000-0000-000007160000}"/>
    <cellStyle name="Normal 2 47 2" xfId="4220" xr:uid="{00000000-0005-0000-0000-000008160000}"/>
    <cellStyle name="Normal 2 47 3" xfId="7568" xr:uid="{00000000-0005-0000-0000-000009160000}"/>
    <cellStyle name="Normal 2 48" xfId="2338" xr:uid="{00000000-0005-0000-0000-00000A160000}"/>
    <cellStyle name="Normal 2 48 2" xfId="4221" xr:uid="{00000000-0005-0000-0000-00000B160000}"/>
    <cellStyle name="Normal 2 48 3" xfId="7569" xr:uid="{00000000-0005-0000-0000-00000C160000}"/>
    <cellStyle name="Normal 2 49" xfId="2339" xr:uid="{00000000-0005-0000-0000-00000D160000}"/>
    <cellStyle name="Normal 2 49 2" xfId="4222" xr:uid="{00000000-0005-0000-0000-00000E160000}"/>
    <cellStyle name="Normal 2 49 3" xfId="7570" xr:uid="{00000000-0005-0000-0000-00000F160000}"/>
    <cellStyle name="Normal 2 5" xfId="543" xr:uid="{00000000-0005-0000-0000-000010160000}"/>
    <cellStyle name="Normal 2 5 2" xfId="544" xr:uid="{00000000-0005-0000-0000-000011160000}"/>
    <cellStyle name="Normal 2 5 2 2" xfId="3622" xr:uid="{00000000-0005-0000-0000-000012160000}"/>
    <cellStyle name="Normal 2 5 2 3" xfId="5251" xr:uid="{00000000-0005-0000-0000-000013160000}"/>
    <cellStyle name="Normal 2 5 2 4" xfId="7571" xr:uid="{00000000-0005-0000-0000-000014160000}"/>
    <cellStyle name="Normal 2 5 2 5" xfId="2340" xr:uid="{00000000-0005-0000-0000-000015160000}"/>
    <cellStyle name="Normal 2 5 3" xfId="3870" xr:uid="{00000000-0005-0000-0000-000016160000}"/>
    <cellStyle name="Normal 2 5 4" xfId="6464" xr:uid="{00000000-0005-0000-0000-000017160000}"/>
    <cellStyle name="Normal 2 5 5" xfId="1212" xr:uid="{00000000-0005-0000-0000-000018160000}"/>
    <cellStyle name="Normal 2 50" xfId="2341" xr:uid="{00000000-0005-0000-0000-000019160000}"/>
    <cellStyle name="Normal 2 50 2" xfId="4223" xr:uid="{00000000-0005-0000-0000-00001A160000}"/>
    <cellStyle name="Normal 2 50 3" xfId="7572" xr:uid="{00000000-0005-0000-0000-00001B160000}"/>
    <cellStyle name="Normal 2 51" xfId="2342" xr:uid="{00000000-0005-0000-0000-00001C160000}"/>
    <cellStyle name="Normal 2 51 2" xfId="4224" xr:uid="{00000000-0005-0000-0000-00001D160000}"/>
    <cellStyle name="Normal 2 51 3" xfId="7573" xr:uid="{00000000-0005-0000-0000-00001E160000}"/>
    <cellStyle name="Normal 2 52" xfId="2343" xr:uid="{00000000-0005-0000-0000-00001F160000}"/>
    <cellStyle name="Normal 2 52 2" xfId="4225" xr:uid="{00000000-0005-0000-0000-000020160000}"/>
    <cellStyle name="Normal 2 52 3" xfId="7574" xr:uid="{00000000-0005-0000-0000-000021160000}"/>
    <cellStyle name="Normal 2 53" xfId="2344" xr:uid="{00000000-0005-0000-0000-000022160000}"/>
    <cellStyle name="Normal 2 53 2" xfId="4226" xr:uid="{00000000-0005-0000-0000-000023160000}"/>
    <cellStyle name="Normal 2 53 3" xfId="7575" xr:uid="{00000000-0005-0000-0000-000024160000}"/>
    <cellStyle name="Normal 2 54" xfId="2345" xr:uid="{00000000-0005-0000-0000-000025160000}"/>
    <cellStyle name="Normal 2 54 2" xfId="4227" xr:uid="{00000000-0005-0000-0000-000026160000}"/>
    <cellStyle name="Normal 2 54 3" xfId="7576" xr:uid="{00000000-0005-0000-0000-000027160000}"/>
    <cellStyle name="Normal 2 55" xfId="2346" xr:uid="{00000000-0005-0000-0000-000028160000}"/>
    <cellStyle name="Normal 2 55 2" xfId="4228" xr:uid="{00000000-0005-0000-0000-000029160000}"/>
    <cellStyle name="Normal 2 55 3" xfId="7577" xr:uid="{00000000-0005-0000-0000-00002A160000}"/>
    <cellStyle name="Normal 2 56" xfId="2347" xr:uid="{00000000-0005-0000-0000-00002B160000}"/>
    <cellStyle name="Normal 2 56 2" xfId="4229" xr:uid="{00000000-0005-0000-0000-00002C160000}"/>
    <cellStyle name="Normal 2 56 3" xfId="7578" xr:uid="{00000000-0005-0000-0000-00002D160000}"/>
    <cellStyle name="Normal 2 57" xfId="2348" xr:uid="{00000000-0005-0000-0000-00002E160000}"/>
    <cellStyle name="Normal 2 57 2" xfId="4230" xr:uid="{00000000-0005-0000-0000-00002F160000}"/>
    <cellStyle name="Normal 2 57 3" xfId="7579" xr:uid="{00000000-0005-0000-0000-000030160000}"/>
    <cellStyle name="Normal 2 58" xfId="2349" xr:uid="{00000000-0005-0000-0000-000031160000}"/>
    <cellStyle name="Normal 2 58 2" xfId="4231" xr:uid="{00000000-0005-0000-0000-000032160000}"/>
    <cellStyle name="Normal 2 58 3" xfId="7580" xr:uid="{00000000-0005-0000-0000-000033160000}"/>
    <cellStyle name="Normal 2 59" xfId="2350" xr:uid="{00000000-0005-0000-0000-000034160000}"/>
    <cellStyle name="Normal 2 59 2" xfId="4232" xr:uid="{00000000-0005-0000-0000-000035160000}"/>
    <cellStyle name="Normal 2 59 3" xfId="7581" xr:uid="{00000000-0005-0000-0000-000036160000}"/>
    <cellStyle name="Normal 2 6" xfId="545" xr:uid="{00000000-0005-0000-0000-000037160000}"/>
    <cellStyle name="Normal 2 6 2" xfId="546" xr:uid="{00000000-0005-0000-0000-000038160000}"/>
    <cellStyle name="Normal 2 6 2 2" xfId="3619" xr:uid="{00000000-0005-0000-0000-000039160000}"/>
    <cellStyle name="Normal 2 6 2 3" xfId="5248" xr:uid="{00000000-0005-0000-0000-00003A160000}"/>
    <cellStyle name="Normal 2 6 2 4" xfId="7582" xr:uid="{00000000-0005-0000-0000-00003B160000}"/>
    <cellStyle name="Normal 2 6 2 5" xfId="2351" xr:uid="{00000000-0005-0000-0000-00003C160000}"/>
    <cellStyle name="Normal 2 6 3" xfId="3871" xr:uid="{00000000-0005-0000-0000-00003D160000}"/>
    <cellStyle name="Normal 2 6 4" xfId="6459" xr:uid="{00000000-0005-0000-0000-00003E160000}"/>
    <cellStyle name="Normal 2 6 5" xfId="1207" xr:uid="{00000000-0005-0000-0000-00003F160000}"/>
    <cellStyle name="Normal 2 60" xfId="2352" xr:uid="{00000000-0005-0000-0000-000040160000}"/>
    <cellStyle name="Normal 2 60 2" xfId="4233" xr:uid="{00000000-0005-0000-0000-000041160000}"/>
    <cellStyle name="Normal 2 60 3" xfId="7583" xr:uid="{00000000-0005-0000-0000-000042160000}"/>
    <cellStyle name="Normal 2 61" xfId="2353" xr:uid="{00000000-0005-0000-0000-000043160000}"/>
    <cellStyle name="Normal 2 61 2" xfId="4234" xr:uid="{00000000-0005-0000-0000-000044160000}"/>
    <cellStyle name="Normal 2 61 3" xfId="7584" xr:uid="{00000000-0005-0000-0000-000045160000}"/>
    <cellStyle name="Normal 2 62" xfId="2354" xr:uid="{00000000-0005-0000-0000-000046160000}"/>
    <cellStyle name="Normal 2 62 2" xfId="4235" xr:uid="{00000000-0005-0000-0000-000047160000}"/>
    <cellStyle name="Normal 2 62 3" xfId="7585" xr:uid="{00000000-0005-0000-0000-000048160000}"/>
    <cellStyle name="Normal 2 63" xfId="2355" xr:uid="{00000000-0005-0000-0000-000049160000}"/>
    <cellStyle name="Normal 2 63 2" xfId="4236" xr:uid="{00000000-0005-0000-0000-00004A160000}"/>
    <cellStyle name="Normal 2 63 3" xfId="7586" xr:uid="{00000000-0005-0000-0000-00004B160000}"/>
    <cellStyle name="Normal 2 64" xfId="2356" xr:uid="{00000000-0005-0000-0000-00004C160000}"/>
    <cellStyle name="Normal 2 64 2" xfId="4237" xr:uid="{00000000-0005-0000-0000-00004D160000}"/>
    <cellStyle name="Normal 2 64 3" xfId="7587" xr:uid="{00000000-0005-0000-0000-00004E160000}"/>
    <cellStyle name="Normal 2 65" xfId="2357" xr:uid="{00000000-0005-0000-0000-00004F160000}"/>
    <cellStyle name="Normal 2 65 2" xfId="4238" xr:uid="{00000000-0005-0000-0000-000050160000}"/>
    <cellStyle name="Normal 2 65 3" xfId="7588" xr:uid="{00000000-0005-0000-0000-000051160000}"/>
    <cellStyle name="Normal 2 66" xfId="2358" xr:uid="{00000000-0005-0000-0000-000052160000}"/>
    <cellStyle name="Normal 2 66 2" xfId="4239" xr:uid="{00000000-0005-0000-0000-000053160000}"/>
    <cellStyle name="Normal 2 66 3" xfId="7589" xr:uid="{00000000-0005-0000-0000-000054160000}"/>
    <cellStyle name="Normal 2 67" xfId="2359" xr:uid="{00000000-0005-0000-0000-000055160000}"/>
    <cellStyle name="Normal 2 67 2" xfId="4240" xr:uid="{00000000-0005-0000-0000-000056160000}"/>
    <cellStyle name="Normal 2 67 3" xfId="7590" xr:uid="{00000000-0005-0000-0000-000057160000}"/>
    <cellStyle name="Normal 2 68" xfId="2360" xr:uid="{00000000-0005-0000-0000-000058160000}"/>
    <cellStyle name="Normal 2 68 2" xfId="4241" xr:uid="{00000000-0005-0000-0000-000059160000}"/>
    <cellStyle name="Normal 2 68 3" xfId="7591" xr:uid="{00000000-0005-0000-0000-00005A160000}"/>
    <cellStyle name="Normal 2 69" xfId="2361" xr:uid="{00000000-0005-0000-0000-00005B160000}"/>
    <cellStyle name="Normal 2 69 2" xfId="4242" xr:uid="{00000000-0005-0000-0000-00005C160000}"/>
    <cellStyle name="Normal 2 69 3" xfId="7592" xr:uid="{00000000-0005-0000-0000-00005D160000}"/>
    <cellStyle name="Normal 2 7" xfId="547" xr:uid="{00000000-0005-0000-0000-00005E160000}"/>
    <cellStyle name="Normal 2 7 2" xfId="548" xr:uid="{00000000-0005-0000-0000-00005F160000}"/>
    <cellStyle name="Normal 2 7 2 2" xfId="1351" xr:uid="{00000000-0005-0000-0000-000060160000}"/>
    <cellStyle name="Normal 2 7 2 2 2" xfId="1353" xr:uid="{00000000-0005-0000-0000-000061160000}"/>
    <cellStyle name="Normal 2 7 2 2 2 2" xfId="5387" xr:uid="{00000000-0005-0000-0000-000062160000}"/>
    <cellStyle name="Normal 2 7 2 2 2 3" xfId="6605" xr:uid="{00000000-0005-0000-0000-000063160000}"/>
    <cellStyle name="Normal 2 7 2 2 3" xfId="1619" xr:uid="{00000000-0005-0000-0000-000064160000}"/>
    <cellStyle name="Normal 2 7 2 2 3 2" xfId="5645" xr:uid="{00000000-0005-0000-0000-000065160000}"/>
    <cellStyle name="Normal 2 7 2 2 3 3" xfId="6870" xr:uid="{00000000-0005-0000-0000-000066160000}"/>
    <cellStyle name="Normal 2 7 2 2 4" xfId="1820" xr:uid="{00000000-0005-0000-0000-000067160000}"/>
    <cellStyle name="Normal 2 7 2 2 4 2" xfId="5841" xr:uid="{00000000-0005-0000-0000-000068160000}"/>
    <cellStyle name="Normal 2 7 2 2 4 3" xfId="7067" xr:uid="{00000000-0005-0000-0000-000069160000}"/>
    <cellStyle name="Normal 2 7 2 2 5" xfId="1974" xr:uid="{00000000-0005-0000-0000-00006A160000}"/>
    <cellStyle name="Normal 2 7 2 2 5 2" xfId="5993" xr:uid="{00000000-0005-0000-0000-00006B160000}"/>
    <cellStyle name="Normal 2 7 2 2 5 3" xfId="7221" xr:uid="{00000000-0005-0000-0000-00006C160000}"/>
    <cellStyle name="Normal 2 7 2 2 6" xfId="5385" xr:uid="{00000000-0005-0000-0000-00006D160000}"/>
    <cellStyle name="Normal 2 7 2 2 7" xfId="6603" xr:uid="{00000000-0005-0000-0000-00006E160000}"/>
    <cellStyle name="Normal 2 7 2 3" xfId="1362" xr:uid="{00000000-0005-0000-0000-00006F160000}"/>
    <cellStyle name="Normal 2 7 2 3 2" xfId="5395" xr:uid="{00000000-0005-0000-0000-000070160000}"/>
    <cellStyle name="Normal 2 7 2 3 3" xfId="6614" xr:uid="{00000000-0005-0000-0000-000071160000}"/>
    <cellStyle name="Normal 2 7 2 4" xfId="5283" xr:uid="{00000000-0005-0000-0000-000072160000}"/>
    <cellStyle name="Normal 2 7 2 5" xfId="6498" xr:uid="{00000000-0005-0000-0000-000073160000}"/>
    <cellStyle name="Normal 2 7 2 6" xfId="1246" xr:uid="{00000000-0005-0000-0000-000074160000}"/>
    <cellStyle name="Normal 2 7 3" xfId="1296" xr:uid="{00000000-0005-0000-0000-000075160000}"/>
    <cellStyle name="Normal 2 7 3 2" xfId="1360" xr:uid="{00000000-0005-0000-0000-000076160000}"/>
    <cellStyle name="Normal 2 7 3 2 2" xfId="1628" xr:uid="{00000000-0005-0000-0000-000077160000}"/>
    <cellStyle name="Normal 2 7 3 2 2 2" xfId="5654" xr:uid="{00000000-0005-0000-0000-000078160000}"/>
    <cellStyle name="Normal 2 7 3 2 2 3" xfId="6879" xr:uid="{00000000-0005-0000-0000-000079160000}"/>
    <cellStyle name="Normal 2 7 3 2 3" xfId="1829" xr:uid="{00000000-0005-0000-0000-00007A160000}"/>
    <cellStyle name="Normal 2 7 3 2 3 2" xfId="5850" xr:uid="{00000000-0005-0000-0000-00007B160000}"/>
    <cellStyle name="Normal 2 7 3 2 3 3" xfId="7076" xr:uid="{00000000-0005-0000-0000-00007C160000}"/>
    <cellStyle name="Normal 2 7 3 2 4" xfId="1900" xr:uid="{00000000-0005-0000-0000-00007D160000}"/>
    <cellStyle name="Normal 2 7 3 2 4 2" xfId="5920" xr:uid="{00000000-0005-0000-0000-00007E160000}"/>
    <cellStyle name="Normal 2 7 3 2 4 3" xfId="7147" xr:uid="{00000000-0005-0000-0000-00007F160000}"/>
    <cellStyle name="Normal 2 7 3 2 5" xfId="5393" xr:uid="{00000000-0005-0000-0000-000080160000}"/>
    <cellStyle name="Normal 2 7 3 2 6" xfId="6612" xr:uid="{00000000-0005-0000-0000-000081160000}"/>
    <cellStyle name="Normal 2 7 3 3" xfId="5332" xr:uid="{00000000-0005-0000-0000-000082160000}"/>
    <cellStyle name="Normal 2 7 3 4" xfId="6548" xr:uid="{00000000-0005-0000-0000-000083160000}"/>
    <cellStyle name="Normal 2 7 4" xfId="1510" xr:uid="{00000000-0005-0000-0000-000084160000}"/>
    <cellStyle name="Normal 2 7 4 2" xfId="5538" xr:uid="{00000000-0005-0000-0000-000085160000}"/>
    <cellStyle name="Normal 2 7 4 3" xfId="6762" xr:uid="{00000000-0005-0000-0000-000086160000}"/>
    <cellStyle name="Normal 2 7 5" xfId="1717" xr:uid="{00000000-0005-0000-0000-000087160000}"/>
    <cellStyle name="Normal 2 7 5 2" xfId="5739" xr:uid="{00000000-0005-0000-0000-000088160000}"/>
    <cellStyle name="Normal 2 7 5 3" xfId="6964" xr:uid="{00000000-0005-0000-0000-000089160000}"/>
    <cellStyle name="Normal 2 7 6" xfId="1937" xr:uid="{00000000-0005-0000-0000-00008A160000}"/>
    <cellStyle name="Normal 2 7 6 2" xfId="5957" xr:uid="{00000000-0005-0000-0000-00008B160000}"/>
    <cellStyle name="Normal 2 7 6 3" xfId="7184" xr:uid="{00000000-0005-0000-0000-00008C160000}"/>
    <cellStyle name="Normal 2 7 7" xfId="3872" xr:uid="{00000000-0005-0000-0000-00008D160000}"/>
    <cellStyle name="Normal 2 7 8" xfId="6492" xr:uid="{00000000-0005-0000-0000-00008E160000}"/>
    <cellStyle name="Normal 2 7 9" xfId="1240" xr:uid="{00000000-0005-0000-0000-00008F160000}"/>
    <cellStyle name="Normal 2 70" xfId="2362" xr:uid="{00000000-0005-0000-0000-000090160000}"/>
    <cellStyle name="Normal 2 70 2" xfId="4243" xr:uid="{00000000-0005-0000-0000-000091160000}"/>
    <cellStyle name="Normal 2 70 3" xfId="7593" xr:uid="{00000000-0005-0000-0000-000092160000}"/>
    <cellStyle name="Normal 2 71" xfId="2363" xr:uid="{00000000-0005-0000-0000-000093160000}"/>
    <cellStyle name="Normal 2 71 2" xfId="4244" xr:uid="{00000000-0005-0000-0000-000094160000}"/>
    <cellStyle name="Normal 2 71 3" xfId="7594" xr:uid="{00000000-0005-0000-0000-000095160000}"/>
    <cellStyle name="Normal 2 72" xfId="2364" xr:uid="{00000000-0005-0000-0000-000096160000}"/>
    <cellStyle name="Normal 2 72 2" xfId="4245" xr:uid="{00000000-0005-0000-0000-000097160000}"/>
    <cellStyle name="Normal 2 72 3" xfId="7595" xr:uid="{00000000-0005-0000-0000-000098160000}"/>
    <cellStyle name="Normal 2 73" xfId="2365" xr:uid="{00000000-0005-0000-0000-000099160000}"/>
    <cellStyle name="Normal 2 73 2" xfId="4246" xr:uid="{00000000-0005-0000-0000-00009A160000}"/>
    <cellStyle name="Normal 2 73 3" xfId="7596" xr:uid="{00000000-0005-0000-0000-00009B160000}"/>
    <cellStyle name="Normal 2 74" xfId="2366" xr:uid="{00000000-0005-0000-0000-00009C160000}"/>
    <cellStyle name="Normal 2 74 2" xfId="4247" xr:uid="{00000000-0005-0000-0000-00009D160000}"/>
    <cellStyle name="Normal 2 74 3" xfId="7597" xr:uid="{00000000-0005-0000-0000-00009E160000}"/>
    <cellStyle name="Normal 2 75" xfId="2367" xr:uid="{00000000-0005-0000-0000-00009F160000}"/>
    <cellStyle name="Normal 2 75 2" xfId="4248" xr:uid="{00000000-0005-0000-0000-0000A0160000}"/>
    <cellStyle name="Normal 2 75 3" xfId="7598" xr:uid="{00000000-0005-0000-0000-0000A1160000}"/>
    <cellStyle name="Normal 2 76" xfId="2368" xr:uid="{00000000-0005-0000-0000-0000A2160000}"/>
    <cellStyle name="Normal 2 76 2" xfId="4249" xr:uid="{00000000-0005-0000-0000-0000A3160000}"/>
    <cellStyle name="Normal 2 76 3" xfId="7599" xr:uid="{00000000-0005-0000-0000-0000A4160000}"/>
    <cellStyle name="Normal 2 77" xfId="2369" xr:uid="{00000000-0005-0000-0000-0000A5160000}"/>
    <cellStyle name="Normal 2 77 2" xfId="4250" xr:uid="{00000000-0005-0000-0000-0000A6160000}"/>
    <cellStyle name="Normal 2 77 3" xfId="7600" xr:uid="{00000000-0005-0000-0000-0000A7160000}"/>
    <cellStyle name="Normal 2 78" xfId="2370" xr:uid="{00000000-0005-0000-0000-0000A8160000}"/>
    <cellStyle name="Normal 2 78 2" xfId="4251" xr:uid="{00000000-0005-0000-0000-0000A9160000}"/>
    <cellStyle name="Normal 2 78 3" xfId="7601" xr:uid="{00000000-0005-0000-0000-0000AA160000}"/>
    <cellStyle name="Normal 2 79" xfId="2371" xr:uid="{00000000-0005-0000-0000-0000AB160000}"/>
    <cellStyle name="Normal 2 79 2" xfId="4252" xr:uid="{00000000-0005-0000-0000-0000AC160000}"/>
    <cellStyle name="Normal 2 79 3" xfId="7602" xr:uid="{00000000-0005-0000-0000-0000AD160000}"/>
    <cellStyle name="Normal 2 8" xfId="549" xr:uid="{00000000-0005-0000-0000-0000AE160000}"/>
    <cellStyle name="Normal 2 8 2" xfId="550" xr:uid="{00000000-0005-0000-0000-0000AF160000}"/>
    <cellStyle name="Normal 2 8 2 2" xfId="3648" xr:uid="{00000000-0005-0000-0000-0000B0160000}"/>
    <cellStyle name="Normal 2 8 2 3" xfId="5320" xr:uid="{00000000-0005-0000-0000-0000B1160000}"/>
    <cellStyle name="Normal 2 8 2 4" xfId="7603" xr:uid="{00000000-0005-0000-0000-0000B2160000}"/>
    <cellStyle name="Normal 2 8 2 5" xfId="2372" xr:uid="{00000000-0005-0000-0000-0000B3160000}"/>
    <cellStyle name="Normal 2 8 3" xfId="3873" xr:uid="{00000000-0005-0000-0000-0000B4160000}"/>
    <cellStyle name="Normal 2 8 4" xfId="6535" xr:uid="{00000000-0005-0000-0000-0000B5160000}"/>
    <cellStyle name="Normal 2 8 5" xfId="1283" xr:uid="{00000000-0005-0000-0000-0000B6160000}"/>
    <cellStyle name="Normal 2 80" xfId="2373" xr:uid="{00000000-0005-0000-0000-0000B7160000}"/>
    <cellStyle name="Normal 2 80 2" xfId="4253" xr:uid="{00000000-0005-0000-0000-0000B8160000}"/>
    <cellStyle name="Normal 2 80 3" xfId="7604" xr:uid="{00000000-0005-0000-0000-0000B9160000}"/>
    <cellStyle name="Normal 2 81" xfId="2374" xr:uid="{00000000-0005-0000-0000-0000BA160000}"/>
    <cellStyle name="Normal 2 81 2" xfId="4254" xr:uid="{00000000-0005-0000-0000-0000BB160000}"/>
    <cellStyle name="Normal 2 81 3" xfId="7605" xr:uid="{00000000-0005-0000-0000-0000BC160000}"/>
    <cellStyle name="Normal 2 82" xfId="2375" xr:uid="{00000000-0005-0000-0000-0000BD160000}"/>
    <cellStyle name="Normal 2 82 2" xfId="4255" xr:uid="{00000000-0005-0000-0000-0000BE160000}"/>
    <cellStyle name="Normal 2 82 3" xfId="7606" xr:uid="{00000000-0005-0000-0000-0000BF160000}"/>
    <cellStyle name="Normal 2 83" xfId="2376" xr:uid="{00000000-0005-0000-0000-0000C0160000}"/>
    <cellStyle name="Normal 2 83 2" xfId="4256" xr:uid="{00000000-0005-0000-0000-0000C1160000}"/>
    <cellStyle name="Normal 2 83 3" xfId="7607" xr:uid="{00000000-0005-0000-0000-0000C2160000}"/>
    <cellStyle name="Normal 2 84" xfId="2377" xr:uid="{00000000-0005-0000-0000-0000C3160000}"/>
    <cellStyle name="Normal 2 84 2" xfId="4257" xr:uid="{00000000-0005-0000-0000-0000C4160000}"/>
    <cellStyle name="Normal 2 84 3" xfId="7608" xr:uid="{00000000-0005-0000-0000-0000C5160000}"/>
    <cellStyle name="Normal 2 85" xfId="2378" xr:uid="{00000000-0005-0000-0000-0000C6160000}"/>
    <cellStyle name="Normal 2 85 2" xfId="4258" xr:uid="{00000000-0005-0000-0000-0000C7160000}"/>
    <cellStyle name="Normal 2 85 3" xfId="7609" xr:uid="{00000000-0005-0000-0000-0000C8160000}"/>
    <cellStyle name="Normal 2 86" xfId="2379" xr:uid="{00000000-0005-0000-0000-0000C9160000}"/>
    <cellStyle name="Normal 2 86 2" xfId="4259" xr:uid="{00000000-0005-0000-0000-0000CA160000}"/>
    <cellStyle name="Normal 2 86 3" xfId="7610" xr:uid="{00000000-0005-0000-0000-0000CB160000}"/>
    <cellStyle name="Normal 2 87" xfId="2380" xr:uid="{00000000-0005-0000-0000-0000CC160000}"/>
    <cellStyle name="Normal 2 87 2" xfId="4260" xr:uid="{00000000-0005-0000-0000-0000CD160000}"/>
    <cellStyle name="Normal 2 87 3" xfId="7611" xr:uid="{00000000-0005-0000-0000-0000CE160000}"/>
    <cellStyle name="Normal 2 88" xfId="2381" xr:uid="{00000000-0005-0000-0000-0000CF160000}"/>
    <cellStyle name="Normal 2 88 2" xfId="4261" xr:uid="{00000000-0005-0000-0000-0000D0160000}"/>
    <cellStyle name="Normal 2 88 3" xfId="7612" xr:uid="{00000000-0005-0000-0000-0000D1160000}"/>
    <cellStyle name="Normal 2 89" xfId="2382" xr:uid="{00000000-0005-0000-0000-0000D2160000}"/>
    <cellStyle name="Normal 2 89 2" xfId="4262" xr:uid="{00000000-0005-0000-0000-0000D3160000}"/>
    <cellStyle name="Normal 2 89 3" xfId="7613" xr:uid="{00000000-0005-0000-0000-0000D4160000}"/>
    <cellStyle name="Normal 2 9" xfId="551" xr:uid="{00000000-0005-0000-0000-0000D5160000}"/>
    <cellStyle name="Normal 2 9 2" xfId="552" xr:uid="{00000000-0005-0000-0000-0000D6160000}"/>
    <cellStyle name="Normal 2 9 2 10" xfId="2383" xr:uid="{00000000-0005-0000-0000-0000D7160000}"/>
    <cellStyle name="Normal 2 9 2 2" xfId="2693" xr:uid="{00000000-0005-0000-0000-0000D8160000}"/>
    <cellStyle name="Normal 2 9 2 2 2" xfId="2959" xr:uid="{00000000-0005-0000-0000-0000D9160000}"/>
    <cellStyle name="Normal 2 9 2 2 2 2" xfId="4619" xr:uid="{00000000-0005-0000-0000-0000DA160000}"/>
    <cellStyle name="Normal 2 9 2 2 2 3" xfId="8015" xr:uid="{00000000-0005-0000-0000-0000DB160000}"/>
    <cellStyle name="Normal 2 9 2 2 3" xfId="3057" xr:uid="{00000000-0005-0000-0000-0000DC160000}"/>
    <cellStyle name="Normal 2 9 2 2 3 2" xfId="4702" xr:uid="{00000000-0005-0000-0000-0000DD160000}"/>
    <cellStyle name="Normal 2 9 2 2 3 3" xfId="8113" xr:uid="{00000000-0005-0000-0000-0000DE160000}"/>
    <cellStyle name="Normal 2 9 2 2 4" xfId="3736" xr:uid="{00000000-0005-0000-0000-0000DF160000}"/>
    <cellStyle name="Normal 2 9 2 2 4 2" xfId="6137" xr:uid="{00000000-0005-0000-0000-0000E0160000}"/>
    <cellStyle name="Normal 2 9 2 2 4 3" xfId="8650" xr:uid="{00000000-0005-0000-0000-0000E1160000}"/>
    <cellStyle name="Normal 2 9 2 2 5" xfId="2862" xr:uid="{00000000-0005-0000-0000-0000E2160000}"/>
    <cellStyle name="Normal 2 9 2 2 6" xfId="4264" xr:uid="{00000000-0005-0000-0000-0000E3160000}"/>
    <cellStyle name="Normal 2 9 2 2 7" xfId="7887" xr:uid="{00000000-0005-0000-0000-0000E4160000}"/>
    <cellStyle name="Normal 2 9 2 3" xfId="2692" xr:uid="{00000000-0005-0000-0000-0000E5160000}"/>
    <cellStyle name="Normal 2 9 2 3 2" xfId="4620" xr:uid="{00000000-0005-0000-0000-0000E6160000}"/>
    <cellStyle name="Normal 2 9 2 3 3" xfId="7886" xr:uid="{00000000-0005-0000-0000-0000E7160000}"/>
    <cellStyle name="Normal 2 9 2 4" xfId="3058" xr:uid="{00000000-0005-0000-0000-0000E8160000}"/>
    <cellStyle name="Normal 2 9 2 4 2" xfId="4703" xr:uid="{00000000-0005-0000-0000-0000E9160000}"/>
    <cellStyle name="Normal 2 9 2 4 3" xfId="8114" xr:uid="{00000000-0005-0000-0000-0000EA160000}"/>
    <cellStyle name="Normal 2 9 2 5" xfId="3652" xr:uid="{00000000-0005-0000-0000-0000EB160000}"/>
    <cellStyle name="Normal 2 9 2 5 2" xfId="5325" xr:uid="{00000000-0005-0000-0000-0000EC160000}"/>
    <cellStyle name="Normal 2 9 2 5 3" xfId="8602" xr:uid="{00000000-0005-0000-0000-0000ED160000}"/>
    <cellStyle name="Normal 2 9 2 6" xfId="3834" xr:uid="{00000000-0005-0000-0000-0000EE160000}"/>
    <cellStyle name="Normal 2 9 2 6 2" xfId="6215" xr:uid="{00000000-0005-0000-0000-0000EF160000}"/>
    <cellStyle name="Normal 2 9 2 6 3" xfId="8745" xr:uid="{00000000-0005-0000-0000-0000F0160000}"/>
    <cellStyle name="Normal 2 9 2 7" xfId="2863" xr:uid="{00000000-0005-0000-0000-0000F1160000}"/>
    <cellStyle name="Normal 2 9 2 8" xfId="4263" xr:uid="{00000000-0005-0000-0000-0000F2160000}"/>
    <cellStyle name="Normal 2 9 2 9" xfId="7614" xr:uid="{00000000-0005-0000-0000-0000F3160000}"/>
    <cellStyle name="Normal 2 9 3" xfId="2694" xr:uid="{00000000-0005-0000-0000-0000F4160000}"/>
    <cellStyle name="Normal 2 9 3 2" xfId="2958" xr:uid="{00000000-0005-0000-0000-0000F5160000}"/>
    <cellStyle name="Normal 2 9 3 2 2" xfId="4618" xr:uid="{00000000-0005-0000-0000-0000F6160000}"/>
    <cellStyle name="Normal 2 9 3 2 3" xfId="8014" xr:uid="{00000000-0005-0000-0000-0000F7160000}"/>
    <cellStyle name="Normal 2 9 3 3" xfId="3056" xr:uid="{00000000-0005-0000-0000-0000F8160000}"/>
    <cellStyle name="Normal 2 9 3 3 2" xfId="4701" xr:uid="{00000000-0005-0000-0000-0000F9160000}"/>
    <cellStyle name="Normal 2 9 3 3 3" xfId="8112" xr:uid="{00000000-0005-0000-0000-0000FA160000}"/>
    <cellStyle name="Normal 2 9 3 4" xfId="3791" xr:uid="{00000000-0005-0000-0000-0000FB160000}"/>
    <cellStyle name="Normal 2 9 3 4 2" xfId="6181" xr:uid="{00000000-0005-0000-0000-0000FC160000}"/>
    <cellStyle name="Normal 2 9 3 4 3" xfId="8702" xr:uid="{00000000-0005-0000-0000-0000FD160000}"/>
    <cellStyle name="Normal 2 9 3 5" xfId="2861" xr:uid="{00000000-0005-0000-0000-0000FE160000}"/>
    <cellStyle name="Normal 2 9 3 6" xfId="4265" xr:uid="{00000000-0005-0000-0000-0000FF160000}"/>
    <cellStyle name="Normal 2 9 3 7" xfId="7888" xr:uid="{00000000-0005-0000-0000-000000170000}"/>
    <cellStyle name="Normal 2 9 4" xfId="2695" xr:uid="{00000000-0005-0000-0000-000001170000}"/>
    <cellStyle name="Normal 2 9 4 2" xfId="2960" xr:uid="{00000000-0005-0000-0000-000002170000}"/>
    <cellStyle name="Normal 2 9 4 2 2" xfId="4621" xr:uid="{00000000-0005-0000-0000-000003170000}"/>
    <cellStyle name="Normal 2 9 4 2 3" xfId="8016" xr:uid="{00000000-0005-0000-0000-000004170000}"/>
    <cellStyle name="Normal 2 9 4 3" xfId="3059" xr:uid="{00000000-0005-0000-0000-000005170000}"/>
    <cellStyle name="Normal 2 9 4 3 2" xfId="4704" xr:uid="{00000000-0005-0000-0000-000006170000}"/>
    <cellStyle name="Normal 2 9 4 3 3" xfId="8115" xr:uid="{00000000-0005-0000-0000-000007170000}"/>
    <cellStyle name="Normal 2 9 4 4" xfId="3726" xr:uid="{00000000-0005-0000-0000-000008170000}"/>
    <cellStyle name="Normal 2 9 4 4 2" xfId="6130" xr:uid="{00000000-0005-0000-0000-000009170000}"/>
    <cellStyle name="Normal 2 9 4 4 3" xfId="8640" xr:uid="{00000000-0005-0000-0000-00000A170000}"/>
    <cellStyle name="Normal 2 9 4 5" xfId="2864" xr:uid="{00000000-0005-0000-0000-00000B170000}"/>
    <cellStyle name="Normal 2 9 4 6" xfId="4266" xr:uid="{00000000-0005-0000-0000-00000C170000}"/>
    <cellStyle name="Normal 2 9 4 7" xfId="7889" xr:uid="{00000000-0005-0000-0000-00000D170000}"/>
    <cellStyle name="Normal 2 9 5" xfId="3758" xr:uid="{00000000-0005-0000-0000-00000E170000}"/>
    <cellStyle name="Normal 2 9 5 2" xfId="6154" xr:uid="{00000000-0005-0000-0000-00000F170000}"/>
    <cellStyle name="Normal 2 9 5 3" xfId="8671" xr:uid="{00000000-0005-0000-0000-000010170000}"/>
    <cellStyle name="Normal 2 9 6" xfId="3874" xr:uid="{00000000-0005-0000-0000-000011170000}"/>
    <cellStyle name="Normal 2 9 7" xfId="6541" xr:uid="{00000000-0005-0000-0000-000012170000}"/>
    <cellStyle name="Normal 2 9 8" xfId="1289" xr:uid="{00000000-0005-0000-0000-000013170000}"/>
    <cellStyle name="Normal 2 90" xfId="2384" xr:uid="{00000000-0005-0000-0000-000014170000}"/>
    <cellStyle name="Normal 2 90 2" xfId="4267" xr:uid="{00000000-0005-0000-0000-000015170000}"/>
    <cellStyle name="Normal 2 90 3" xfId="7615" xr:uid="{00000000-0005-0000-0000-000016170000}"/>
    <cellStyle name="Normal 2 91" xfId="2385" xr:uid="{00000000-0005-0000-0000-000017170000}"/>
    <cellStyle name="Normal 2 91 2" xfId="4268" xr:uid="{00000000-0005-0000-0000-000018170000}"/>
    <cellStyle name="Normal 2 91 3" xfId="7616" xr:uid="{00000000-0005-0000-0000-000019170000}"/>
    <cellStyle name="Normal 2 92" xfId="2386" xr:uid="{00000000-0005-0000-0000-00001A170000}"/>
    <cellStyle name="Normal 2 92 2" xfId="4269" xr:uid="{00000000-0005-0000-0000-00001B170000}"/>
    <cellStyle name="Normal 2 92 3" xfId="7617" xr:uid="{00000000-0005-0000-0000-00001C170000}"/>
    <cellStyle name="Normal 2 93" xfId="2387" xr:uid="{00000000-0005-0000-0000-00001D170000}"/>
    <cellStyle name="Normal 2 93 2" xfId="4270" xr:uid="{00000000-0005-0000-0000-00001E170000}"/>
    <cellStyle name="Normal 2 93 3" xfId="7618" xr:uid="{00000000-0005-0000-0000-00001F170000}"/>
    <cellStyle name="Normal 2 94" xfId="2388" xr:uid="{00000000-0005-0000-0000-000020170000}"/>
    <cellStyle name="Normal 2 94 2" xfId="4271" xr:uid="{00000000-0005-0000-0000-000021170000}"/>
    <cellStyle name="Normal 2 94 3" xfId="7619" xr:uid="{00000000-0005-0000-0000-000022170000}"/>
    <cellStyle name="Normal 2 95" xfId="2389" xr:uid="{00000000-0005-0000-0000-000023170000}"/>
    <cellStyle name="Normal 2 95 2" xfId="4272" xr:uid="{00000000-0005-0000-0000-000024170000}"/>
    <cellStyle name="Normal 2 95 3" xfId="7620" xr:uid="{00000000-0005-0000-0000-000025170000}"/>
    <cellStyle name="Normal 2 96" xfId="2390" xr:uid="{00000000-0005-0000-0000-000026170000}"/>
    <cellStyle name="Normal 2 96 2" xfId="4273" xr:uid="{00000000-0005-0000-0000-000027170000}"/>
    <cellStyle name="Normal 2 96 3" xfId="7621" xr:uid="{00000000-0005-0000-0000-000028170000}"/>
    <cellStyle name="Normal 2 97" xfId="2391" xr:uid="{00000000-0005-0000-0000-000029170000}"/>
    <cellStyle name="Normal 2 97 2" xfId="4274" xr:uid="{00000000-0005-0000-0000-00002A170000}"/>
    <cellStyle name="Normal 2 97 3" xfId="7622" xr:uid="{00000000-0005-0000-0000-00002B170000}"/>
    <cellStyle name="Normal 2 98" xfId="2392" xr:uid="{00000000-0005-0000-0000-00002C170000}"/>
    <cellStyle name="Normal 2 98 2" xfId="2664" xr:uid="{00000000-0005-0000-0000-00002D170000}"/>
    <cellStyle name="Normal 2 98 3" xfId="4275" xr:uid="{00000000-0005-0000-0000-00002E170000}"/>
    <cellStyle name="Normal 2 98 4" xfId="7623" xr:uid="{00000000-0005-0000-0000-00002F170000}"/>
    <cellStyle name="Normal 2 99" xfId="2393" xr:uid="{00000000-0005-0000-0000-000030170000}"/>
    <cellStyle name="Normal 2 99 2" xfId="4276" xr:uid="{00000000-0005-0000-0000-000031170000}"/>
    <cellStyle name="Normal 2 99 3" xfId="7624" xr:uid="{00000000-0005-0000-0000-000032170000}"/>
    <cellStyle name="Normal 2_global_PO" xfId="3373" xr:uid="{00000000-0005-0000-0000-000033170000}"/>
    <cellStyle name="Normal 20" xfId="553" xr:uid="{00000000-0005-0000-0000-000034170000}"/>
    <cellStyle name="Normal 20 10" xfId="6533" xr:uid="{00000000-0005-0000-0000-000035170000}"/>
    <cellStyle name="Normal 20 11" xfId="1281" xr:uid="{00000000-0005-0000-0000-000036170000}"/>
    <cellStyle name="Normal 20 2" xfId="554" xr:uid="{00000000-0005-0000-0000-000037170000}"/>
    <cellStyle name="Normal 20 2 2" xfId="1625" xr:uid="{00000000-0005-0000-0000-000038170000}"/>
    <cellStyle name="Normal 20 2 2 2" xfId="5651" xr:uid="{00000000-0005-0000-0000-000039170000}"/>
    <cellStyle name="Normal 20 2 2 3" xfId="6876" xr:uid="{00000000-0005-0000-0000-00003A170000}"/>
    <cellStyle name="Normal 20 2 3" xfId="1826" xr:uid="{00000000-0005-0000-0000-00003B170000}"/>
    <cellStyle name="Normal 20 2 3 2" xfId="5847" xr:uid="{00000000-0005-0000-0000-00003C170000}"/>
    <cellStyle name="Normal 20 2 3 3" xfId="7073" xr:uid="{00000000-0005-0000-0000-00003D170000}"/>
    <cellStyle name="Normal 20 2 4" xfId="1919" xr:uid="{00000000-0005-0000-0000-00003E170000}"/>
    <cellStyle name="Normal 20 2 4 2" xfId="5939" xr:uid="{00000000-0005-0000-0000-00003F170000}"/>
    <cellStyle name="Normal 20 2 4 3" xfId="7166" xr:uid="{00000000-0005-0000-0000-000040170000}"/>
    <cellStyle name="Normal 20 2 5" xfId="4277" xr:uid="{00000000-0005-0000-0000-000041170000}"/>
    <cellStyle name="Normal 20 2 6" xfId="6609" xr:uid="{00000000-0005-0000-0000-000042170000}"/>
    <cellStyle name="Normal 20 2 7" xfId="1357" xr:uid="{00000000-0005-0000-0000-000043170000}"/>
    <cellStyle name="Normal 20 3" xfId="1366" xr:uid="{00000000-0005-0000-0000-000044170000}"/>
    <cellStyle name="Normal 20 3 2" xfId="1634" xr:uid="{00000000-0005-0000-0000-000045170000}"/>
    <cellStyle name="Normal 20 3 2 2" xfId="5660" xr:uid="{00000000-0005-0000-0000-000046170000}"/>
    <cellStyle name="Normal 20 3 2 3" xfId="6885" xr:uid="{00000000-0005-0000-0000-000047170000}"/>
    <cellStyle name="Normal 20 3 3" xfId="1833" xr:uid="{00000000-0005-0000-0000-000048170000}"/>
    <cellStyle name="Normal 20 3 3 2" xfId="5854" xr:uid="{00000000-0005-0000-0000-000049170000}"/>
    <cellStyle name="Normal 20 3 3 3" xfId="7080" xr:uid="{00000000-0005-0000-0000-00004A170000}"/>
    <cellStyle name="Normal 20 3 4" xfId="1426" xr:uid="{00000000-0005-0000-0000-00004B170000}"/>
    <cellStyle name="Normal 20 3 4 2" xfId="5456" xr:uid="{00000000-0005-0000-0000-00004C170000}"/>
    <cellStyle name="Normal 20 3 4 3" xfId="6678" xr:uid="{00000000-0005-0000-0000-00004D170000}"/>
    <cellStyle name="Normal 20 3 5" xfId="5399" xr:uid="{00000000-0005-0000-0000-00004E170000}"/>
    <cellStyle name="Normal 20 3 6" xfId="6618" xr:uid="{00000000-0005-0000-0000-00004F170000}"/>
    <cellStyle name="Normal 20 4" xfId="1553" xr:uid="{00000000-0005-0000-0000-000050170000}"/>
    <cellStyle name="Normal 20 4 2" xfId="5580" xr:uid="{00000000-0005-0000-0000-000051170000}"/>
    <cellStyle name="Normal 20 4 3" xfId="6805" xr:uid="{00000000-0005-0000-0000-000052170000}"/>
    <cellStyle name="Normal 20 5" xfId="1758" xr:uid="{00000000-0005-0000-0000-000053170000}"/>
    <cellStyle name="Normal 20 5 2" xfId="5780" xr:uid="{00000000-0005-0000-0000-000054170000}"/>
    <cellStyle name="Normal 20 5 3" xfId="7005" xr:uid="{00000000-0005-0000-0000-000055170000}"/>
    <cellStyle name="Normal 20 6" xfId="1906" xr:uid="{00000000-0005-0000-0000-000056170000}"/>
    <cellStyle name="Normal 20 6 2" xfId="5926" xr:uid="{00000000-0005-0000-0000-000057170000}"/>
    <cellStyle name="Normal 20 6 3" xfId="7153" xr:uid="{00000000-0005-0000-0000-000058170000}"/>
    <cellStyle name="Normal 20 7" xfId="3646" xr:uid="{00000000-0005-0000-0000-000059170000}"/>
    <cellStyle name="Normal 20 7 2" xfId="5318" xr:uid="{00000000-0005-0000-0000-00005A170000}"/>
    <cellStyle name="Normal 20 7 3" xfId="8601" xr:uid="{00000000-0005-0000-0000-00005B170000}"/>
    <cellStyle name="Normal 20 8" xfId="3374" xr:uid="{00000000-0005-0000-0000-00005C170000}"/>
    <cellStyle name="Normal 20 9" xfId="5005" xr:uid="{00000000-0005-0000-0000-00005D170000}"/>
    <cellStyle name="Normal 21" xfId="555" xr:uid="{00000000-0005-0000-0000-00005E170000}"/>
    <cellStyle name="Normal 21 2" xfId="1600" xr:uid="{00000000-0005-0000-0000-00005F170000}"/>
    <cellStyle name="Normal 21 2 2" xfId="5626" xr:uid="{00000000-0005-0000-0000-000060170000}"/>
    <cellStyle name="Normal 21 2 3" xfId="6851" xr:uid="{00000000-0005-0000-0000-000061170000}"/>
    <cellStyle name="Normal 21 3" xfId="1802" xr:uid="{00000000-0005-0000-0000-000062170000}"/>
    <cellStyle name="Normal 21 3 2" xfId="5823" xr:uid="{00000000-0005-0000-0000-000063170000}"/>
    <cellStyle name="Normal 21 3 3" xfId="7049" xr:uid="{00000000-0005-0000-0000-000064170000}"/>
    <cellStyle name="Normal 21 4" xfId="1999" xr:uid="{00000000-0005-0000-0000-000065170000}"/>
    <cellStyle name="Normal 21 4 2" xfId="6018" xr:uid="{00000000-0005-0000-0000-000066170000}"/>
    <cellStyle name="Normal 21 4 3" xfId="7246" xr:uid="{00000000-0005-0000-0000-000067170000}"/>
    <cellStyle name="Normal 21 5" xfId="5006" xr:uid="{00000000-0005-0000-0000-000068170000}"/>
    <cellStyle name="Normal 21 6" xfId="6584" xr:uid="{00000000-0005-0000-0000-000069170000}"/>
    <cellStyle name="Normal 21 7" xfId="1332" xr:uid="{00000000-0005-0000-0000-00006A170000}"/>
    <cellStyle name="Normal 22" xfId="556" xr:uid="{00000000-0005-0000-0000-00006B170000}"/>
    <cellStyle name="Normal 22 2" xfId="1601" xr:uid="{00000000-0005-0000-0000-00006C170000}"/>
    <cellStyle name="Normal 22 2 2" xfId="5627" xr:uid="{00000000-0005-0000-0000-00006D170000}"/>
    <cellStyle name="Normal 22 2 3" xfId="6852" xr:uid="{00000000-0005-0000-0000-00006E170000}"/>
    <cellStyle name="Normal 22 3" xfId="1803" xr:uid="{00000000-0005-0000-0000-00006F170000}"/>
    <cellStyle name="Normal 22 3 2" xfId="5824" xr:uid="{00000000-0005-0000-0000-000070170000}"/>
    <cellStyle name="Normal 22 3 3" xfId="7050" xr:uid="{00000000-0005-0000-0000-000071170000}"/>
    <cellStyle name="Normal 22 4" xfId="1917" xr:uid="{00000000-0005-0000-0000-000072170000}"/>
    <cellStyle name="Normal 22 4 2" xfId="5937" xr:uid="{00000000-0005-0000-0000-000073170000}"/>
    <cellStyle name="Normal 22 4 3" xfId="7164" xr:uid="{00000000-0005-0000-0000-000074170000}"/>
    <cellStyle name="Normal 22 5" xfId="5007" xr:uid="{00000000-0005-0000-0000-000075170000}"/>
    <cellStyle name="Normal 22 6" xfId="6585" xr:uid="{00000000-0005-0000-0000-000076170000}"/>
    <cellStyle name="Normal 22 7" xfId="1333" xr:uid="{00000000-0005-0000-0000-000077170000}"/>
    <cellStyle name="Normal 23" xfId="557" xr:uid="{00000000-0005-0000-0000-000078170000}"/>
    <cellStyle name="Normal 23 2" xfId="1644" xr:uid="{00000000-0005-0000-0000-000079170000}"/>
    <cellStyle name="Normal 23 2 2" xfId="5668" xr:uid="{00000000-0005-0000-0000-00007A170000}"/>
    <cellStyle name="Normal 23 2 3" xfId="6893" xr:uid="{00000000-0005-0000-0000-00007B170000}"/>
    <cellStyle name="Normal 23 3" xfId="1840" xr:uid="{00000000-0005-0000-0000-00007C170000}"/>
    <cellStyle name="Normal 23 3 2" xfId="5861" xr:uid="{00000000-0005-0000-0000-00007D170000}"/>
    <cellStyle name="Normal 23 3 3" xfId="7087" xr:uid="{00000000-0005-0000-0000-00007E170000}"/>
    <cellStyle name="Normal 23 4" xfId="2025" xr:uid="{00000000-0005-0000-0000-00007F170000}"/>
    <cellStyle name="Normal 23 4 2" xfId="6044" xr:uid="{00000000-0005-0000-0000-000080170000}"/>
    <cellStyle name="Normal 23 4 3" xfId="7272" xr:uid="{00000000-0005-0000-0000-000081170000}"/>
    <cellStyle name="Normal 23 5" xfId="3667" xr:uid="{00000000-0005-0000-0000-000082170000}"/>
    <cellStyle name="Normal 23 5 2" xfId="5405" xr:uid="{00000000-0005-0000-0000-000083170000}"/>
    <cellStyle name="Normal 23 5 3" xfId="8607" xr:uid="{00000000-0005-0000-0000-000084170000}"/>
    <cellStyle name="Normal 23 6" xfId="3375" xr:uid="{00000000-0005-0000-0000-000085170000}"/>
    <cellStyle name="Normal 23 7" xfId="5008" xr:uid="{00000000-0005-0000-0000-000086170000}"/>
    <cellStyle name="Normal 23 8" xfId="6626" xr:uid="{00000000-0005-0000-0000-000087170000}"/>
    <cellStyle name="Normal 23 9" xfId="1374" xr:uid="{00000000-0005-0000-0000-000088170000}"/>
    <cellStyle name="Normal 24" xfId="558" xr:uid="{00000000-0005-0000-0000-000089170000}"/>
    <cellStyle name="Normal 24 2" xfId="1658" xr:uid="{00000000-0005-0000-0000-00008A170000}"/>
    <cellStyle name="Normal 24 2 2" xfId="5682" xr:uid="{00000000-0005-0000-0000-00008B170000}"/>
    <cellStyle name="Normal 24 2 3" xfId="6907" xr:uid="{00000000-0005-0000-0000-00008C170000}"/>
    <cellStyle name="Normal 24 3" xfId="1854" xr:uid="{00000000-0005-0000-0000-00008D170000}"/>
    <cellStyle name="Normal 24 3 2" xfId="5875" xr:uid="{00000000-0005-0000-0000-00008E170000}"/>
    <cellStyle name="Normal 24 3 3" xfId="7101" xr:uid="{00000000-0005-0000-0000-00008F170000}"/>
    <cellStyle name="Normal 24 4" xfId="2039" xr:uid="{00000000-0005-0000-0000-000090170000}"/>
    <cellStyle name="Normal 24 4 2" xfId="6058" xr:uid="{00000000-0005-0000-0000-000091170000}"/>
    <cellStyle name="Normal 24 4 3" xfId="7286" xr:uid="{00000000-0005-0000-0000-000092170000}"/>
    <cellStyle name="Normal 24 5" xfId="3669" xr:uid="{00000000-0005-0000-0000-000093170000}"/>
    <cellStyle name="Normal 24 5 2" xfId="5419" xr:uid="{00000000-0005-0000-0000-000094170000}"/>
    <cellStyle name="Normal 24 5 3" xfId="8608" xr:uid="{00000000-0005-0000-0000-000095170000}"/>
    <cellStyle name="Normal 24 6" xfId="3376" xr:uid="{00000000-0005-0000-0000-000096170000}"/>
    <cellStyle name="Normal 24 7" xfId="5009" xr:uid="{00000000-0005-0000-0000-000097170000}"/>
    <cellStyle name="Normal 24 8" xfId="6640" xr:uid="{00000000-0005-0000-0000-000098170000}"/>
    <cellStyle name="Normal 24 9" xfId="1388" xr:uid="{00000000-0005-0000-0000-000099170000}"/>
    <cellStyle name="Normal 25" xfId="559" xr:uid="{00000000-0005-0000-0000-00009A170000}"/>
    <cellStyle name="Normal 25 2" xfId="1444" xr:uid="{00000000-0005-0000-0000-00009B170000}"/>
    <cellStyle name="Normal 25 2 2" xfId="1895" xr:uid="{00000000-0005-0000-0000-00009C170000}"/>
    <cellStyle name="Normal 25 2 2 2" xfId="5915" xr:uid="{00000000-0005-0000-0000-00009D170000}"/>
    <cellStyle name="Normal 25 2 2 3" xfId="7142" xr:uid="{00000000-0005-0000-0000-00009E170000}"/>
    <cellStyle name="Normal 25 2 3" xfId="2066" xr:uid="{00000000-0005-0000-0000-00009F170000}"/>
    <cellStyle name="Normal 25 2 3 2" xfId="6085" xr:uid="{00000000-0005-0000-0000-0000A0170000}"/>
    <cellStyle name="Normal 25 2 3 3" xfId="7313" xr:uid="{00000000-0005-0000-0000-0000A1170000}"/>
    <cellStyle name="Normal 25 2 4" xfId="5473" xr:uid="{00000000-0005-0000-0000-0000A2170000}"/>
    <cellStyle name="Normal 25 2 5" xfId="6696" xr:uid="{00000000-0005-0000-0000-0000A3170000}"/>
    <cellStyle name="Normal 25 3" xfId="1605" xr:uid="{00000000-0005-0000-0000-0000A4170000}"/>
    <cellStyle name="Normal 25 3 2" xfId="5631" xr:uid="{00000000-0005-0000-0000-0000A5170000}"/>
    <cellStyle name="Normal 25 3 3" xfId="6856" xr:uid="{00000000-0005-0000-0000-0000A6170000}"/>
    <cellStyle name="Normal 25 4" xfId="2081" xr:uid="{00000000-0005-0000-0000-0000A7170000}"/>
    <cellStyle name="Normal 25 4 2" xfId="6100" xr:uid="{00000000-0005-0000-0000-0000A8170000}"/>
    <cellStyle name="Normal 25 4 3" xfId="7328" xr:uid="{00000000-0005-0000-0000-0000A9170000}"/>
    <cellStyle name="Normal 25 5" xfId="3710" xr:uid="{00000000-0005-0000-0000-0000AA170000}"/>
    <cellStyle name="Normal 25 5 2" xfId="6113" xr:uid="{00000000-0005-0000-0000-0000AB170000}"/>
    <cellStyle name="Normal 25 5 3" xfId="8624" xr:uid="{00000000-0005-0000-0000-0000AC170000}"/>
    <cellStyle name="Normal 25 6" xfId="5010" xr:uid="{00000000-0005-0000-0000-0000AD170000}"/>
    <cellStyle name="Normal 25 7" xfId="7341" xr:uid="{00000000-0005-0000-0000-0000AE170000}"/>
    <cellStyle name="Normal 25 8" xfId="2096" xr:uid="{00000000-0005-0000-0000-0000AF170000}"/>
    <cellStyle name="Normal 26" xfId="560" xr:uid="{00000000-0005-0000-0000-0000B0170000}"/>
    <cellStyle name="Normal 26 2" xfId="1877" xr:uid="{00000000-0005-0000-0000-0000B1170000}"/>
    <cellStyle name="Normal 26 2 2" xfId="5897" xr:uid="{00000000-0005-0000-0000-0000B2170000}"/>
    <cellStyle name="Normal 26 2 3" xfId="7124" xr:uid="{00000000-0005-0000-0000-0000B3170000}"/>
    <cellStyle name="Normal 26 3" xfId="3711" xr:uid="{00000000-0005-0000-0000-0000B4170000}"/>
    <cellStyle name="Normal 26 3 2" xfId="6114" xr:uid="{00000000-0005-0000-0000-0000B5170000}"/>
    <cellStyle name="Normal 26 3 3" xfId="8625" xr:uid="{00000000-0005-0000-0000-0000B6170000}"/>
    <cellStyle name="Normal 26 4" xfId="5011" xr:uid="{00000000-0005-0000-0000-0000B7170000}"/>
    <cellStyle name="Normal 26 5" xfId="7342" xr:uid="{00000000-0005-0000-0000-0000B8170000}"/>
    <cellStyle name="Normal 26 6" xfId="2097" xr:uid="{00000000-0005-0000-0000-0000B9170000}"/>
    <cellStyle name="Normal 27" xfId="561" xr:uid="{00000000-0005-0000-0000-0000BA170000}"/>
    <cellStyle name="Normal 27 2" xfId="3712" xr:uid="{00000000-0005-0000-0000-0000BB170000}"/>
    <cellStyle name="Normal 27 2 2" xfId="6115" xr:uid="{00000000-0005-0000-0000-0000BC170000}"/>
    <cellStyle name="Normal 27 2 3" xfId="8626" xr:uid="{00000000-0005-0000-0000-0000BD170000}"/>
    <cellStyle name="Normal 27 3" xfId="3377" xr:uid="{00000000-0005-0000-0000-0000BE170000}"/>
    <cellStyle name="Normal 27 4" xfId="5012" xr:uid="{00000000-0005-0000-0000-0000BF170000}"/>
    <cellStyle name="Normal 27 5" xfId="7343" xr:uid="{00000000-0005-0000-0000-0000C0170000}"/>
    <cellStyle name="Normal 27 6" xfId="2098" xr:uid="{00000000-0005-0000-0000-0000C1170000}"/>
    <cellStyle name="Normal 28" xfId="562" xr:uid="{00000000-0005-0000-0000-0000C2170000}"/>
    <cellStyle name="Normal 28 2" xfId="5013" xr:uid="{00000000-0005-0000-0000-0000C3170000}"/>
    <cellStyle name="Normal 28 3" xfId="7344" xr:uid="{00000000-0005-0000-0000-0000C4170000}"/>
    <cellStyle name="Normal 28 4" xfId="2099" xr:uid="{00000000-0005-0000-0000-0000C5170000}"/>
    <cellStyle name="Normal 29" xfId="563" xr:uid="{00000000-0005-0000-0000-0000C6170000}"/>
    <cellStyle name="Normal 29 2" xfId="5014" xr:uid="{00000000-0005-0000-0000-0000C7170000}"/>
    <cellStyle name="Normal 29 3" xfId="7345" xr:uid="{00000000-0005-0000-0000-0000C8170000}"/>
    <cellStyle name="Normal 29 4" xfId="2100" xr:uid="{00000000-0005-0000-0000-0000C9170000}"/>
    <cellStyle name="Normal 3" xfId="564" xr:uid="{00000000-0005-0000-0000-0000CA170000}"/>
    <cellStyle name="Normal 3 10" xfId="565" xr:uid="{00000000-0005-0000-0000-0000CB170000}"/>
    <cellStyle name="Normal 3 10 2" xfId="2394" xr:uid="{00000000-0005-0000-0000-0000CC170000}"/>
    <cellStyle name="Normal 3 10 3" xfId="4278" xr:uid="{00000000-0005-0000-0000-0000CD170000}"/>
    <cellStyle name="Normal 3 10 4" xfId="7625" xr:uid="{00000000-0005-0000-0000-0000CE170000}"/>
    <cellStyle name="Normal 3 10 5" xfId="2395" xr:uid="{00000000-0005-0000-0000-0000CF170000}"/>
    <cellStyle name="Normal 3 11" xfId="566" xr:uid="{00000000-0005-0000-0000-0000D0170000}"/>
    <cellStyle name="Normal 3 11 2" xfId="2397" xr:uid="{00000000-0005-0000-0000-0000D1170000}"/>
    <cellStyle name="Normal 3 11 2 2" xfId="4280" xr:uid="{00000000-0005-0000-0000-0000D2170000}"/>
    <cellStyle name="Normal 3 11 2 3" xfId="7627" xr:uid="{00000000-0005-0000-0000-0000D3170000}"/>
    <cellStyle name="Normal 3 11 3" xfId="2398" xr:uid="{00000000-0005-0000-0000-0000D4170000}"/>
    <cellStyle name="Normal 3 11 3 2" xfId="4281" xr:uid="{00000000-0005-0000-0000-0000D5170000}"/>
    <cellStyle name="Normal 3 11 3 3" xfId="7628" xr:uid="{00000000-0005-0000-0000-0000D6170000}"/>
    <cellStyle name="Normal 3 11 4" xfId="2399" xr:uid="{00000000-0005-0000-0000-0000D7170000}"/>
    <cellStyle name="Normal 3 11 4 2" xfId="4282" xr:uid="{00000000-0005-0000-0000-0000D8170000}"/>
    <cellStyle name="Normal 3 11 4 3" xfId="7629" xr:uid="{00000000-0005-0000-0000-0000D9170000}"/>
    <cellStyle name="Normal 3 11 5" xfId="2663" xr:uid="{00000000-0005-0000-0000-0000DA170000}"/>
    <cellStyle name="Normal 3 11 6" xfId="4279" xr:uid="{00000000-0005-0000-0000-0000DB170000}"/>
    <cellStyle name="Normal 3 11 7" xfId="7626" xr:uid="{00000000-0005-0000-0000-0000DC170000}"/>
    <cellStyle name="Normal 3 11 8" xfId="2396" xr:uid="{00000000-0005-0000-0000-0000DD170000}"/>
    <cellStyle name="Normal 3 12" xfId="567" xr:uid="{00000000-0005-0000-0000-0000DE170000}"/>
    <cellStyle name="Normal 3 12 2" xfId="5016" xr:uid="{00000000-0005-0000-0000-0000DF170000}"/>
    <cellStyle name="Normal 3 12 3" xfId="8407" xr:uid="{00000000-0005-0000-0000-0000E0170000}"/>
    <cellStyle name="Normal 3 12 4" xfId="3379" xr:uid="{00000000-0005-0000-0000-0000E1170000}"/>
    <cellStyle name="Normal 3 13" xfId="568" xr:uid="{00000000-0005-0000-0000-0000E2170000}"/>
    <cellStyle name="Normal 3 13 2" xfId="5015" xr:uid="{00000000-0005-0000-0000-0000E3170000}"/>
    <cellStyle name="Normal 3 13 3" xfId="8406" xr:uid="{00000000-0005-0000-0000-0000E4170000}"/>
    <cellStyle name="Normal 3 13 4" xfId="3378" xr:uid="{00000000-0005-0000-0000-0000E5170000}"/>
    <cellStyle name="Normal 3 14" xfId="569" xr:uid="{00000000-0005-0000-0000-0000E6170000}"/>
    <cellStyle name="Normal 3 14 2" xfId="3858" xr:uid="{00000000-0005-0000-0000-0000E7170000}"/>
    <cellStyle name="Normal 3 15" xfId="570" xr:uid="{00000000-0005-0000-0000-0000E8170000}"/>
    <cellStyle name="Normal 3 15 2" xfId="6276" xr:uid="{00000000-0005-0000-0000-0000E9170000}"/>
    <cellStyle name="Normal 3 16" xfId="994" xr:uid="{00000000-0005-0000-0000-0000EA170000}"/>
    <cellStyle name="Normal 3 17" xfId="571" xr:uid="{00000000-0005-0000-0000-0000EB170000}"/>
    <cellStyle name="Normal 3 2" xfId="572" xr:uid="{00000000-0005-0000-0000-0000EC170000}"/>
    <cellStyle name="Normal 3 2 10" xfId="988" xr:uid="{00000000-0005-0000-0000-0000ED170000}"/>
    <cellStyle name="Normal 3 2 2" xfId="573" xr:uid="{00000000-0005-0000-0000-0000EE170000}"/>
    <cellStyle name="Normal 3 2 2 2" xfId="574" xr:uid="{00000000-0005-0000-0000-0000EF170000}"/>
    <cellStyle name="Normal 3 2 2 2 2" xfId="575" xr:uid="{00000000-0005-0000-0000-0000F0170000}"/>
    <cellStyle name="Normal 3 2 2 2 2 2" xfId="4616" xr:uid="{00000000-0005-0000-0000-0000F1170000}"/>
    <cellStyle name="Normal 3 2 2 2 2 3" xfId="7890" xr:uid="{00000000-0005-0000-0000-0000F2170000}"/>
    <cellStyle name="Normal 3 2 2 2 2 4" xfId="2696" xr:uid="{00000000-0005-0000-0000-0000F3170000}"/>
    <cellStyle name="Normal 3 2 2 2 3" xfId="3054" xr:uid="{00000000-0005-0000-0000-0000F4170000}"/>
    <cellStyle name="Normal 3 2 2 2 3 2" xfId="4699" xr:uid="{00000000-0005-0000-0000-0000F5170000}"/>
    <cellStyle name="Normal 3 2 2 2 3 3" xfId="8110" xr:uid="{00000000-0005-0000-0000-0000F6170000}"/>
    <cellStyle name="Normal 3 2 2 2 4" xfId="3747" xr:uid="{00000000-0005-0000-0000-0000F7170000}"/>
    <cellStyle name="Normal 3 2 2 2 4 2" xfId="6145" xr:uid="{00000000-0005-0000-0000-0000F8170000}"/>
    <cellStyle name="Normal 3 2 2 2 4 3" xfId="8661" xr:uid="{00000000-0005-0000-0000-0000F9170000}"/>
    <cellStyle name="Normal 3 2 2 2 5" xfId="2859" xr:uid="{00000000-0005-0000-0000-0000FA170000}"/>
    <cellStyle name="Normal 3 2 2 2 6" xfId="4283" xr:uid="{00000000-0005-0000-0000-0000FB170000}"/>
    <cellStyle name="Normal 3 2 2 2 7" xfId="7630" xr:uid="{00000000-0005-0000-0000-0000FC170000}"/>
    <cellStyle name="Normal 3 2 2 2 8" xfId="2400" xr:uid="{00000000-0005-0000-0000-0000FD170000}"/>
    <cellStyle name="Normal 3 2 2 3" xfId="576" xr:uid="{00000000-0005-0000-0000-0000FE170000}"/>
    <cellStyle name="Normal 3 2 2 3 2" xfId="577" xr:uid="{00000000-0005-0000-0000-0000FF170000}"/>
    <cellStyle name="Normal 3 2 2 3 2 2" xfId="4617" xr:uid="{00000000-0005-0000-0000-000000180000}"/>
    <cellStyle name="Normal 3 2 2 3 2 3" xfId="8013" xr:uid="{00000000-0005-0000-0000-000001180000}"/>
    <cellStyle name="Normal 3 2 2 3 2 4" xfId="2957" xr:uid="{00000000-0005-0000-0000-000002180000}"/>
    <cellStyle name="Normal 3 2 2 3 3" xfId="3055" xr:uid="{00000000-0005-0000-0000-000003180000}"/>
    <cellStyle name="Normal 3 2 2 3 3 2" xfId="4700" xr:uid="{00000000-0005-0000-0000-000004180000}"/>
    <cellStyle name="Normal 3 2 2 3 3 3" xfId="8111" xr:uid="{00000000-0005-0000-0000-000005180000}"/>
    <cellStyle name="Normal 3 2 2 3 4" xfId="3790" xr:uid="{00000000-0005-0000-0000-000006180000}"/>
    <cellStyle name="Normal 3 2 2 3 4 2" xfId="6180" xr:uid="{00000000-0005-0000-0000-000007180000}"/>
    <cellStyle name="Normal 3 2 2 3 4 3" xfId="8701" xr:uid="{00000000-0005-0000-0000-000008180000}"/>
    <cellStyle name="Normal 3 2 2 3 5" xfId="2860" xr:uid="{00000000-0005-0000-0000-000009180000}"/>
    <cellStyle name="Normal 3 2 2 3 6" xfId="4284" xr:uid="{00000000-0005-0000-0000-00000A180000}"/>
    <cellStyle name="Normal 3 2 2 3 7" xfId="7891" xr:uid="{00000000-0005-0000-0000-00000B180000}"/>
    <cellStyle name="Normal 3 2 2 3 8" xfId="2697" xr:uid="{00000000-0005-0000-0000-00000C180000}"/>
    <cellStyle name="Normal 3 2 2 4" xfId="578" xr:uid="{00000000-0005-0000-0000-00000D180000}"/>
    <cellStyle name="Normal 3 2 2 4 2" xfId="3568" xr:uid="{00000000-0005-0000-0000-00000E180000}"/>
    <cellStyle name="Normal 3 2 2 4 3" xfId="5180" xr:uid="{00000000-0005-0000-0000-00000F180000}"/>
    <cellStyle name="Normal 3 2 2 4 4" xfId="7845" xr:uid="{00000000-0005-0000-0000-000010180000}"/>
    <cellStyle name="Normal 3 2 2 4 5" xfId="2628" xr:uid="{00000000-0005-0000-0000-000011180000}"/>
    <cellStyle name="Normal 3 2 2 5" xfId="579" xr:uid="{00000000-0005-0000-0000-000012180000}"/>
    <cellStyle name="Normal 3 2 2 5 2" xfId="2839" xr:uid="{00000000-0005-0000-0000-000013180000}"/>
    <cellStyle name="Normal 3 2 2 6" xfId="3883" xr:uid="{00000000-0005-0000-0000-000014180000}"/>
    <cellStyle name="Normal 3 2 2 7" xfId="4544" xr:uid="{00000000-0005-0000-0000-000015180000}"/>
    <cellStyle name="Normal 3 2 2 8" xfId="6427" xr:uid="{00000000-0005-0000-0000-000016180000}"/>
    <cellStyle name="Normal 3 2 2 9" xfId="1175" xr:uid="{00000000-0005-0000-0000-000017180000}"/>
    <cellStyle name="Normal 3 2 3" xfId="580" xr:uid="{00000000-0005-0000-0000-000018180000}"/>
    <cellStyle name="Normal 3 2 3 2" xfId="581" xr:uid="{00000000-0005-0000-0000-000019180000}"/>
    <cellStyle name="Normal 3 2 3 2 2" xfId="582" xr:uid="{00000000-0005-0000-0000-00001A180000}"/>
    <cellStyle name="Normal 3 2 3 2 3" xfId="8012" xr:uid="{00000000-0005-0000-0000-00001B180000}"/>
    <cellStyle name="Normal 3 2 3 2 4" xfId="2956" xr:uid="{00000000-0005-0000-0000-00001C180000}"/>
    <cellStyle name="Normal 3 2 3 3" xfId="583" xr:uid="{00000000-0005-0000-0000-00001D180000}"/>
    <cellStyle name="Normal 3 2 3 3 2" xfId="584" xr:uid="{00000000-0005-0000-0000-00001E180000}"/>
    <cellStyle name="Normal 3 2 3 3 3" xfId="8109" xr:uid="{00000000-0005-0000-0000-00001F180000}"/>
    <cellStyle name="Normal 3 2 3 3 4" xfId="3053" xr:uid="{00000000-0005-0000-0000-000020180000}"/>
    <cellStyle name="Normal 3 2 3 4" xfId="585" xr:uid="{00000000-0005-0000-0000-000021180000}"/>
    <cellStyle name="Normal 3 2 3 4 2" xfId="586" xr:uid="{00000000-0005-0000-0000-000022180000}"/>
    <cellStyle name="Normal 3 2 3 4 3" xfId="587" xr:uid="{00000000-0005-0000-0000-000023180000}"/>
    <cellStyle name="Normal 3 2 3 4 3 2" xfId="588" xr:uid="{00000000-0005-0000-0000-000024180000}"/>
    <cellStyle name="Normal 3 2 3 4 3 3" xfId="8665" xr:uid="{00000000-0005-0000-0000-000025180000}"/>
    <cellStyle name="Normal 3 2 3 4 4" xfId="3752" xr:uid="{00000000-0005-0000-0000-000026180000}"/>
    <cellStyle name="Normal 3 2 3 5" xfId="589" xr:uid="{00000000-0005-0000-0000-000027180000}"/>
    <cellStyle name="Normal 3 2 3 5 2" xfId="590" xr:uid="{00000000-0005-0000-0000-000028180000}"/>
    <cellStyle name="Normal 3 2 3 5 3" xfId="591" xr:uid="{00000000-0005-0000-0000-000029180000}"/>
    <cellStyle name="Normal 3 2 3 5 4" xfId="2858" xr:uid="{00000000-0005-0000-0000-00002A180000}"/>
    <cellStyle name="Normal 3 2 3 6" xfId="592" xr:uid="{00000000-0005-0000-0000-00002B180000}"/>
    <cellStyle name="Normal 3 2 3 7" xfId="593" xr:uid="{00000000-0005-0000-0000-00002C180000}"/>
    <cellStyle name="Normal 3 2 3 7 2" xfId="7892" xr:uid="{00000000-0005-0000-0000-00002D180000}"/>
    <cellStyle name="Normal 3 2 3 8" xfId="2698" xr:uid="{00000000-0005-0000-0000-00002E180000}"/>
    <cellStyle name="Normal 3 2 4" xfId="594" xr:uid="{00000000-0005-0000-0000-00002F180000}"/>
    <cellStyle name="Normal 3 2 4 2" xfId="595" xr:uid="{00000000-0005-0000-0000-000030180000}"/>
    <cellStyle name="Normal 3 2 4 2 2" xfId="596" xr:uid="{00000000-0005-0000-0000-000031180000}"/>
    <cellStyle name="Normal 3 2 4 2 3" xfId="6196" xr:uid="{00000000-0005-0000-0000-000032180000}"/>
    <cellStyle name="Normal 3 2 4 3" xfId="597" xr:uid="{00000000-0005-0000-0000-000033180000}"/>
    <cellStyle name="Normal 3 2 4 3 2" xfId="598" xr:uid="{00000000-0005-0000-0000-000034180000}"/>
    <cellStyle name="Normal 3 2 4 3 3" xfId="8720" xr:uid="{00000000-0005-0000-0000-000035180000}"/>
    <cellStyle name="Normal 3 2 4 4" xfId="599" xr:uid="{00000000-0005-0000-0000-000036180000}"/>
    <cellStyle name="Normal 3 2 4 5" xfId="3809" xr:uid="{00000000-0005-0000-0000-000037180000}"/>
    <cellStyle name="Normal 3 2 5" xfId="600" xr:uid="{00000000-0005-0000-0000-000038180000}"/>
    <cellStyle name="Normal 3 2 5 2" xfId="601" xr:uid="{00000000-0005-0000-0000-000039180000}"/>
    <cellStyle name="Normal 3 2 5 3" xfId="602" xr:uid="{00000000-0005-0000-0000-00003A180000}"/>
    <cellStyle name="Normal 3 2 5 4" xfId="3855" xr:uid="{00000000-0005-0000-0000-00003B180000}"/>
    <cellStyle name="Normal 3 2 6" xfId="603" xr:uid="{00000000-0005-0000-0000-00003C180000}"/>
    <cellStyle name="Normal 3 2 6 2" xfId="604" xr:uid="{00000000-0005-0000-0000-00003D180000}"/>
    <cellStyle name="Normal 3 2 6 3" xfId="6275" xr:uid="{00000000-0005-0000-0000-00003E180000}"/>
    <cellStyle name="Normal 3 2 7" xfId="605" xr:uid="{00000000-0005-0000-0000-00003F180000}"/>
    <cellStyle name="Normal 3 2 7 2" xfId="993" xr:uid="{00000000-0005-0000-0000-000040180000}"/>
    <cellStyle name="Normal 3 2 8" xfId="606" xr:uid="{00000000-0005-0000-0000-000041180000}"/>
    <cellStyle name="Normal 3 2 8 2" xfId="607" xr:uid="{00000000-0005-0000-0000-000042180000}"/>
    <cellStyle name="Normal 3 2 9" xfId="608" xr:uid="{00000000-0005-0000-0000-000043180000}"/>
    <cellStyle name="Normal 3 3" xfId="609" xr:uid="{00000000-0005-0000-0000-000044180000}"/>
    <cellStyle name="Normal 3 3 10" xfId="1116" xr:uid="{00000000-0005-0000-0000-000045180000}"/>
    <cellStyle name="Normal 3 3 2" xfId="1153" xr:uid="{00000000-0005-0000-0000-000046180000}"/>
    <cellStyle name="Normal 3 3 2 2" xfId="2115" xr:uid="{00000000-0005-0000-0000-000047180000}"/>
    <cellStyle name="Normal 3 3 2 2 2" xfId="2955" xr:uid="{00000000-0005-0000-0000-000048180000}"/>
    <cellStyle name="Normal 3 3 2 2 2 2" xfId="4615" xr:uid="{00000000-0005-0000-0000-000049180000}"/>
    <cellStyle name="Normal 3 3 2 2 2 3" xfId="8011" xr:uid="{00000000-0005-0000-0000-00004A180000}"/>
    <cellStyle name="Normal 3 3 2 2 3" xfId="3052" xr:uid="{00000000-0005-0000-0000-00004B180000}"/>
    <cellStyle name="Normal 3 3 2 2 3 2" xfId="4698" xr:uid="{00000000-0005-0000-0000-00004C180000}"/>
    <cellStyle name="Normal 3 3 2 2 3 3" xfId="8108" xr:uid="{00000000-0005-0000-0000-00004D180000}"/>
    <cellStyle name="Normal 3 3 2 2 4" xfId="3820" xr:uid="{00000000-0005-0000-0000-00004E180000}"/>
    <cellStyle name="Normal 3 3 2 2 4 2" xfId="6205" xr:uid="{00000000-0005-0000-0000-00004F180000}"/>
    <cellStyle name="Normal 3 3 2 2 4 3" xfId="8731" xr:uid="{00000000-0005-0000-0000-000050180000}"/>
    <cellStyle name="Normal 3 3 2 2 5" xfId="2857" xr:uid="{00000000-0005-0000-0000-000051180000}"/>
    <cellStyle name="Normal 3 3 2 2 6" xfId="4287" xr:uid="{00000000-0005-0000-0000-000052180000}"/>
    <cellStyle name="Normal 3 3 2 2 7" xfId="7359" xr:uid="{00000000-0005-0000-0000-000053180000}"/>
    <cellStyle name="Normal 3 3 2 3" xfId="2699" xr:uid="{00000000-0005-0000-0000-000054180000}"/>
    <cellStyle name="Normal 3 3 2 3 2" xfId="2927" xr:uid="{00000000-0005-0000-0000-000055180000}"/>
    <cellStyle name="Normal 3 3 2 3 2 2" xfId="4595" xr:uid="{00000000-0005-0000-0000-000056180000}"/>
    <cellStyle name="Normal 3 3 2 3 2 3" xfId="7984" xr:uid="{00000000-0005-0000-0000-000057180000}"/>
    <cellStyle name="Normal 3 3 2 3 3" xfId="3020" xr:uid="{00000000-0005-0000-0000-000058180000}"/>
    <cellStyle name="Normal 3 3 2 3 3 2" xfId="4679" xr:uid="{00000000-0005-0000-0000-000059180000}"/>
    <cellStyle name="Normal 3 3 2 3 3 3" xfId="8076" xr:uid="{00000000-0005-0000-0000-00005A180000}"/>
    <cellStyle name="Normal 3 3 2 3 4" xfId="3793" xr:uid="{00000000-0005-0000-0000-00005B180000}"/>
    <cellStyle name="Normal 3 3 2 3 4 2" xfId="6183" xr:uid="{00000000-0005-0000-0000-00005C180000}"/>
    <cellStyle name="Normal 3 3 2 3 4 3" xfId="8704" xr:uid="{00000000-0005-0000-0000-00005D180000}"/>
    <cellStyle name="Normal 3 3 2 3 5" xfId="2821" xr:uid="{00000000-0005-0000-0000-00005E180000}"/>
    <cellStyle name="Normal 3 3 2 3 6" xfId="4288" xr:uid="{00000000-0005-0000-0000-00005F180000}"/>
    <cellStyle name="Normal 3 3 2 3 7" xfId="7893" xr:uid="{00000000-0005-0000-0000-000060180000}"/>
    <cellStyle name="Normal 3 3 2 4" xfId="2916" xr:uid="{00000000-0005-0000-0000-000061180000}"/>
    <cellStyle name="Normal 3 3 2 4 2" xfId="4584" xr:uid="{00000000-0005-0000-0000-000062180000}"/>
    <cellStyle name="Normal 3 3 2 4 3" xfId="7973" xr:uid="{00000000-0005-0000-0000-000063180000}"/>
    <cellStyle name="Normal 3 3 2 5" xfId="3008" xr:uid="{00000000-0005-0000-0000-000064180000}"/>
    <cellStyle name="Normal 3 3 2 5 2" xfId="4668" xr:uid="{00000000-0005-0000-0000-000065180000}"/>
    <cellStyle name="Normal 3 3 2 5 3" xfId="8064" xr:uid="{00000000-0005-0000-0000-000066180000}"/>
    <cellStyle name="Normal 3 3 2 6" xfId="3810" xr:uid="{00000000-0005-0000-0000-000067180000}"/>
    <cellStyle name="Normal 3 3 2 6 2" xfId="6197" xr:uid="{00000000-0005-0000-0000-000068180000}"/>
    <cellStyle name="Normal 3 3 2 6 3" xfId="8721" xr:uid="{00000000-0005-0000-0000-000069180000}"/>
    <cellStyle name="Normal 3 3 2 7" xfId="2807" xr:uid="{00000000-0005-0000-0000-00006A180000}"/>
    <cellStyle name="Normal 3 3 2 8" xfId="4286" xr:uid="{00000000-0005-0000-0000-00006B180000}"/>
    <cellStyle name="Normal 3 3 2 9" xfId="6408" xr:uid="{00000000-0005-0000-0000-00006C180000}"/>
    <cellStyle name="Normal 3 3 3" xfId="1169" xr:uid="{00000000-0005-0000-0000-00006D180000}"/>
    <cellStyle name="Normal 3 3 3 2" xfId="2700" xr:uid="{00000000-0005-0000-0000-00006E180000}"/>
    <cellStyle name="Normal 3 3 3 2 2" xfId="4607" xr:uid="{00000000-0005-0000-0000-00006F180000}"/>
    <cellStyle name="Normal 3 3 3 2 3" xfId="7894" xr:uid="{00000000-0005-0000-0000-000070180000}"/>
    <cellStyle name="Normal 3 3 3 3" xfId="3043" xr:uid="{00000000-0005-0000-0000-000071180000}"/>
    <cellStyle name="Normal 3 3 3 3 2" xfId="4690" xr:uid="{00000000-0005-0000-0000-000072180000}"/>
    <cellStyle name="Normal 3 3 3 3 3" xfId="8099" xr:uid="{00000000-0005-0000-0000-000073180000}"/>
    <cellStyle name="Normal 3 3 3 4" xfId="3826" xr:uid="{00000000-0005-0000-0000-000074180000}"/>
    <cellStyle name="Normal 3 3 3 4 2" xfId="6209" xr:uid="{00000000-0005-0000-0000-000075180000}"/>
    <cellStyle name="Normal 3 3 3 4 3" xfId="8737" xr:uid="{00000000-0005-0000-0000-000076180000}"/>
    <cellStyle name="Normal 3 3 3 5" xfId="2848" xr:uid="{00000000-0005-0000-0000-000077180000}"/>
    <cellStyle name="Normal 3 3 3 6" xfId="4289" xr:uid="{00000000-0005-0000-0000-000078180000}"/>
    <cellStyle name="Normal 3 3 3 7" xfId="6422" xr:uid="{00000000-0005-0000-0000-000079180000}"/>
    <cellStyle name="Normal 3 3 4" xfId="2907" xr:uid="{00000000-0005-0000-0000-00007A180000}"/>
    <cellStyle name="Normal 3 3 4 2" xfId="3803" xr:uid="{00000000-0005-0000-0000-00007B180000}"/>
    <cellStyle name="Normal 3 3 4 2 2" xfId="6193" xr:uid="{00000000-0005-0000-0000-00007C180000}"/>
    <cellStyle name="Normal 3 3 4 2 3" xfId="8714" xr:uid="{00000000-0005-0000-0000-00007D180000}"/>
    <cellStyle name="Normal 3 3 4 3" xfId="4574" xr:uid="{00000000-0005-0000-0000-00007E180000}"/>
    <cellStyle name="Normal 3 3 4 4" xfId="7966" xr:uid="{00000000-0005-0000-0000-00007F180000}"/>
    <cellStyle name="Normal 3 3 5" xfId="2997" xr:uid="{00000000-0005-0000-0000-000080180000}"/>
    <cellStyle name="Normal 3 3 5 2" xfId="3792" xr:uid="{00000000-0005-0000-0000-000081180000}"/>
    <cellStyle name="Normal 3 3 5 2 2" xfId="6182" xr:uid="{00000000-0005-0000-0000-000082180000}"/>
    <cellStyle name="Normal 3 3 5 2 3" xfId="8703" xr:uid="{00000000-0005-0000-0000-000083180000}"/>
    <cellStyle name="Normal 3 3 5 3" xfId="4659" xr:uid="{00000000-0005-0000-0000-000084180000}"/>
    <cellStyle name="Normal 3 3 5 4" xfId="8053" xr:uid="{00000000-0005-0000-0000-000085180000}"/>
    <cellStyle name="Normal 3 3 6" xfId="3380" xr:uid="{00000000-0005-0000-0000-000086180000}"/>
    <cellStyle name="Normal 3 3 6 2" xfId="5017" xr:uid="{00000000-0005-0000-0000-000087180000}"/>
    <cellStyle name="Normal 3 3 6 3" xfId="8408" xr:uid="{00000000-0005-0000-0000-000088180000}"/>
    <cellStyle name="Normal 3 3 7" xfId="2793" xr:uid="{00000000-0005-0000-0000-000089180000}"/>
    <cellStyle name="Normal 3 3 8" xfId="4285" xr:uid="{00000000-0005-0000-0000-00008A180000}"/>
    <cellStyle name="Normal 3 3 9" xfId="6387" xr:uid="{00000000-0005-0000-0000-00008B180000}"/>
    <cellStyle name="Normal 3 4" xfId="610" xr:uid="{00000000-0005-0000-0000-00008C180000}"/>
    <cellStyle name="Normal 3 4 2" xfId="2402" xr:uid="{00000000-0005-0000-0000-00008D180000}"/>
    <cellStyle name="Normal 3 4 2 2" xfId="2701" xr:uid="{00000000-0005-0000-0000-00008E180000}"/>
    <cellStyle name="Normal 3 4 2 2 2" xfId="2953" xr:uid="{00000000-0005-0000-0000-00008F180000}"/>
    <cellStyle name="Normal 3 4 2 2 2 2" xfId="4613" xr:uid="{00000000-0005-0000-0000-000090180000}"/>
    <cellStyle name="Normal 3 4 2 2 2 3" xfId="8009" xr:uid="{00000000-0005-0000-0000-000091180000}"/>
    <cellStyle name="Normal 3 4 2 2 3" xfId="3050" xr:uid="{00000000-0005-0000-0000-000092180000}"/>
    <cellStyle name="Normal 3 4 2 2 3 2" xfId="4696" xr:uid="{00000000-0005-0000-0000-000093180000}"/>
    <cellStyle name="Normal 3 4 2 2 3 3" xfId="8106" xr:uid="{00000000-0005-0000-0000-000094180000}"/>
    <cellStyle name="Normal 3 4 2 2 4" xfId="3841" xr:uid="{00000000-0005-0000-0000-000095180000}"/>
    <cellStyle name="Normal 3 4 2 2 4 2" xfId="6221" xr:uid="{00000000-0005-0000-0000-000096180000}"/>
    <cellStyle name="Normal 3 4 2 2 4 3" xfId="8752" xr:uid="{00000000-0005-0000-0000-000097180000}"/>
    <cellStyle name="Normal 3 4 2 2 5" xfId="2855" xr:uid="{00000000-0005-0000-0000-000098180000}"/>
    <cellStyle name="Normal 3 4 2 2 6" xfId="4292" xr:uid="{00000000-0005-0000-0000-000099180000}"/>
    <cellStyle name="Normal 3 4 2 2 7" xfId="7895" xr:uid="{00000000-0005-0000-0000-00009A180000}"/>
    <cellStyle name="Normal 3 4 2 3" xfId="2702" xr:uid="{00000000-0005-0000-0000-00009B180000}"/>
    <cellStyle name="Normal 3 4 2 3 2" xfId="2954" xr:uid="{00000000-0005-0000-0000-00009C180000}"/>
    <cellStyle name="Normal 3 4 2 3 2 2" xfId="4614" xr:uid="{00000000-0005-0000-0000-00009D180000}"/>
    <cellStyle name="Normal 3 4 2 3 2 3" xfId="8010" xr:uid="{00000000-0005-0000-0000-00009E180000}"/>
    <cellStyle name="Normal 3 4 2 3 3" xfId="3051" xr:uid="{00000000-0005-0000-0000-00009F180000}"/>
    <cellStyle name="Normal 3 4 2 3 3 2" xfId="4697" xr:uid="{00000000-0005-0000-0000-0000A0180000}"/>
    <cellStyle name="Normal 3 4 2 3 3 3" xfId="8107" xr:uid="{00000000-0005-0000-0000-0000A1180000}"/>
    <cellStyle name="Normal 3 4 2 3 4" xfId="3848" xr:uid="{00000000-0005-0000-0000-0000A2180000}"/>
    <cellStyle name="Normal 3 4 2 3 4 2" xfId="6225" xr:uid="{00000000-0005-0000-0000-0000A3180000}"/>
    <cellStyle name="Normal 3 4 2 3 4 3" xfId="8759" xr:uid="{00000000-0005-0000-0000-0000A4180000}"/>
    <cellStyle name="Normal 3 4 2 3 5" xfId="2856" xr:uid="{00000000-0005-0000-0000-0000A5180000}"/>
    <cellStyle name="Normal 3 4 2 3 6" xfId="4293" xr:uid="{00000000-0005-0000-0000-0000A6180000}"/>
    <cellStyle name="Normal 3 4 2 3 7" xfId="7896" xr:uid="{00000000-0005-0000-0000-0000A7180000}"/>
    <cellStyle name="Normal 3 4 2 4" xfId="2917" xr:uid="{00000000-0005-0000-0000-0000A8180000}"/>
    <cellStyle name="Normal 3 4 2 4 2" xfId="4585" xr:uid="{00000000-0005-0000-0000-0000A9180000}"/>
    <cellStyle name="Normal 3 4 2 4 3" xfId="7974" xr:uid="{00000000-0005-0000-0000-0000AA180000}"/>
    <cellStyle name="Normal 3 4 2 5" xfId="3009" xr:uid="{00000000-0005-0000-0000-0000AB180000}"/>
    <cellStyle name="Normal 3 4 2 5 2" xfId="4669" xr:uid="{00000000-0005-0000-0000-0000AC180000}"/>
    <cellStyle name="Normal 3 4 2 5 3" xfId="8065" xr:uid="{00000000-0005-0000-0000-0000AD180000}"/>
    <cellStyle name="Normal 3 4 2 6" xfId="3746" xr:uid="{00000000-0005-0000-0000-0000AE180000}"/>
    <cellStyle name="Normal 3 4 2 6 2" xfId="6144" xr:uid="{00000000-0005-0000-0000-0000AF180000}"/>
    <cellStyle name="Normal 3 4 2 6 3" xfId="8660" xr:uid="{00000000-0005-0000-0000-0000B0180000}"/>
    <cellStyle name="Normal 3 4 2 7" xfId="2808" xr:uid="{00000000-0005-0000-0000-0000B1180000}"/>
    <cellStyle name="Normal 3 4 2 8" xfId="4291" xr:uid="{00000000-0005-0000-0000-0000B2180000}"/>
    <cellStyle name="Normal 3 4 2 9" xfId="7632" xr:uid="{00000000-0005-0000-0000-0000B3180000}"/>
    <cellStyle name="Normal 3 4 3" xfId="2703" xr:uid="{00000000-0005-0000-0000-0000B4180000}"/>
    <cellStyle name="Normal 3 4 3 2" xfId="2948" xr:uid="{00000000-0005-0000-0000-0000B5180000}"/>
    <cellStyle name="Normal 3 4 3 2 2" xfId="4608" xr:uid="{00000000-0005-0000-0000-0000B6180000}"/>
    <cellStyle name="Normal 3 4 3 2 3" xfId="8004" xr:uid="{00000000-0005-0000-0000-0000B7180000}"/>
    <cellStyle name="Normal 3 4 3 3" xfId="3044" xr:uid="{00000000-0005-0000-0000-0000B8180000}"/>
    <cellStyle name="Normal 3 4 3 3 2" xfId="4691" xr:uid="{00000000-0005-0000-0000-0000B9180000}"/>
    <cellStyle name="Normal 3 4 3 3 3" xfId="8100" xr:uid="{00000000-0005-0000-0000-0000BA180000}"/>
    <cellStyle name="Normal 3 4 3 4" xfId="3836" xr:uid="{00000000-0005-0000-0000-0000BB180000}"/>
    <cellStyle name="Normal 3 4 3 4 2" xfId="6217" xr:uid="{00000000-0005-0000-0000-0000BC180000}"/>
    <cellStyle name="Normal 3 4 3 4 3" xfId="8747" xr:uid="{00000000-0005-0000-0000-0000BD180000}"/>
    <cellStyle name="Normal 3 4 3 5" xfId="2849" xr:uid="{00000000-0005-0000-0000-0000BE180000}"/>
    <cellStyle name="Normal 3 4 3 6" xfId="4294" xr:uid="{00000000-0005-0000-0000-0000BF180000}"/>
    <cellStyle name="Normal 3 4 3 7" xfId="7897" xr:uid="{00000000-0005-0000-0000-0000C0180000}"/>
    <cellStyle name="Normal 3 4 4" xfId="3381" xr:uid="{00000000-0005-0000-0000-0000C1180000}"/>
    <cellStyle name="Normal 3 4 4 2" xfId="5018" xr:uid="{00000000-0005-0000-0000-0000C2180000}"/>
    <cellStyle name="Normal 3 4 4 3" xfId="8409" xr:uid="{00000000-0005-0000-0000-0000C3180000}"/>
    <cellStyle name="Normal 3 4 5" xfId="4290" xr:uid="{00000000-0005-0000-0000-0000C4180000}"/>
    <cellStyle name="Normal 3 4 6" xfId="6388" xr:uid="{00000000-0005-0000-0000-0000C5180000}"/>
    <cellStyle name="Normal 3 4 7" xfId="1117" xr:uid="{00000000-0005-0000-0000-0000C6180000}"/>
    <cellStyle name="Normal 3 5" xfId="611" xr:uid="{00000000-0005-0000-0000-0000C7180000}"/>
    <cellStyle name="Normal 3 5 2" xfId="2403" xr:uid="{00000000-0005-0000-0000-0000C8180000}"/>
    <cellStyle name="Normal 3 5 2 2" xfId="2918" xr:uid="{00000000-0005-0000-0000-0000C9180000}"/>
    <cellStyle name="Normal 3 5 2 2 2" xfId="4586" xr:uid="{00000000-0005-0000-0000-0000CA180000}"/>
    <cellStyle name="Normal 3 5 2 2 3" xfId="7975" xr:uid="{00000000-0005-0000-0000-0000CB180000}"/>
    <cellStyle name="Normal 3 5 2 3" xfId="3010" xr:uid="{00000000-0005-0000-0000-0000CC180000}"/>
    <cellStyle name="Normal 3 5 2 3 2" xfId="4670" xr:uid="{00000000-0005-0000-0000-0000CD180000}"/>
    <cellStyle name="Normal 3 5 2 3 3" xfId="8066" xr:uid="{00000000-0005-0000-0000-0000CE180000}"/>
    <cellStyle name="Normal 3 5 2 4" xfId="3814" xr:uid="{00000000-0005-0000-0000-0000CF180000}"/>
    <cellStyle name="Normal 3 5 2 4 2" xfId="6201" xr:uid="{00000000-0005-0000-0000-0000D0180000}"/>
    <cellStyle name="Normal 3 5 2 4 3" xfId="8725" xr:uid="{00000000-0005-0000-0000-0000D1180000}"/>
    <cellStyle name="Normal 3 5 2 5" xfId="2809" xr:uid="{00000000-0005-0000-0000-0000D2180000}"/>
    <cellStyle name="Normal 3 5 2 6" xfId="4296" xr:uid="{00000000-0005-0000-0000-0000D3180000}"/>
    <cellStyle name="Normal 3 5 2 7" xfId="7633" xr:uid="{00000000-0005-0000-0000-0000D4180000}"/>
    <cellStyle name="Normal 3 5 3" xfId="2704" xr:uid="{00000000-0005-0000-0000-0000D5180000}"/>
    <cellStyle name="Normal 3 5 3 2" xfId="2949" xr:uid="{00000000-0005-0000-0000-0000D6180000}"/>
    <cellStyle name="Normal 3 5 3 2 2" xfId="4609" xr:uid="{00000000-0005-0000-0000-0000D7180000}"/>
    <cellStyle name="Normal 3 5 3 2 3" xfId="8005" xr:uid="{00000000-0005-0000-0000-0000D8180000}"/>
    <cellStyle name="Normal 3 5 3 3" xfId="3045" xr:uid="{00000000-0005-0000-0000-0000D9180000}"/>
    <cellStyle name="Normal 3 5 3 3 2" xfId="4692" xr:uid="{00000000-0005-0000-0000-0000DA180000}"/>
    <cellStyle name="Normal 3 5 3 3 3" xfId="8101" xr:uid="{00000000-0005-0000-0000-0000DB180000}"/>
    <cellStyle name="Normal 3 5 3 4" xfId="3735" xr:uid="{00000000-0005-0000-0000-0000DC180000}"/>
    <cellStyle name="Normal 3 5 3 4 2" xfId="6136" xr:uid="{00000000-0005-0000-0000-0000DD180000}"/>
    <cellStyle name="Normal 3 5 3 4 3" xfId="8649" xr:uid="{00000000-0005-0000-0000-0000DE180000}"/>
    <cellStyle name="Normal 3 5 3 5" xfId="2850" xr:uid="{00000000-0005-0000-0000-0000DF180000}"/>
    <cellStyle name="Normal 3 5 3 6" xfId="4297" xr:uid="{00000000-0005-0000-0000-0000E0180000}"/>
    <cellStyle name="Normal 3 5 3 7" xfId="7898" xr:uid="{00000000-0005-0000-0000-0000E1180000}"/>
    <cellStyle name="Normal 3 5 4" xfId="2705" xr:uid="{00000000-0005-0000-0000-0000E2180000}"/>
    <cellStyle name="Normal 3 5 4 2" xfId="4298" xr:uid="{00000000-0005-0000-0000-0000E3180000}"/>
    <cellStyle name="Normal 3 5 4 3" xfId="7899" xr:uid="{00000000-0005-0000-0000-0000E4180000}"/>
    <cellStyle name="Normal 3 5 5" xfId="4295" xr:uid="{00000000-0005-0000-0000-0000E5180000}"/>
    <cellStyle name="Normal 3 5 6" xfId="6386" xr:uid="{00000000-0005-0000-0000-0000E6180000}"/>
    <cellStyle name="Normal 3 5 7" xfId="1115" xr:uid="{00000000-0005-0000-0000-0000E7180000}"/>
    <cellStyle name="Normal 3 6" xfId="612" xr:uid="{00000000-0005-0000-0000-0000E8180000}"/>
    <cellStyle name="Normal 3 6 2" xfId="2404" xr:uid="{00000000-0005-0000-0000-0000E9180000}"/>
    <cellStyle name="Normal 3 6 2 2" xfId="2919" xr:uid="{00000000-0005-0000-0000-0000EA180000}"/>
    <cellStyle name="Normal 3 6 2 2 2" xfId="4587" xr:uid="{00000000-0005-0000-0000-0000EB180000}"/>
    <cellStyle name="Normal 3 6 2 2 3" xfId="7976" xr:uid="{00000000-0005-0000-0000-0000EC180000}"/>
    <cellStyle name="Normal 3 6 2 3" xfId="3011" xr:uid="{00000000-0005-0000-0000-0000ED180000}"/>
    <cellStyle name="Normal 3 6 2 3 2" xfId="4671" xr:uid="{00000000-0005-0000-0000-0000EE180000}"/>
    <cellStyle name="Normal 3 6 2 3 3" xfId="8067" xr:uid="{00000000-0005-0000-0000-0000EF180000}"/>
    <cellStyle name="Normal 3 6 2 4" xfId="3794" xr:uid="{00000000-0005-0000-0000-0000F0180000}"/>
    <cellStyle name="Normal 3 6 2 4 2" xfId="6184" xr:uid="{00000000-0005-0000-0000-0000F1180000}"/>
    <cellStyle name="Normal 3 6 2 4 3" xfId="8705" xr:uid="{00000000-0005-0000-0000-0000F2180000}"/>
    <cellStyle name="Normal 3 6 2 5" xfId="2810" xr:uid="{00000000-0005-0000-0000-0000F3180000}"/>
    <cellStyle name="Normal 3 6 2 6" xfId="4300" xr:uid="{00000000-0005-0000-0000-0000F4180000}"/>
    <cellStyle name="Normal 3 6 2 7" xfId="7634" xr:uid="{00000000-0005-0000-0000-0000F5180000}"/>
    <cellStyle name="Normal 3 6 3" xfId="2707" xr:uid="{00000000-0005-0000-0000-0000F6180000}"/>
    <cellStyle name="Normal 3 6 3 2" xfId="2950" xr:uid="{00000000-0005-0000-0000-0000F7180000}"/>
    <cellStyle name="Normal 3 6 3 2 2" xfId="4610" xr:uid="{00000000-0005-0000-0000-0000F8180000}"/>
    <cellStyle name="Normal 3 6 3 2 3" xfId="8006" xr:uid="{00000000-0005-0000-0000-0000F9180000}"/>
    <cellStyle name="Normal 3 6 3 3" xfId="3046" xr:uid="{00000000-0005-0000-0000-0000FA180000}"/>
    <cellStyle name="Normal 3 6 3 3 2" xfId="4693" xr:uid="{00000000-0005-0000-0000-0000FB180000}"/>
    <cellStyle name="Normal 3 6 3 3 3" xfId="8102" xr:uid="{00000000-0005-0000-0000-0000FC180000}"/>
    <cellStyle name="Normal 3 6 3 4" xfId="3786" xr:uid="{00000000-0005-0000-0000-0000FD180000}"/>
    <cellStyle name="Normal 3 6 3 4 2" xfId="6177" xr:uid="{00000000-0005-0000-0000-0000FE180000}"/>
    <cellStyle name="Normal 3 6 3 4 3" xfId="8697" xr:uid="{00000000-0005-0000-0000-0000FF180000}"/>
    <cellStyle name="Normal 3 6 3 5" xfId="2851" xr:uid="{00000000-0005-0000-0000-000000190000}"/>
    <cellStyle name="Normal 3 6 3 6" xfId="4301" xr:uid="{00000000-0005-0000-0000-000001190000}"/>
    <cellStyle name="Normal 3 6 3 7" xfId="7901" xr:uid="{00000000-0005-0000-0000-000002190000}"/>
    <cellStyle name="Normal 3 6 4" xfId="2708" xr:uid="{00000000-0005-0000-0000-000003190000}"/>
    <cellStyle name="Normal 3 6 4 2" xfId="2952" xr:uid="{00000000-0005-0000-0000-000004190000}"/>
    <cellStyle name="Normal 3 6 4 2 2" xfId="8008" xr:uid="{00000000-0005-0000-0000-000005190000}"/>
    <cellStyle name="Normal 3 6 4 3" xfId="3049" xr:uid="{00000000-0005-0000-0000-000006190000}"/>
    <cellStyle name="Normal 3 6 4 3 2" xfId="8105" xr:uid="{00000000-0005-0000-0000-000007190000}"/>
    <cellStyle name="Normal 3 6 4 4" xfId="3744" xr:uid="{00000000-0005-0000-0000-000008190000}"/>
    <cellStyle name="Normal 3 6 4 4 2" xfId="8658" xr:uid="{00000000-0005-0000-0000-000009190000}"/>
    <cellStyle name="Normal 3 6 4 5" xfId="2854" xr:uid="{00000000-0005-0000-0000-00000A190000}"/>
    <cellStyle name="Normal 3 6 4 6" xfId="7902" xr:uid="{00000000-0005-0000-0000-00000B190000}"/>
    <cellStyle name="Normal 3 6 5" xfId="2706" xr:uid="{00000000-0005-0000-0000-00000C190000}"/>
    <cellStyle name="Normal 3 6 5 2" xfId="4579" xr:uid="{00000000-0005-0000-0000-00000D190000}"/>
    <cellStyle name="Normal 3 6 5 3" xfId="7900" xr:uid="{00000000-0005-0000-0000-00000E190000}"/>
    <cellStyle name="Normal 3 6 6" xfId="4299" xr:uid="{00000000-0005-0000-0000-00000F190000}"/>
    <cellStyle name="Normal 3 6 7" xfId="7356" xr:uid="{00000000-0005-0000-0000-000010190000}"/>
    <cellStyle name="Normal 3 6 8" xfId="2111" xr:uid="{00000000-0005-0000-0000-000011190000}"/>
    <cellStyle name="Normal 3 7" xfId="613" xr:uid="{00000000-0005-0000-0000-000012190000}"/>
    <cellStyle name="Normal 3 7 10" xfId="7635" xr:uid="{00000000-0005-0000-0000-000013190000}"/>
    <cellStyle name="Normal 3 7 11" xfId="2405" xr:uid="{00000000-0005-0000-0000-000014190000}"/>
    <cellStyle name="Normal 3 7 2" xfId="2675" xr:uid="{00000000-0005-0000-0000-000015190000}"/>
    <cellStyle name="Normal 3 7 2 2" xfId="2951" xr:uid="{00000000-0005-0000-0000-000016190000}"/>
    <cellStyle name="Normal 3 7 2 2 2" xfId="4611" xr:uid="{00000000-0005-0000-0000-000017190000}"/>
    <cellStyle name="Normal 3 7 2 2 3" xfId="8007" xr:uid="{00000000-0005-0000-0000-000018190000}"/>
    <cellStyle name="Normal 3 7 2 3" xfId="3047" xr:uid="{00000000-0005-0000-0000-000019190000}"/>
    <cellStyle name="Normal 3 7 2 3 2" xfId="4694" xr:uid="{00000000-0005-0000-0000-00001A190000}"/>
    <cellStyle name="Normal 3 7 2 3 3" xfId="8103" xr:uid="{00000000-0005-0000-0000-00001B190000}"/>
    <cellStyle name="Normal 3 7 2 4" xfId="3725" xr:uid="{00000000-0005-0000-0000-00001C190000}"/>
    <cellStyle name="Normal 3 7 2 4 2" xfId="6129" xr:uid="{00000000-0005-0000-0000-00001D190000}"/>
    <cellStyle name="Normal 3 7 2 4 3" xfId="8639" xr:uid="{00000000-0005-0000-0000-00001E190000}"/>
    <cellStyle name="Normal 3 7 2 5" xfId="2852" xr:uid="{00000000-0005-0000-0000-00001F190000}"/>
    <cellStyle name="Normal 3 7 2 6" xfId="4303" xr:uid="{00000000-0005-0000-0000-000020190000}"/>
    <cellStyle name="Normal 3 7 2 7" xfId="7872" xr:uid="{00000000-0005-0000-0000-000021190000}"/>
    <cellStyle name="Normal 3 7 3" xfId="2709" xr:uid="{00000000-0005-0000-0000-000022190000}"/>
    <cellStyle name="Normal 3 7 3 2" xfId="4304" xr:uid="{00000000-0005-0000-0000-000023190000}"/>
    <cellStyle name="Normal 3 7 3 3" xfId="7903" xr:uid="{00000000-0005-0000-0000-000024190000}"/>
    <cellStyle name="Normal 3 7 4" xfId="2920" xr:uid="{00000000-0005-0000-0000-000025190000}"/>
    <cellStyle name="Normal 3 7 4 2" xfId="4588" xr:uid="{00000000-0005-0000-0000-000026190000}"/>
    <cellStyle name="Normal 3 7 4 3" xfId="7977" xr:uid="{00000000-0005-0000-0000-000027190000}"/>
    <cellStyle name="Normal 3 7 5" xfId="3012" xr:uid="{00000000-0005-0000-0000-000028190000}"/>
    <cellStyle name="Normal 3 7 5 2" xfId="4672" xr:uid="{00000000-0005-0000-0000-000029190000}"/>
    <cellStyle name="Normal 3 7 5 3" xfId="8068" xr:uid="{00000000-0005-0000-0000-00002A190000}"/>
    <cellStyle name="Normal 3 7 6" xfId="3382" xr:uid="{00000000-0005-0000-0000-00002B190000}"/>
    <cellStyle name="Normal 3 7 6 2" xfId="5019" xr:uid="{00000000-0005-0000-0000-00002C190000}"/>
    <cellStyle name="Normal 3 7 6 3" xfId="8410" xr:uid="{00000000-0005-0000-0000-00002D190000}"/>
    <cellStyle name="Normal 3 7 7" xfId="3788" xr:uid="{00000000-0005-0000-0000-00002E190000}"/>
    <cellStyle name="Normal 3 7 7 2" xfId="6178" xr:uid="{00000000-0005-0000-0000-00002F190000}"/>
    <cellStyle name="Normal 3 7 7 3" xfId="8699" xr:uid="{00000000-0005-0000-0000-000030190000}"/>
    <cellStyle name="Normal 3 7 8" xfId="2811" xr:uid="{00000000-0005-0000-0000-000031190000}"/>
    <cellStyle name="Normal 3 7 9" xfId="4302" xr:uid="{00000000-0005-0000-0000-000032190000}"/>
    <cellStyle name="Normal 3 8" xfId="614" xr:uid="{00000000-0005-0000-0000-000033190000}"/>
    <cellStyle name="Normal 3 8 10" xfId="2406" xr:uid="{00000000-0005-0000-0000-000034190000}"/>
    <cellStyle name="Normal 3 8 2" xfId="2283" xr:uid="{00000000-0005-0000-0000-000035190000}"/>
    <cellStyle name="Normal 3 8 2 2" xfId="2710" xr:uid="{00000000-0005-0000-0000-000036190000}"/>
    <cellStyle name="Normal 3 8 2 2 2" xfId="4612" xr:uid="{00000000-0005-0000-0000-000037190000}"/>
    <cellStyle name="Normal 3 8 2 2 3" xfId="7904" xr:uid="{00000000-0005-0000-0000-000038190000}"/>
    <cellStyle name="Normal 3 8 2 3" xfId="3048" xr:uid="{00000000-0005-0000-0000-000039190000}"/>
    <cellStyle name="Normal 3 8 2 3 2" xfId="4695" xr:uid="{00000000-0005-0000-0000-00003A190000}"/>
    <cellStyle name="Normal 3 8 2 3 3" xfId="8104" xr:uid="{00000000-0005-0000-0000-00003B190000}"/>
    <cellStyle name="Normal 3 8 2 4" xfId="3811" xr:uid="{00000000-0005-0000-0000-00003C190000}"/>
    <cellStyle name="Normal 3 8 2 4 2" xfId="6198" xr:uid="{00000000-0005-0000-0000-00003D190000}"/>
    <cellStyle name="Normal 3 8 2 4 3" xfId="8722" xr:uid="{00000000-0005-0000-0000-00003E190000}"/>
    <cellStyle name="Normal 3 8 2 5" xfId="2853" xr:uid="{00000000-0005-0000-0000-00003F190000}"/>
    <cellStyle name="Normal 3 8 2 6" xfId="4306" xr:uid="{00000000-0005-0000-0000-000040190000}"/>
    <cellStyle name="Normal 3 8 2 7" xfId="7516" xr:uid="{00000000-0005-0000-0000-000041190000}"/>
    <cellStyle name="Normal 3 8 3" xfId="2921" xr:uid="{00000000-0005-0000-0000-000042190000}"/>
    <cellStyle name="Normal 3 8 3 2" xfId="4589" xr:uid="{00000000-0005-0000-0000-000043190000}"/>
    <cellStyle name="Normal 3 8 3 3" xfId="7978" xr:uid="{00000000-0005-0000-0000-000044190000}"/>
    <cellStyle name="Normal 3 8 4" xfId="3013" xr:uid="{00000000-0005-0000-0000-000045190000}"/>
    <cellStyle name="Normal 3 8 4 2" xfId="4673" xr:uid="{00000000-0005-0000-0000-000046190000}"/>
    <cellStyle name="Normal 3 8 4 3" xfId="8069" xr:uid="{00000000-0005-0000-0000-000047190000}"/>
    <cellStyle name="Normal 3 8 5" xfId="3383" xr:uid="{00000000-0005-0000-0000-000048190000}"/>
    <cellStyle name="Normal 3 8 5 2" xfId="5020" xr:uid="{00000000-0005-0000-0000-000049190000}"/>
    <cellStyle name="Normal 3 8 5 3" xfId="8411" xr:uid="{00000000-0005-0000-0000-00004A190000}"/>
    <cellStyle name="Normal 3 8 6" xfId="3740" xr:uid="{00000000-0005-0000-0000-00004B190000}"/>
    <cellStyle name="Normal 3 8 6 2" xfId="6141" xr:uid="{00000000-0005-0000-0000-00004C190000}"/>
    <cellStyle name="Normal 3 8 6 3" xfId="8654" xr:uid="{00000000-0005-0000-0000-00004D190000}"/>
    <cellStyle name="Normal 3 8 7" xfId="2812" xr:uid="{00000000-0005-0000-0000-00004E190000}"/>
    <cellStyle name="Normal 3 8 8" xfId="4305" xr:uid="{00000000-0005-0000-0000-00004F190000}"/>
    <cellStyle name="Normal 3 8 9" xfId="7636" xr:uid="{00000000-0005-0000-0000-000050190000}"/>
    <cellStyle name="Normal 3 9" xfId="615" xr:uid="{00000000-0005-0000-0000-000051190000}"/>
    <cellStyle name="Normal 3 9 2" xfId="2658" xr:uid="{00000000-0005-0000-0000-000052190000}"/>
    <cellStyle name="Normal 3 9 2 2" xfId="3384" xr:uid="{00000000-0005-0000-0000-000053190000}"/>
    <cellStyle name="Normal 3 9 2 3" xfId="5021" xr:uid="{00000000-0005-0000-0000-000054190000}"/>
    <cellStyle name="Normal 3 9 2 4" xfId="7868" xr:uid="{00000000-0005-0000-0000-000055190000}"/>
    <cellStyle name="Normal 3 9 3" xfId="4307" xr:uid="{00000000-0005-0000-0000-000056190000}"/>
    <cellStyle name="Normal 3 9 4" xfId="7637" xr:uid="{00000000-0005-0000-0000-000057190000}"/>
    <cellStyle name="Normal 3 9 5" xfId="2407" xr:uid="{00000000-0005-0000-0000-000058190000}"/>
    <cellStyle name="Normal 3_global_PO" xfId="3385" xr:uid="{00000000-0005-0000-0000-000059190000}"/>
    <cellStyle name="Normal 30" xfId="616" xr:uid="{00000000-0005-0000-0000-00005A190000}"/>
    <cellStyle name="Normal 30 2" xfId="3713" xr:uid="{00000000-0005-0000-0000-00005B190000}"/>
    <cellStyle name="Normal 30 2 2" xfId="6116" xr:uid="{00000000-0005-0000-0000-00005C190000}"/>
    <cellStyle name="Normal 30 2 3" xfId="8627" xr:uid="{00000000-0005-0000-0000-00005D190000}"/>
    <cellStyle name="Normal 30 3" xfId="3386" xr:uid="{00000000-0005-0000-0000-00005E190000}"/>
    <cellStyle name="Normal 30 4" xfId="5022" xr:uid="{00000000-0005-0000-0000-00005F190000}"/>
    <cellStyle name="Normal 30 5" xfId="7346" xr:uid="{00000000-0005-0000-0000-000060190000}"/>
    <cellStyle name="Normal 30 6" xfId="2101" xr:uid="{00000000-0005-0000-0000-000061190000}"/>
    <cellStyle name="Normal 31" xfId="617" xr:uid="{00000000-0005-0000-0000-000062190000}"/>
    <cellStyle name="Normal 31 2" xfId="3714" xr:uid="{00000000-0005-0000-0000-000063190000}"/>
    <cellStyle name="Normal 31 2 2" xfId="6117" xr:uid="{00000000-0005-0000-0000-000064190000}"/>
    <cellStyle name="Normal 31 2 3" xfId="8628" xr:uid="{00000000-0005-0000-0000-000065190000}"/>
    <cellStyle name="Normal 31 3" xfId="3387" xr:uid="{00000000-0005-0000-0000-000066190000}"/>
    <cellStyle name="Normal 31 4" xfId="5023" xr:uid="{00000000-0005-0000-0000-000067190000}"/>
    <cellStyle name="Normal 31 5" xfId="7347" xr:uid="{00000000-0005-0000-0000-000068190000}"/>
    <cellStyle name="Normal 31 6" xfId="2102" xr:uid="{00000000-0005-0000-0000-000069190000}"/>
    <cellStyle name="Normal 32" xfId="618" xr:uid="{00000000-0005-0000-0000-00006A190000}"/>
    <cellStyle name="Normal 32 2" xfId="2408" xr:uid="{00000000-0005-0000-0000-00006B190000}"/>
    <cellStyle name="Normal 32 2 2" xfId="3715" xr:uid="{00000000-0005-0000-0000-00006C190000}"/>
    <cellStyle name="Normal 32 2 2 2" xfId="6118" xr:uid="{00000000-0005-0000-0000-00006D190000}"/>
    <cellStyle name="Normal 32 2 2 3" xfId="8629" xr:uid="{00000000-0005-0000-0000-00006E190000}"/>
    <cellStyle name="Normal 32 2 3" xfId="4308" xr:uid="{00000000-0005-0000-0000-00006F190000}"/>
    <cellStyle name="Normal 32 2 4" xfId="7638" xr:uid="{00000000-0005-0000-0000-000070190000}"/>
    <cellStyle name="Normal 32 3" xfId="3388" xr:uid="{00000000-0005-0000-0000-000071190000}"/>
    <cellStyle name="Normal 32 4" xfId="5024" xr:uid="{00000000-0005-0000-0000-000072190000}"/>
    <cellStyle name="Normal 32 5" xfId="7348" xr:uid="{00000000-0005-0000-0000-000073190000}"/>
    <cellStyle name="Normal 32 6" xfId="2103" xr:uid="{00000000-0005-0000-0000-000074190000}"/>
    <cellStyle name="Normal 33" xfId="619" xr:uid="{00000000-0005-0000-0000-000075190000}"/>
    <cellStyle name="Normal 33 2" xfId="3716" xr:uid="{00000000-0005-0000-0000-000076190000}"/>
    <cellStyle name="Normal 33 2 2" xfId="6119" xr:uid="{00000000-0005-0000-0000-000077190000}"/>
    <cellStyle name="Normal 33 2 3" xfId="8630" xr:uid="{00000000-0005-0000-0000-000078190000}"/>
    <cellStyle name="Normal 33 3" xfId="3389" xr:uid="{00000000-0005-0000-0000-000079190000}"/>
    <cellStyle name="Normal 33 4" xfId="5025" xr:uid="{00000000-0005-0000-0000-00007A190000}"/>
    <cellStyle name="Normal 33 5" xfId="7349" xr:uid="{00000000-0005-0000-0000-00007B190000}"/>
    <cellStyle name="Normal 33 6" xfId="2104" xr:uid="{00000000-0005-0000-0000-00007C190000}"/>
    <cellStyle name="Normal 34" xfId="620" xr:uid="{00000000-0005-0000-0000-00007D190000}"/>
    <cellStyle name="Normal 34 2" xfId="2409" xr:uid="{00000000-0005-0000-0000-00007E190000}"/>
    <cellStyle name="Normal 34 2 2" xfId="3717" xr:uid="{00000000-0005-0000-0000-00007F190000}"/>
    <cellStyle name="Normal 34 2 2 2" xfId="6120" xr:uid="{00000000-0005-0000-0000-000080190000}"/>
    <cellStyle name="Normal 34 2 2 3" xfId="8631" xr:uid="{00000000-0005-0000-0000-000081190000}"/>
    <cellStyle name="Normal 34 2 3" xfId="4309" xr:uid="{00000000-0005-0000-0000-000082190000}"/>
    <cellStyle name="Normal 34 2 4" xfId="7639" xr:uid="{00000000-0005-0000-0000-000083190000}"/>
    <cellStyle name="Normal 34 3" xfId="3390" xr:uid="{00000000-0005-0000-0000-000084190000}"/>
    <cellStyle name="Normal 34 4" xfId="5026" xr:uid="{00000000-0005-0000-0000-000085190000}"/>
    <cellStyle name="Normal 34 5" xfId="7350" xr:uid="{00000000-0005-0000-0000-000086190000}"/>
    <cellStyle name="Normal 34 6" xfId="2105" xr:uid="{00000000-0005-0000-0000-000087190000}"/>
    <cellStyle name="Normal 35" xfId="621" xr:uid="{00000000-0005-0000-0000-000088190000}"/>
    <cellStyle name="Normal 35 2" xfId="2410" xr:uid="{00000000-0005-0000-0000-000089190000}"/>
    <cellStyle name="Normal 35 2 2" xfId="3718" xr:uid="{00000000-0005-0000-0000-00008A190000}"/>
    <cellStyle name="Normal 35 2 2 2" xfId="6121" xr:uid="{00000000-0005-0000-0000-00008B190000}"/>
    <cellStyle name="Normal 35 2 2 3" xfId="8632" xr:uid="{00000000-0005-0000-0000-00008C190000}"/>
    <cellStyle name="Normal 35 2 3" xfId="4310" xr:uid="{00000000-0005-0000-0000-00008D190000}"/>
    <cellStyle name="Normal 35 2 4" xfId="7640" xr:uid="{00000000-0005-0000-0000-00008E190000}"/>
    <cellStyle name="Normal 35 3" xfId="3391" xr:uid="{00000000-0005-0000-0000-00008F190000}"/>
    <cellStyle name="Normal 35 4" xfId="5027" xr:uid="{00000000-0005-0000-0000-000090190000}"/>
    <cellStyle name="Normal 35 5" xfId="7351" xr:uid="{00000000-0005-0000-0000-000091190000}"/>
    <cellStyle name="Normal 35 6" xfId="2106" xr:uid="{00000000-0005-0000-0000-000092190000}"/>
    <cellStyle name="Normal 36" xfId="622" xr:uid="{00000000-0005-0000-0000-000093190000}"/>
    <cellStyle name="Normal 36 2" xfId="5028" xr:uid="{00000000-0005-0000-0000-000094190000}"/>
    <cellStyle name="Normal 36 3" xfId="7352" xr:uid="{00000000-0005-0000-0000-000095190000}"/>
    <cellStyle name="Normal 36 4" xfId="2107" xr:uid="{00000000-0005-0000-0000-000096190000}"/>
    <cellStyle name="Normal 37" xfId="623" xr:uid="{00000000-0005-0000-0000-000097190000}"/>
    <cellStyle name="Normal 37 2" xfId="1640" xr:uid="{00000000-0005-0000-0000-000098190000}"/>
    <cellStyle name="Normal 37 2 2" xfId="2411" xr:uid="{00000000-0005-0000-0000-000099190000}"/>
    <cellStyle name="Normal 37 2 2 2" xfId="3694" xr:uid="{00000000-0005-0000-0000-00009A190000}"/>
    <cellStyle name="Normal 37 2 2 3" xfId="5664" xr:uid="{00000000-0005-0000-0000-00009B190000}"/>
    <cellStyle name="Normal 37 2 2 4" xfId="7641" xr:uid="{00000000-0005-0000-0000-00009C190000}"/>
    <cellStyle name="Normal 37 2 3" xfId="4311" xr:uid="{00000000-0005-0000-0000-00009D190000}"/>
    <cellStyle name="Normal 37 2 4" xfId="6889" xr:uid="{00000000-0005-0000-0000-00009E190000}"/>
    <cellStyle name="Normal 37 3" xfId="1836" xr:uid="{00000000-0005-0000-0000-00009F190000}"/>
    <cellStyle name="Normal 37 3 2" xfId="5857" xr:uid="{00000000-0005-0000-0000-0000A0190000}"/>
    <cellStyle name="Normal 37 3 3" xfId="7083" xr:uid="{00000000-0005-0000-0000-0000A1190000}"/>
    <cellStyle name="Normal 37 4" xfId="2021" xr:uid="{00000000-0005-0000-0000-0000A2190000}"/>
    <cellStyle name="Normal 37 4 2" xfId="6040" xr:uid="{00000000-0005-0000-0000-0000A3190000}"/>
    <cellStyle name="Normal 37 4 3" xfId="7268" xr:uid="{00000000-0005-0000-0000-0000A4190000}"/>
    <cellStyle name="Normal 37 5" xfId="5029" xr:uid="{00000000-0005-0000-0000-0000A5190000}"/>
    <cellStyle name="Normal 37 6" xfId="6622" xr:uid="{00000000-0005-0000-0000-0000A6190000}"/>
    <cellStyle name="Normal 37 7" xfId="1370" xr:uid="{00000000-0005-0000-0000-0000A7190000}"/>
    <cellStyle name="Normal 38" xfId="624" xr:uid="{00000000-0005-0000-0000-0000A8190000}"/>
    <cellStyle name="Normal 38 2" xfId="3719" xr:uid="{00000000-0005-0000-0000-0000A9190000}"/>
    <cellStyle name="Normal 38 2 2" xfId="6122" xr:uid="{00000000-0005-0000-0000-0000AA190000}"/>
    <cellStyle name="Normal 38 2 3" xfId="8633" xr:uid="{00000000-0005-0000-0000-0000AB190000}"/>
    <cellStyle name="Normal 38 3" xfId="3392" xr:uid="{00000000-0005-0000-0000-0000AC190000}"/>
    <cellStyle name="Normal 38 4" xfId="5030" xr:uid="{00000000-0005-0000-0000-0000AD190000}"/>
    <cellStyle name="Normal 38 5" xfId="7353" xr:uid="{00000000-0005-0000-0000-0000AE190000}"/>
    <cellStyle name="Normal 38 6" xfId="2108" xr:uid="{00000000-0005-0000-0000-0000AF190000}"/>
    <cellStyle name="Normal 39" xfId="625" xr:uid="{00000000-0005-0000-0000-0000B0190000}"/>
    <cellStyle name="Normal 39 2" xfId="2109" xr:uid="{00000000-0005-0000-0000-0000B1190000}"/>
    <cellStyle name="Normal 39 2 2" xfId="6123" xr:uid="{00000000-0005-0000-0000-0000B2190000}"/>
    <cellStyle name="Normal 39 2 3" xfId="7354" xr:uid="{00000000-0005-0000-0000-0000B3190000}"/>
    <cellStyle name="Normal 39 3" xfId="4312" xr:uid="{00000000-0005-0000-0000-0000B4190000}"/>
    <cellStyle name="Normal 39 4" xfId="6414" xr:uid="{00000000-0005-0000-0000-0000B5190000}"/>
    <cellStyle name="Normal 39 5" xfId="1160" xr:uid="{00000000-0005-0000-0000-0000B6190000}"/>
    <cellStyle name="Normal 4" xfId="626" xr:uid="{00000000-0005-0000-0000-0000B7190000}"/>
    <cellStyle name="Normal 4 10" xfId="627" xr:uid="{00000000-0005-0000-0000-0000B8190000}"/>
    <cellStyle name="Normal 4 10 2" xfId="3393" xr:uid="{00000000-0005-0000-0000-0000B9190000}"/>
    <cellStyle name="Normal 4 10 2 2" xfId="5031" xr:uid="{00000000-0005-0000-0000-0000BA190000}"/>
    <cellStyle name="Normal 4 10 2 3" xfId="8412" xr:uid="{00000000-0005-0000-0000-0000BB190000}"/>
    <cellStyle name="Normal 4 10 3" xfId="4532" xr:uid="{00000000-0005-0000-0000-0000BC190000}"/>
    <cellStyle name="Normal 4 10 4" xfId="7938" xr:uid="{00000000-0005-0000-0000-0000BD190000}"/>
    <cellStyle name="Normal 4 10 5" xfId="2761" xr:uid="{00000000-0005-0000-0000-0000BE190000}"/>
    <cellStyle name="Normal 4 11" xfId="3394" xr:uid="{00000000-0005-0000-0000-0000BF190000}"/>
    <cellStyle name="Normal 4 11 2" xfId="5032" xr:uid="{00000000-0005-0000-0000-0000C0190000}"/>
    <cellStyle name="Normal 4 11 3" xfId="8413" xr:uid="{00000000-0005-0000-0000-0000C1190000}"/>
    <cellStyle name="Normal 4 12" xfId="3561" xr:uid="{00000000-0005-0000-0000-0000C2190000}"/>
    <cellStyle name="Normal 4 12 2" xfId="5177" xr:uid="{00000000-0005-0000-0000-0000C3190000}"/>
    <cellStyle name="Normal 4 12 3" xfId="8550" xr:uid="{00000000-0005-0000-0000-0000C4190000}"/>
    <cellStyle name="Normal 4 13" xfId="2757" xr:uid="{00000000-0005-0000-0000-0000C5190000}"/>
    <cellStyle name="Normal 4 14" xfId="3875" xr:uid="{00000000-0005-0000-0000-0000C6190000}"/>
    <cellStyle name="Normal 4 15" xfId="6322" xr:uid="{00000000-0005-0000-0000-0000C7190000}"/>
    <cellStyle name="Normal 4 16" xfId="1040" xr:uid="{00000000-0005-0000-0000-0000C8190000}"/>
    <cellStyle name="Normal 4 2" xfId="628" xr:uid="{00000000-0005-0000-0000-0000C9190000}"/>
    <cellStyle name="Normal 4 2 10" xfId="6390" xr:uid="{00000000-0005-0000-0000-0000CA190000}"/>
    <cellStyle name="Normal 4 2 11" xfId="1119" xr:uid="{00000000-0005-0000-0000-0000CB190000}"/>
    <cellStyle name="Normal 4 2 2" xfId="1200" xr:uid="{00000000-0005-0000-0000-0000CC190000}"/>
    <cellStyle name="Normal 4 2 2 2" xfId="2712" xr:uid="{00000000-0005-0000-0000-0000CD190000}"/>
    <cellStyle name="Normal 4 2 2 2 2" xfId="2931" xr:uid="{00000000-0005-0000-0000-0000CE190000}"/>
    <cellStyle name="Normal 4 2 2 2 2 2" xfId="4599" xr:uid="{00000000-0005-0000-0000-0000CF190000}"/>
    <cellStyle name="Normal 4 2 2 2 2 3" xfId="7987" xr:uid="{00000000-0005-0000-0000-0000D0190000}"/>
    <cellStyle name="Normal 4 2 2 2 3" xfId="3024" xr:uid="{00000000-0005-0000-0000-0000D1190000}"/>
    <cellStyle name="Normal 4 2 2 2 3 2" xfId="4683" xr:uid="{00000000-0005-0000-0000-0000D2190000}"/>
    <cellStyle name="Normal 4 2 2 2 3 3" xfId="8080" xr:uid="{00000000-0005-0000-0000-0000D3190000}"/>
    <cellStyle name="Normal 4 2 2 2 4" xfId="3743" xr:uid="{00000000-0005-0000-0000-0000D4190000}"/>
    <cellStyle name="Normal 4 2 2 2 4 2" xfId="6142" xr:uid="{00000000-0005-0000-0000-0000D5190000}"/>
    <cellStyle name="Normal 4 2 2 2 4 3" xfId="8657" xr:uid="{00000000-0005-0000-0000-0000D6190000}"/>
    <cellStyle name="Normal 4 2 2 2 5" xfId="2826" xr:uid="{00000000-0005-0000-0000-0000D7190000}"/>
    <cellStyle name="Normal 4 2 2 2 6" xfId="4314" xr:uid="{00000000-0005-0000-0000-0000D8190000}"/>
    <cellStyle name="Normal 4 2 2 2 7" xfId="7906" xr:uid="{00000000-0005-0000-0000-0000D9190000}"/>
    <cellStyle name="Normal 4 2 2 3" xfId="2711" xr:uid="{00000000-0005-0000-0000-0000DA190000}"/>
    <cellStyle name="Normal 4 2 2 3 2" xfId="3616" xr:uid="{00000000-0005-0000-0000-0000DB190000}"/>
    <cellStyle name="Normal 4 2 2 3 3" xfId="5242" xr:uid="{00000000-0005-0000-0000-0000DC190000}"/>
    <cellStyle name="Normal 4 2 2 3 4" xfId="7905" xr:uid="{00000000-0005-0000-0000-0000DD190000}"/>
    <cellStyle name="Normal 4 2 2 4" xfId="4313" xr:uid="{00000000-0005-0000-0000-0000DE190000}"/>
    <cellStyle name="Normal 4 2 2 5" xfId="6452" xr:uid="{00000000-0005-0000-0000-0000DF190000}"/>
    <cellStyle name="Normal 4 2 3" xfId="1161" xr:uid="{00000000-0005-0000-0000-0000E0190000}"/>
    <cellStyle name="Normal 4 2 3 2" xfId="2713" xr:uid="{00000000-0005-0000-0000-0000E1190000}"/>
    <cellStyle name="Normal 4 2 3 3" xfId="4315" xr:uid="{00000000-0005-0000-0000-0000E2190000}"/>
    <cellStyle name="Normal 4 2 3 4" xfId="6415" xr:uid="{00000000-0005-0000-0000-0000E3190000}"/>
    <cellStyle name="Normal 4 2 3 5" xfId="9130" xr:uid="{00000000-0005-0000-0000-0000E4190000}"/>
    <cellStyle name="Normal 4 2 4" xfId="2412" xr:uid="{00000000-0005-0000-0000-0000E5190000}"/>
    <cellStyle name="Normal 4 2 4 2" xfId="3771" xr:uid="{00000000-0005-0000-0000-0000E6190000}"/>
    <cellStyle name="Normal 4 2 4 2 2" xfId="6166" xr:uid="{00000000-0005-0000-0000-0000E7190000}"/>
    <cellStyle name="Normal 4 2 4 2 3" xfId="8683" xr:uid="{00000000-0005-0000-0000-0000E8190000}"/>
    <cellStyle name="Normal 4 2 4 3" xfId="2882" xr:uid="{00000000-0005-0000-0000-0000E9190000}"/>
    <cellStyle name="Normal 4 2 4 4" xfId="4548" xr:uid="{00000000-0005-0000-0000-0000EA190000}"/>
    <cellStyle name="Normal 4 2 4 5" xfId="7642" xr:uid="{00000000-0005-0000-0000-0000EB190000}"/>
    <cellStyle name="Normal 4 2 5" xfId="2972" xr:uid="{00000000-0005-0000-0000-0000EC190000}"/>
    <cellStyle name="Normal 4 2 5 2" xfId="3801" xr:uid="{00000000-0005-0000-0000-0000ED190000}"/>
    <cellStyle name="Normal 4 2 5 2 2" xfId="6191" xr:uid="{00000000-0005-0000-0000-0000EE190000}"/>
    <cellStyle name="Normal 4 2 5 2 3" xfId="8712" xr:uid="{00000000-0005-0000-0000-0000EF190000}"/>
    <cellStyle name="Normal 4 2 5 3" xfId="4633" xr:uid="{00000000-0005-0000-0000-0000F0190000}"/>
    <cellStyle name="Normal 4 2 5 4" xfId="8028" xr:uid="{00000000-0005-0000-0000-0000F1190000}"/>
    <cellStyle name="Normal 4 2 6" xfId="3395" xr:uid="{00000000-0005-0000-0000-0000F2190000}"/>
    <cellStyle name="Normal 4 2 6 2" xfId="5033" xr:uid="{00000000-0005-0000-0000-0000F3190000}"/>
    <cellStyle name="Normal 4 2 6 3" xfId="8414" xr:uid="{00000000-0005-0000-0000-0000F4190000}"/>
    <cellStyle name="Normal 4 2 7" xfId="3849" xr:uid="{00000000-0005-0000-0000-0000F5190000}"/>
    <cellStyle name="Normal 4 2 7 2" xfId="6226" xr:uid="{00000000-0005-0000-0000-0000F6190000}"/>
    <cellStyle name="Normal 4 2 7 3" xfId="8760" xr:uid="{00000000-0005-0000-0000-0000F7190000}"/>
    <cellStyle name="Normal 4 2 8" xfId="2767" xr:uid="{00000000-0005-0000-0000-0000F8190000}"/>
    <cellStyle name="Normal 4 2 9" xfId="3876" xr:uid="{00000000-0005-0000-0000-0000F9190000}"/>
    <cellStyle name="Normal 4 3" xfId="629" xr:uid="{00000000-0005-0000-0000-0000FA190000}"/>
    <cellStyle name="Normal 4 3 2" xfId="1244" xr:uid="{00000000-0005-0000-0000-0000FB190000}"/>
    <cellStyle name="Normal 4 3 2 2" xfId="3630" xr:uid="{00000000-0005-0000-0000-0000FC190000}"/>
    <cellStyle name="Normal 4 3 2 2 2" xfId="5281" xr:uid="{00000000-0005-0000-0000-0000FD190000}"/>
    <cellStyle name="Normal 4 3 2 2 3" xfId="8596" xr:uid="{00000000-0005-0000-0000-0000FE190000}"/>
    <cellStyle name="Normal 4 3 2 3" xfId="3823" xr:uid="{00000000-0005-0000-0000-0000FF190000}"/>
    <cellStyle name="Normal 4 3 2 3 2" xfId="6207" xr:uid="{00000000-0005-0000-0000-0000001A0000}"/>
    <cellStyle name="Normal 4 3 2 3 3" xfId="8734" xr:uid="{00000000-0005-0000-0000-0000011A0000}"/>
    <cellStyle name="Normal 4 3 2 4" xfId="2908" xr:uid="{00000000-0005-0000-0000-0000021A0000}"/>
    <cellStyle name="Normal 4 3 2 5" xfId="4575" xr:uid="{00000000-0005-0000-0000-0000031A0000}"/>
    <cellStyle name="Normal 4 3 2 6" xfId="6496" xr:uid="{00000000-0005-0000-0000-0000041A0000}"/>
    <cellStyle name="Normal 4 3 3" xfId="2998" xr:uid="{00000000-0005-0000-0000-0000051A0000}"/>
    <cellStyle name="Normal 4 3 3 2" xfId="3785" xr:uid="{00000000-0005-0000-0000-0000061A0000}"/>
    <cellStyle name="Normal 4 3 3 2 2" xfId="6176" xr:uid="{00000000-0005-0000-0000-0000071A0000}"/>
    <cellStyle name="Normal 4 3 3 2 3" xfId="8696" xr:uid="{00000000-0005-0000-0000-0000081A0000}"/>
    <cellStyle name="Normal 4 3 3 3" xfId="4660" xr:uid="{00000000-0005-0000-0000-0000091A0000}"/>
    <cellStyle name="Normal 4 3 3 4" xfId="8054" xr:uid="{00000000-0005-0000-0000-00000A1A0000}"/>
    <cellStyle name="Normal 4 3 4" xfId="3396" xr:uid="{00000000-0005-0000-0000-00000B1A0000}"/>
    <cellStyle name="Normal 4 3 4 2" xfId="5034" xr:uid="{00000000-0005-0000-0000-00000C1A0000}"/>
    <cellStyle name="Normal 4 3 4 3" xfId="8415" xr:uid="{00000000-0005-0000-0000-00000D1A0000}"/>
    <cellStyle name="Normal 4 3 5" xfId="3780" xr:uid="{00000000-0005-0000-0000-00000E1A0000}"/>
    <cellStyle name="Normal 4 3 5 2" xfId="6173" xr:uid="{00000000-0005-0000-0000-00000F1A0000}"/>
    <cellStyle name="Normal 4 3 5 3" xfId="8691" xr:uid="{00000000-0005-0000-0000-0000101A0000}"/>
    <cellStyle name="Normal 4 3 6" xfId="2794" xr:uid="{00000000-0005-0000-0000-0000111A0000}"/>
    <cellStyle name="Normal 4 3 7" xfId="4316" xr:uid="{00000000-0005-0000-0000-0000121A0000}"/>
    <cellStyle name="Normal 4 3 8" xfId="6391" xr:uid="{00000000-0005-0000-0000-0000131A0000}"/>
    <cellStyle name="Normal 4 3 9" xfId="1120" xr:uid="{00000000-0005-0000-0000-0000141A0000}"/>
    <cellStyle name="Normal 4 4" xfId="630" xr:uid="{00000000-0005-0000-0000-0000151A0000}"/>
    <cellStyle name="Normal 4 4 2" xfId="1295" xr:uid="{00000000-0005-0000-0000-0000161A0000}"/>
    <cellStyle name="Normal 4 4 2 2" xfId="5331" xr:uid="{00000000-0005-0000-0000-0000171A0000}"/>
    <cellStyle name="Normal 4 4 2 3" xfId="6547" xr:uid="{00000000-0005-0000-0000-0000181A0000}"/>
    <cellStyle name="Normal 4 4 3" xfId="4317" xr:uid="{00000000-0005-0000-0000-0000191A0000}"/>
    <cellStyle name="Normal 4 4 4" xfId="6389" xr:uid="{00000000-0005-0000-0000-00001A1A0000}"/>
    <cellStyle name="Normal 4 4 5" xfId="1118" xr:uid="{00000000-0005-0000-0000-00001B1A0000}"/>
    <cellStyle name="Normal 4 5" xfId="631" xr:uid="{00000000-0005-0000-0000-00001C1A0000}"/>
    <cellStyle name="Normal 4 5 2" xfId="2714" xr:uid="{00000000-0005-0000-0000-00001D1A0000}"/>
    <cellStyle name="Normal 4 5 2 2" xfId="3675" xr:uid="{00000000-0005-0000-0000-00001E1A0000}"/>
    <cellStyle name="Normal 4 5 2 3" xfId="5472" xr:uid="{00000000-0005-0000-0000-00001F1A0000}"/>
    <cellStyle name="Normal 4 5 2 4" xfId="7907" xr:uid="{00000000-0005-0000-0000-0000201A0000}"/>
    <cellStyle name="Normal 4 5 3" xfId="3397" xr:uid="{00000000-0005-0000-0000-0000211A0000}"/>
    <cellStyle name="Normal 4 5 3 2" xfId="5035" xr:uid="{00000000-0005-0000-0000-0000221A0000}"/>
    <cellStyle name="Normal 4 5 3 3" xfId="8416" xr:uid="{00000000-0005-0000-0000-0000231A0000}"/>
    <cellStyle name="Normal 4 5 4" xfId="4318" xr:uid="{00000000-0005-0000-0000-0000241A0000}"/>
    <cellStyle name="Normal 4 5 5" xfId="6695" xr:uid="{00000000-0005-0000-0000-0000251A0000}"/>
    <cellStyle name="Normal 4 5 6" xfId="1443" xr:uid="{00000000-0005-0000-0000-0000261A0000}"/>
    <cellStyle name="Normal 4 6" xfId="632" xr:uid="{00000000-0005-0000-0000-0000271A0000}"/>
    <cellStyle name="Normal 4 6 2" xfId="2715" xr:uid="{00000000-0005-0000-0000-0000281A0000}"/>
    <cellStyle name="Normal 4 6 2 2" xfId="3692" xr:uid="{00000000-0005-0000-0000-0000291A0000}"/>
    <cellStyle name="Normal 4 6 2 2 2" xfId="5659" xr:uid="{00000000-0005-0000-0000-00002A1A0000}"/>
    <cellStyle name="Normal 4 6 2 2 3" xfId="8617" xr:uid="{00000000-0005-0000-0000-00002B1A0000}"/>
    <cellStyle name="Normal 4 6 2 3" xfId="4631" xr:uid="{00000000-0005-0000-0000-00002C1A0000}"/>
    <cellStyle name="Normal 4 6 2 4" xfId="7908" xr:uid="{00000000-0005-0000-0000-00002D1A0000}"/>
    <cellStyle name="Normal 4 6 3" xfId="3072" xr:uid="{00000000-0005-0000-0000-00002E1A0000}"/>
    <cellStyle name="Normal 4 6 3 2" xfId="4714" xr:uid="{00000000-0005-0000-0000-00002F1A0000}"/>
    <cellStyle name="Normal 4 6 3 3" xfId="8128" xr:uid="{00000000-0005-0000-0000-0000301A0000}"/>
    <cellStyle name="Normal 4 6 4" xfId="3398" xr:uid="{00000000-0005-0000-0000-0000311A0000}"/>
    <cellStyle name="Normal 4 6 4 2" xfId="5036" xr:uid="{00000000-0005-0000-0000-0000321A0000}"/>
    <cellStyle name="Normal 4 6 4 3" xfId="8417" xr:uid="{00000000-0005-0000-0000-0000331A0000}"/>
    <cellStyle name="Normal 4 6 5" xfId="3779" xr:uid="{00000000-0005-0000-0000-0000341A0000}"/>
    <cellStyle name="Normal 4 6 5 2" xfId="6172" xr:uid="{00000000-0005-0000-0000-0000351A0000}"/>
    <cellStyle name="Normal 4 6 5 3" xfId="8690" xr:uid="{00000000-0005-0000-0000-0000361A0000}"/>
    <cellStyle name="Normal 4 6 6" xfId="2879" xr:uid="{00000000-0005-0000-0000-0000371A0000}"/>
    <cellStyle name="Normal 4 6 7" xfId="4319" xr:uid="{00000000-0005-0000-0000-0000381A0000}"/>
    <cellStyle name="Normal 4 6 8" xfId="6884" xr:uid="{00000000-0005-0000-0000-0000391A0000}"/>
    <cellStyle name="Normal 4 6 9" xfId="1633" xr:uid="{00000000-0005-0000-0000-00003A1A0000}"/>
    <cellStyle name="Normal 4 7" xfId="633" xr:uid="{00000000-0005-0000-0000-00003B1A0000}"/>
    <cellStyle name="Normal 4 7 2" xfId="2716" xr:uid="{00000000-0005-0000-0000-00003C1A0000}"/>
    <cellStyle name="Normal 4 7 2 2" xfId="3701" xr:uid="{00000000-0005-0000-0000-00003D1A0000}"/>
    <cellStyle name="Normal 4 7 2 3" xfId="5781" xr:uid="{00000000-0005-0000-0000-00003E1A0000}"/>
    <cellStyle name="Normal 4 7 2 4" xfId="7909" xr:uid="{00000000-0005-0000-0000-00003F1A0000}"/>
    <cellStyle name="Normal 4 7 3" xfId="3399" xr:uid="{00000000-0005-0000-0000-0000401A0000}"/>
    <cellStyle name="Normal 4 7 3 2" xfId="5037" xr:uid="{00000000-0005-0000-0000-0000411A0000}"/>
    <cellStyle name="Normal 4 7 3 3" xfId="8418" xr:uid="{00000000-0005-0000-0000-0000421A0000}"/>
    <cellStyle name="Normal 4 7 4" xfId="2766" xr:uid="{00000000-0005-0000-0000-0000431A0000}"/>
    <cellStyle name="Normal 4 7 5" xfId="4320" xr:uid="{00000000-0005-0000-0000-0000441A0000}"/>
    <cellStyle name="Normal 4 7 6" xfId="7006" xr:uid="{00000000-0005-0000-0000-0000451A0000}"/>
    <cellStyle name="Normal 4 7 7" xfId="1759" xr:uid="{00000000-0005-0000-0000-0000461A0000}"/>
    <cellStyle name="Normal 4 8" xfId="634" xr:uid="{00000000-0005-0000-0000-0000471A0000}"/>
    <cellStyle name="Normal 4 8 2" xfId="3569" xr:uid="{00000000-0005-0000-0000-0000481A0000}"/>
    <cellStyle name="Normal 4 8 2 2" xfId="5181" xr:uid="{00000000-0005-0000-0000-0000491A0000}"/>
    <cellStyle name="Normal 4 8 2 3" xfId="8553" xr:uid="{00000000-0005-0000-0000-00004A1A0000}"/>
    <cellStyle name="Normal 4 8 3" xfId="3400" xr:uid="{00000000-0005-0000-0000-00004B1A0000}"/>
    <cellStyle name="Normal 4 8 3 2" xfId="5038" xr:uid="{00000000-0005-0000-0000-00004C1A0000}"/>
    <cellStyle name="Normal 4 8 3 3" xfId="8419" xr:uid="{00000000-0005-0000-0000-00004D1A0000}"/>
    <cellStyle name="Normal 4 8 4" xfId="2881" xr:uid="{00000000-0005-0000-0000-00004E1A0000}"/>
    <cellStyle name="Normal 4 8 5" xfId="4547" xr:uid="{00000000-0005-0000-0000-00004F1A0000}"/>
    <cellStyle name="Normal 4 8 6" xfId="6428" xr:uid="{00000000-0005-0000-0000-0000501A0000}"/>
    <cellStyle name="Normal 4 8 7" xfId="1176" xr:uid="{00000000-0005-0000-0000-0000511A0000}"/>
    <cellStyle name="Normal 4 9" xfId="635" xr:uid="{00000000-0005-0000-0000-0000521A0000}"/>
    <cellStyle name="Normal 4 9 2" xfId="3401" xr:uid="{00000000-0005-0000-0000-0000531A0000}"/>
    <cellStyle name="Normal 4 9 2 2" xfId="5039" xr:uid="{00000000-0005-0000-0000-0000541A0000}"/>
    <cellStyle name="Normal 4 9 2 3" xfId="8420" xr:uid="{00000000-0005-0000-0000-0000551A0000}"/>
    <cellStyle name="Normal 4 9 3" xfId="4632" xr:uid="{00000000-0005-0000-0000-0000561A0000}"/>
    <cellStyle name="Normal 4 9 4" xfId="8027" xr:uid="{00000000-0005-0000-0000-0000571A0000}"/>
    <cellStyle name="Normal 4 9 5" xfId="2971" xr:uid="{00000000-0005-0000-0000-0000581A0000}"/>
    <cellStyle name="Normal 4_global_PO" xfId="3402" xr:uid="{00000000-0005-0000-0000-0000591A0000}"/>
    <cellStyle name="Normal 40" xfId="636" xr:uid="{00000000-0005-0000-0000-00005A1A0000}"/>
    <cellStyle name="Normal 40 2" xfId="2413" xr:uid="{00000000-0005-0000-0000-00005B1A0000}"/>
    <cellStyle name="Normal 40 2 2" xfId="4321" xr:uid="{00000000-0005-0000-0000-00005C1A0000}"/>
    <cellStyle name="Normal 40 2 3" xfId="7643" xr:uid="{00000000-0005-0000-0000-00005D1A0000}"/>
    <cellStyle name="Normal 40 3" xfId="6124" xr:uid="{00000000-0005-0000-0000-00005E1A0000}"/>
    <cellStyle name="Normal 40 4" xfId="7355" xr:uid="{00000000-0005-0000-0000-00005F1A0000}"/>
    <cellStyle name="Normal 40 5" xfId="2110" xr:uid="{00000000-0005-0000-0000-0000601A0000}"/>
    <cellStyle name="Normal 41" xfId="637" xr:uid="{00000000-0005-0000-0000-0000611A0000}"/>
    <cellStyle name="Normal 41 2" xfId="1641" xr:uid="{00000000-0005-0000-0000-0000621A0000}"/>
    <cellStyle name="Normal 41 2 2" xfId="5665" xr:uid="{00000000-0005-0000-0000-0000631A0000}"/>
    <cellStyle name="Normal 41 2 3" xfId="6890" xr:uid="{00000000-0005-0000-0000-0000641A0000}"/>
    <cellStyle name="Normal 41 3" xfId="1837" xr:uid="{00000000-0005-0000-0000-0000651A0000}"/>
    <cellStyle name="Normal 41 3 2" xfId="5858" xr:uid="{00000000-0005-0000-0000-0000661A0000}"/>
    <cellStyle name="Normal 41 3 3" xfId="7084" xr:uid="{00000000-0005-0000-0000-0000671A0000}"/>
    <cellStyle name="Normal 41 4" xfId="2022" xr:uid="{00000000-0005-0000-0000-0000681A0000}"/>
    <cellStyle name="Normal 41 4 2" xfId="6041" xr:uid="{00000000-0005-0000-0000-0000691A0000}"/>
    <cellStyle name="Normal 41 4 3" xfId="7269" xr:uid="{00000000-0005-0000-0000-00006A1A0000}"/>
    <cellStyle name="Normal 41 5" xfId="5402" xr:uid="{00000000-0005-0000-0000-00006B1A0000}"/>
    <cellStyle name="Normal 41 6" xfId="6623" xr:uid="{00000000-0005-0000-0000-00006C1A0000}"/>
    <cellStyle name="Normal 41 7" xfId="1371" xr:uid="{00000000-0005-0000-0000-00006D1A0000}"/>
    <cellStyle name="Normal 42" xfId="638" xr:uid="{00000000-0005-0000-0000-00006E1A0000}"/>
    <cellStyle name="Normal 42 2" xfId="1642" xr:uid="{00000000-0005-0000-0000-00006F1A0000}"/>
    <cellStyle name="Normal 42 2 2" xfId="5666" xr:uid="{00000000-0005-0000-0000-0000701A0000}"/>
    <cellStyle name="Normal 42 2 3" xfId="6891" xr:uid="{00000000-0005-0000-0000-0000711A0000}"/>
    <cellStyle name="Normal 42 3" xfId="1838" xr:uid="{00000000-0005-0000-0000-0000721A0000}"/>
    <cellStyle name="Normal 42 3 2" xfId="5859" xr:uid="{00000000-0005-0000-0000-0000731A0000}"/>
    <cellStyle name="Normal 42 3 3" xfId="7085" xr:uid="{00000000-0005-0000-0000-0000741A0000}"/>
    <cellStyle name="Normal 42 4" xfId="2023" xr:uid="{00000000-0005-0000-0000-0000751A0000}"/>
    <cellStyle name="Normal 42 4 2" xfId="6042" xr:uid="{00000000-0005-0000-0000-0000761A0000}"/>
    <cellStyle name="Normal 42 4 3" xfId="7270" xr:uid="{00000000-0005-0000-0000-0000771A0000}"/>
    <cellStyle name="Normal 42 5" xfId="5403" xr:uid="{00000000-0005-0000-0000-0000781A0000}"/>
    <cellStyle name="Normal 42 6" xfId="6624" xr:uid="{00000000-0005-0000-0000-0000791A0000}"/>
    <cellStyle name="Normal 42 7" xfId="1372" xr:uid="{00000000-0005-0000-0000-00007A1A0000}"/>
    <cellStyle name="Normal 43" xfId="639" xr:uid="{00000000-0005-0000-0000-00007B1A0000}"/>
    <cellStyle name="Normal 43 2" xfId="1643" xr:uid="{00000000-0005-0000-0000-00007C1A0000}"/>
    <cellStyle name="Normal 43 2 2" xfId="5667" xr:uid="{00000000-0005-0000-0000-00007D1A0000}"/>
    <cellStyle name="Normal 43 2 3" xfId="6892" xr:uid="{00000000-0005-0000-0000-00007E1A0000}"/>
    <cellStyle name="Normal 43 3" xfId="1839" xr:uid="{00000000-0005-0000-0000-00007F1A0000}"/>
    <cellStyle name="Normal 43 3 2" xfId="5860" xr:uid="{00000000-0005-0000-0000-0000801A0000}"/>
    <cellStyle name="Normal 43 3 3" xfId="7086" xr:uid="{00000000-0005-0000-0000-0000811A0000}"/>
    <cellStyle name="Normal 43 4" xfId="2024" xr:uid="{00000000-0005-0000-0000-0000821A0000}"/>
    <cellStyle name="Normal 43 4 2" xfId="6043" xr:uid="{00000000-0005-0000-0000-0000831A0000}"/>
    <cellStyle name="Normal 43 4 3" xfId="7271" xr:uid="{00000000-0005-0000-0000-0000841A0000}"/>
    <cellStyle name="Normal 43 5" xfId="5404" xr:uid="{00000000-0005-0000-0000-0000851A0000}"/>
    <cellStyle name="Normal 43 6" xfId="6625" xr:uid="{00000000-0005-0000-0000-0000861A0000}"/>
    <cellStyle name="Normal 43 7" xfId="1373" xr:uid="{00000000-0005-0000-0000-0000871A0000}"/>
    <cellStyle name="Normal 44" xfId="640" xr:uid="{00000000-0005-0000-0000-0000881A0000}"/>
    <cellStyle name="Normal 44 2" xfId="6126" xr:uid="{00000000-0005-0000-0000-0000891A0000}"/>
    <cellStyle name="Normal 44 3" xfId="8635" xr:uid="{00000000-0005-0000-0000-00008A1A0000}"/>
    <cellStyle name="Normal 44 4" xfId="3721" xr:uid="{00000000-0005-0000-0000-00008B1A0000}"/>
    <cellStyle name="Normal 45" xfId="641" xr:uid="{00000000-0005-0000-0000-00008C1A0000}"/>
    <cellStyle name="Normal 45 2" xfId="6127" xr:uid="{00000000-0005-0000-0000-00008D1A0000}"/>
    <cellStyle name="Normal 45 3" xfId="8636" xr:uid="{00000000-0005-0000-0000-00008E1A0000}"/>
    <cellStyle name="Normal 45 4" xfId="3722" xr:uid="{00000000-0005-0000-0000-00008F1A0000}"/>
    <cellStyle name="Normal 46" xfId="642" xr:uid="{00000000-0005-0000-0000-0000901A0000}"/>
    <cellStyle name="Normal 46 2" xfId="6125" xr:uid="{00000000-0005-0000-0000-0000911A0000}"/>
    <cellStyle name="Normal 46 3" xfId="8634" xr:uid="{00000000-0005-0000-0000-0000921A0000}"/>
    <cellStyle name="Normal 46 4" xfId="3720" xr:uid="{00000000-0005-0000-0000-0000931A0000}"/>
    <cellStyle name="Normal 47" xfId="643" xr:uid="{00000000-0005-0000-0000-0000941A0000}"/>
    <cellStyle name="Normal 47 2" xfId="4725" xr:uid="{00000000-0005-0000-0000-0000951A0000}"/>
    <cellStyle name="Normal 47 3" xfId="8129" xr:uid="{00000000-0005-0000-0000-0000961A0000}"/>
    <cellStyle name="Normal 47 4" xfId="3073" xr:uid="{00000000-0005-0000-0000-0000971A0000}"/>
    <cellStyle name="Normal 48" xfId="644" xr:uid="{00000000-0005-0000-0000-0000981A0000}"/>
    <cellStyle name="Normal 48 2" xfId="3854" xr:uid="{00000000-0005-0000-0000-0000991A0000}"/>
    <cellStyle name="Normal 49" xfId="645" xr:uid="{00000000-0005-0000-0000-00009A1A0000}"/>
    <cellStyle name="Normal 49 2" xfId="3884" xr:uid="{00000000-0005-0000-0000-00009B1A0000}"/>
    <cellStyle name="Normal 5" xfId="646" xr:uid="{00000000-0005-0000-0000-00009C1A0000}"/>
    <cellStyle name="Normal 5 10" xfId="647" xr:uid="{00000000-0005-0000-0000-00009D1A0000}"/>
    <cellStyle name="Normal 5 10 2" xfId="648" xr:uid="{00000000-0005-0000-0000-00009E1A0000}"/>
    <cellStyle name="Normal 5 10 2 10" xfId="649" xr:uid="{00000000-0005-0000-0000-00009F1A0000}"/>
    <cellStyle name="Normal 5 10 2 11" xfId="650" xr:uid="{00000000-0005-0000-0000-0000A01A0000}"/>
    <cellStyle name="Normal 5 10 2 12" xfId="651" xr:uid="{00000000-0005-0000-0000-0000A11A0000}"/>
    <cellStyle name="Normal 5 10 2 2" xfId="652" xr:uid="{00000000-0005-0000-0000-0000A21A0000}"/>
    <cellStyle name="Normal 5 10 2 3" xfId="653" xr:uid="{00000000-0005-0000-0000-0000A31A0000}"/>
    <cellStyle name="Normal 5 10 2 4" xfId="654" xr:uid="{00000000-0005-0000-0000-0000A41A0000}"/>
    <cellStyle name="Normal 5 10 2 5" xfId="655" xr:uid="{00000000-0005-0000-0000-0000A51A0000}"/>
    <cellStyle name="Normal 5 10 2 6" xfId="656" xr:uid="{00000000-0005-0000-0000-0000A61A0000}"/>
    <cellStyle name="Normal 5 10 2 7" xfId="657" xr:uid="{00000000-0005-0000-0000-0000A71A0000}"/>
    <cellStyle name="Normal 5 10 2 8" xfId="658" xr:uid="{00000000-0005-0000-0000-0000A81A0000}"/>
    <cellStyle name="Normal 5 10 2 9" xfId="659" xr:uid="{00000000-0005-0000-0000-0000A91A0000}"/>
    <cellStyle name="Normal 5 10 3" xfId="7645" xr:uid="{00000000-0005-0000-0000-0000AA1A0000}"/>
    <cellStyle name="Normal 5 10 4" xfId="2415" xr:uid="{00000000-0005-0000-0000-0000AB1A0000}"/>
    <cellStyle name="Normal 5 11" xfId="2416" xr:uid="{00000000-0005-0000-0000-0000AC1A0000}"/>
    <cellStyle name="Normal 5 11 2" xfId="4322" xr:uid="{00000000-0005-0000-0000-0000AD1A0000}"/>
    <cellStyle name="Normal 5 11 3" xfId="7646" xr:uid="{00000000-0005-0000-0000-0000AE1A0000}"/>
    <cellStyle name="Normal 5 12" xfId="2417" xr:uid="{00000000-0005-0000-0000-0000AF1A0000}"/>
    <cellStyle name="Normal 5 12 2" xfId="4323" xr:uid="{00000000-0005-0000-0000-0000B01A0000}"/>
    <cellStyle name="Normal 5 12 3" xfId="7647" xr:uid="{00000000-0005-0000-0000-0000B11A0000}"/>
    <cellStyle name="Normal 5 13" xfId="2418" xr:uid="{00000000-0005-0000-0000-0000B21A0000}"/>
    <cellStyle name="Normal 5 13 2" xfId="4324" xr:uid="{00000000-0005-0000-0000-0000B31A0000}"/>
    <cellStyle name="Normal 5 13 3" xfId="7648" xr:uid="{00000000-0005-0000-0000-0000B41A0000}"/>
    <cellStyle name="Normal 5 14" xfId="2419" xr:uid="{00000000-0005-0000-0000-0000B51A0000}"/>
    <cellStyle name="Normal 5 14 2" xfId="4325" xr:uid="{00000000-0005-0000-0000-0000B61A0000}"/>
    <cellStyle name="Normal 5 14 3" xfId="7649" xr:uid="{00000000-0005-0000-0000-0000B71A0000}"/>
    <cellStyle name="Normal 5 15" xfId="2420" xr:uid="{00000000-0005-0000-0000-0000B81A0000}"/>
    <cellStyle name="Normal 5 15 2" xfId="4326" xr:uid="{00000000-0005-0000-0000-0000B91A0000}"/>
    <cellStyle name="Normal 5 15 3" xfId="7650" xr:uid="{00000000-0005-0000-0000-0000BA1A0000}"/>
    <cellStyle name="Normal 5 16" xfId="2421" xr:uid="{00000000-0005-0000-0000-0000BB1A0000}"/>
    <cellStyle name="Normal 5 16 2" xfId="4327" xr:uid="{00000000-0005-0000-0000-0000BC1A0000}"/>
    <cellStyle name="Normal 5 16 3" xfId="7651" xr:uid="{00000000-0005-0000-0000-0000BD1A0000}"/>
    <cellStyle name="Normal 5 17" xfId="2422" xr:uid="{00000000-0005-0000-0000-0000BE1A0000}"/>
    <cellStyle name="Normal 5 17 2" xfId="4328" xr:uid="{00000000-0005-0000-0000-0000BF1A0000}"/>
    <cellStyle name="Normal 5 17 3" xfId="7652" xr:uid="{00000000-0005-0000-0000-0000C01A0000}"/>
    <cellStyle name="Normal 5 18" xfId="2423" xr:uid="{00000000-0005-0000-0000-0000C11A0000}"/>
    <cellStyle name="Normal 5 18 2" xfId="4329" xr:uid="{00000000-0005-0000-0000-0000C21A0000}"/>
    <cellStyle name="Normal 5 18 3" xfId="7653" xr:uid="{00000000-0005-0000-0000-0000C31A0000}"/>
    <cellStyle name="Normal 5 19" xfId="2424" xr:uid="{00000000-0005-0000-0000-0000C41A0000}"/>
    <cellStyle name="Normal 5 19 2" xfId="4330" xr:uid="{00000000-0005-0000-0000-0000C51A0000}"/>
    <cellStyle name="Normal 5 19 3" xfId="7654" xr:uid="{00000000-0005-0000-0000-0000C61A0000}"/>
    <cellStyle name="Normal 5 2" xfId="660" xr:uid="{00000000-0005-0000-0000-0000C71A0000}"/>
    <cellStyle name="Normal 5 2 10" xfId="6392" xr:uid="{00000000-0005-0000-0000-0000C81A0000}"/>
    <cellStyle name="Normal 5 2 11" xfId="1121" xr:uid="{00000000-0005-0000-0000-0000C91A0000}"/>
    <cellStyle name="Normal 5 2 2" xfId="661" xr:uid="{00000000-0005-0000-0000-0000CA1A0000}"/>
    <cellStyle name="Normal 5 2 2 2" xfId="1545" xr:uid="{00000000-0005-0000-0000-0000CB1A0000}"/>
    <cellStyle name="Normal 5 2 2 2 2" xfId="3684" xr:uid="{00000000-0005-0000-0000-0000CC1A0000}"/>
    <cellStyle name="Normal 5 2 2 2 2 2" xfId="5572" xr:uid="{00000000-0005-0000-0000-0000CD1A0000}"/>
    <cellStyle name="Normal 5 2 2 2 2 3" xfId="8612" xr:uid="{00000000-0005-0000-0000-0000CE1A0000}"/>
    <cellStyle name="Normal 5 2 2 2 3" xfId="4592" xr:uid="{00000000-0005-0000-0000-0000CF1A0000}"/>
    <cellStyle name="Normal 5 2 2 2 4" xfId="6797" xr:uid="{00000000-0005-0000-0000-0000D01A0000}"/>
    <cellStyle name="Normal 5 2 2 3" xfId="1750" xr:uid="{00000000-0005-0000-0000-0000D11A0000}"/>
    <cellStyle name="Normal 5 2 2 3 2" xfId="3699" xr:uid="{00000000-0005-0000-0000-0000D21A0000}"/>
    <cellStyle name="Normal 5 2 2 3 2 2" xfId="5772" xr:uid="{00000000-0005-0000-0000-0000D31A0000}"/>
    <cellStyle name="Normal 5 2 2 3 2 3" xfId="8619" xr:uid="{00000000-0005-0000-0000-0000D41A0000}"/>
    <cellStyle name="Normal 5 2 2 3 3" xfId="4676" xr:uid="{00000000-0005-0000-0000-0000D51A0000}"/>
    <cellStyle name="Normal 5 2 2 3 4" xfId="6997" xr:uid="{00000000-0005-0000-0000-0000D61A0000}"/>
    <cellStyle name="Normal 5 2 2 4" xfId="1908" xr:uid="{00000000-0005-0000-0000-0000D71A0000}"/>
    <cellStyle name="Normal 5 2 2 4 2" xfId="5928" xr:uid="{00000000-0005-0000-0000-0000D81A0000}"/>
    <cellStyle name="Normal 5 2 2 4 3" xfId="7155" xr:uid="{00000000-0005-0000-0000-0000D91A0000}"/>
    <cellStyle name="Normal 5 2 2 5" xfId="3638" xr:uid="{00000000-0005-0000-0000-0000DA1A0000}"/>
    <cellStyle name="Normal 5 2 2 5 2" xfId="5310" xr:uid="{00000000-0005-0000-0000-0000DB1A0000}"/>
    <cellStyle name="Normal 5 2 2 5 3" xfId="8598" xr:uid="{00000000-0005-0000-0000-0000DC1A0000}"/>
    <cellStyle name="Normal 5 2 2 6" xfId="2817" xr:uid="{00000000-0005-0000-0000-0000DD1A0000}"/>
    <cellStyle name="Normal 5 2 2 7" xfId="4332" xr:uid="{00000000-0005-0000-0000-0000DE1A0000}"/>
    <cellStyle name="Normal 5 2 2 8" xfId="6525" xr:uid="{00000000-0005-0000-0000-0000DF1A0000}"/>
    <cellStyle name="Normal 5 2 2 9" xfId="1273" xr:uid="{00000000-0005-0000-0000-0000E01A0000}"/>
    <cellStyle name="Normal 5 2 3" xfId="1320" xr:uid="{00000000-0005-0000-0000-0000E11A0000}"/>
    <cellStyle name="Normal 5 2 3 2" xfId="1588" xr:uid="{00000000-0005-0000-0000-0000E21A0000}"/>
    <cellStyle name="Normal 5 2 3 2 2" xfId="3689" xr:uid="{00000000-0005-0000-0000-0000E31A0000}"/>
    <cellStyle name="Normal 5 2 3 2 2 2" xfId="5614" xr:uid="{00000000-0005-0000-0000-0000E41A0000}"/>
    <cellStyle name="Normal 5 2 3 2 2 3" xfId="8615" xr:uid="{00000000-0005-0000-0000-0000E51A0000}"/>
    <cellStyle name="Normal 5 2 3 2 3" xfId="4596" xr:uid="{00000000-0005-0000-0000-0000E61A0000}"/>
    <cellStyle name="Normal 5 2 3 2 4" xfId="6839" xr:uid="{00000000-0005-0000-0000-0000E71A0000}"/>
    <cellStyle name="Normal 5 2 3 3" xfId="1792" xr:uid="{00000000-0005-0000-0000-0000E81A0000}"/>
    <cellStyle name="Normal 5 2 3 3 2" xfId="3702" xr:uid="{00000000-0005-0000-0000-0000E91A0000}"/>
    <cellStyle name="Normal 5 2 3 3 2 2" xfId="5813" xr:uid="{00000000-0005-0000-0000-0000EA1A0000}"/>
    <cellStyle name="Normal 5 2 3 3 2 3" xfId="8621" xr:uid="{00000000-0005-0000-0000-0000EB1A0000}"/>
    <cellStyle name="Normal 5 2 3 3 3" xfId="4680" xr:uid="{00000000-0005-0000-0000-0000EC1A0000}"/>
    <cellStyle name="Normal 5 2 3 3 4" xfId="7039" xr:uid="{00000000-0005-0000-0000-0000ED1A0000}"/>
    <cellStyle name="Normal 5 2 3 4" xfId="1907" xr:uid="{00000000-0005-0000-0000-0000EE1A0000}"/>
    <cellStyle name="Normal 5 2 3 4 2" xfId="5927" xr:uid="{00000000-0005-0000-0000-0000EF1A0000}"/>
    <cellStyle name="Normal 5 2 3 4 3" xfId="7154" xr:uid="{00000000-0005-0000-0000-0000F01A0000}"/>
    <cellStyle name="Normal 5 2 3 5" xfId="3661" xr:uid="{00000000-0005-0000-0000-0000F11A0000}"/>
    <cellStyle name="Normal 5 2 3 5 2" xfId="5356" xr:uid="{00000000-0005-0000-0000-0000F21A0000}"/>
    <cellStyle name="Normal 5 2 3 5 3" xfId="8604" xr:uid="{00000000-0005-0000-0000-0000F31A0000}"/>
    <cellStyle name="Normal 5 2 3 6" xfId="2823" xr:uid="{00000000-0005-0000-0000-0000F41A0000}"/>
    <cellStyle name="Normal 5 2 3 7" xfId="4333" xr:uid="{00000000-0005-0000-0000-0000F51A0000}"/>
    <cellStyle name="Normal 5 2 3 8" xfId="6572" xr:uid="{00000000-0005-0000-0000-0000F61A0000}"/>
    <cellStyle name="Normal 5 2 4" xfId="1472" xr:uid="{00000000-0005-0000-0000-0000F71A0000}"/>
    <cellStyle name="Normal 5 2 4 2" xfId="5500" xr:uid="{00000000-0005-0000-0000-0000F81A0000}"/>
    <cellStyle name="Normal 5 2 4 3" xfId="6724" xr:uid="{00000000-0005-0000-0000-0000F91A0000}"/>
    <cellStyle name="Normal 5 2 5" xfId="1467" xr:uid="{00000000-0005-0000-0000-0000FA1A0000}"/>
    <cellStyle name="Normal 5 2 5 2" xfId="5495" xr:uid="{00000000-0005-0000-0000-0000FB1A0000}"/>
    <cellStyle name="Normal 5 2 5 3" xfId="6719" xr:uid="{00000000-0005-0000-0000-0000FC1A0000}"/>
    <cellStyle name="Normal 5 2 6" xfId="1725" xr:uid="{00000000-0005-0000-0000-0000FD1A0000}"/>
    <cellStyle name="Normal 5 2 6 2" xfId="5747" xr:uid="{00000000-0005-0000-0000-0000FE1A0000}"/>
    <cellStyle name="Normal 5 2 6 3" xfId="6972" xr:uid="{00000000-0005-0000-0000-0000FF1A0000}"/>
    <cellStyle name="Normal 5 2 7" xfId="1202" xr:uid="{00000000-0005-0000-0000-0000001B0000}"/>
    <cellStyle name="Normal 5 2 7 2" xfId="5040" xr:uid="{00000000-0005-0000-0000-0000011B0000}"/>
    <cellStyle name="Normal 5 2 7 3" xfId="6454" xr:uid="{00000000-0005-0000-0000-0000021B0000}"/>
    <cellStyle name="Normal 5 2 8" xfId="2425" xr:uid="{00000000-0005-0000-0000-0000031B0000}"/>
    <cellStyle name="Normal 5 2 9" xfId="4331" xr:uid="{00000000-0005-0000-0000-0000041B0000}"/>
    <cellStyle name="Normal 5 20" xfId="2426" xr:uid="{00000000-0005-0000-0000-0000051B0000}"/>
    <cellStyle name="Normal 5 20 2" xfId="4334" xr:uid="{00000000-0005-0000-0000-0000061B0000}"/>
    <cellStyle name="Normal 5 20 3" xfId="7655" xr:uid="{00000000-0005-0000-0000-0000071B0000}"/>
    <cellStyle name="Normal 5 21" xfId="2427" xr:uid="{00000000-0005-0000-0000-0000081B0000}"/>
    <cellStyle name="Normal 5 21 2" xfId="4335" xr:uid="{00000000-0005-0000-0000-0000091B0000}"/>
    <cellStyle name="Normal 5 21 3" xfId="7656" xr:uid="{00000000-0005-0000-0000-00000A1B0000}"/>
    <cellStyle name="Normal 5 22" xfId="2428" xr:uid="{00000000-0005-0000-0000-00000B1B0000}"/>
    <cellStyle name="Normal 5 22 2" xfId="4336" xr:uid="{00000000-0005-0000-0000-00000C1B0000}"/>
    <cellStyle name="Normal 5 22 3" xfId="7657" xr:uid="{00000000-0005-0000-0000-00000D1B0000}"/>
    <cellStyle name="Normal 5 23" xfId="2429" xr:uid="{00000000-0005-0000-0000-00000E1B0000}"/>
    <cellStyle name="Normal 5 23 2" xfId="4337" xr:uid="{00000000-0005-0000-0000-00000F1B0000}"/>
    <cellStyle name="Normal 5 23 3" xfId="7658" xr:uid="{00000000-0005-0000-0000-0000101B0000}"/>
    <cellStyle name="Normal 5 24" xfId="2430" xr:uid="{00000000-0005-0000-0000-0000111B0000}"/>
    <cellStyle name="Normal 5 24 2" xfId="4338" xr:uid="{00000000-0005-0000-0000-0000121B0000}"/>
    <cellStyle name="Normal 5 24 3" xfId="7659" xr:uid="{00000000-0005-0000-0000-0000131B0000}"/>
    <cellStyle name="Normal 5 25" xfId="2431" xr:uid="{00000000-0005-0000-0000-0000141B0000}"/>
    <cellStyle name="Normal 5 25 2" xfId="4339" xr:uid="{00000000-0005-0000-0000-0000151B0000}"/>
    <cellStyle name="Normal 5 25 3" xfId="7660" xr:uid="{00000000-0005-0000-0000-0000161B0000}"/>
    <cellStyle name="Normal 5 26" xfId="2432" xr:uid="{00000000-0005-0000-0000-0000171B0000}"/>
    <cellStyle name="Normal 5 26 2" xfId="4340" xr:uid="{00000000-0005-0000-0000-0000181B0000}"/>
    <cellStyle name="Normal 5 26 3" xfId="7661" xr:uid="{00000000-0005-0000-0000-0000191B0000}"/>
    <cellStyle name="Normal 5 27" xfId="2433" xr:uid="{00000000-0005-0000-0000-00001A1B0000}"/>
    <cellStyle name="Normal 5 27 2" xfId="4341" xr:uid="{00000000-0005-0000-0000-00001B1B0000}"/>
    <cellStyle name="Normal 5 27 3" xfId="7662" xr:uid="{00000000-0005-0000-0000-00001C1B0000}"/>
    <cellStyle name="Normal 5 28" xfId="2434" xr:uid="{00000000-0005-0000-0000-00001D1B0000}"/>
    <cellStyle name="Normal 5 28 2" xfId="4342" xr:uid="{00000000-0005-0000-0000-00001E1B0000}"/>
    <cellStyle name="Normal 5 28 3" xfId="7663" xr:uid="{00000000-0005-0000-0000-00001F1B0000}"/>
    <cellStyle name="Normal 5 29" xfId="2435" xr:uid="{00000000-0005-0000-0000-0000201B0000}"/>
    <cellStyle name="Normal 5 29 2" xfId="4343" xr:uid="{00000000-0005-0000-0000-0000211B0000}"/>
    <cellStyle name="Normal 5 29 3" xfId="7664" xr:uid="{00000000-0005-0000-0000-0000221B0000}"/>
    <cellStyle name="Normal 5 3" xfId="662" xr:uid="{00000000-0005-0000-0000-0000231B0000}"/>
    <cellStyle name="Normal 5 3 2" xfId="1522" xr:uid="{00000000-0005-0000-0000-0000241B0000}"/>
    <cellStyle name="Normal 5 3 2 2" xfId="2717" xr:uid="{00000000-0005-0000-0000-0000251B0000}"/>
    <cellStyle name="Normal 5 3 2 2 2" xfId="3682" xr:uid="{00000000-0005-0000-0000-0000261B0000}"/>
    <cellStyle name="Normal 5 3 2 2 3" xfId="5549" xr:uid="{00000000-0005-0000-0000-0000271B0000}"/>
    <cellStyle name="Normal 5 3 2 2 4" xfId="7910" xr:uid="{00000000-0005-0000-0000-0000281B0000}"/>
    <cellStyle name="Normal 5 3 2 3" xfId="4345" xr:uid="{00000000-0005-0000-0000-0000291B0000}"/>
    <cellStyle name="Normal 5 3 2 4" xfId="6774" xr:uid="{00000000-0005-0000-0000-00002A1B0000}"/>
    <cellStyle name="Normal 5 3 3" xfId="1727" xr:uid="{00000000-0005-0000-0000-00002B1B0000}"/>
    <cellStyle name="Normal 5 3 3 2" xfId="5749" xr:uid="{00000000-0005-0000-0000-00002C1B0000}"/>
    <cellStyle name="Normal 5 3 3 3" xfId="6974" xr:uid="{00000000-0005-0000-0000-00002D1B0000}"/>
    <cellStyle name="Normal 5 3 4" xfId="1597" xr:uid="{00000000-0005-0000-0000-00002E1B0000}"/>
    <cellStyle name="Normal 5 3 4 2" xfId="5623" xr:uid="{00000000-0005-0000-0000-00002F1B0000}"/>
    <cellStyle name="Normal 5 3 4 3" xfId="6848" xr:uid="{00000000-0005-0000-0000-0000301B0000}"/>
    <cellStyle name="Normal 5 3 5" xfId="1252" xr:uid="{00000000-0005-0000-0000-0000311B0000}"/>
    <cellStyle name="Normal 5 3 5 2" xfId="5041" xr:uid="{00000000-0005-0000-0000-0000321B0000}"/>
    <cellStyle name="Normal 5 3 5 3" xfId="6504" xr:uid="{00000000-0005-0000-0000-0000331B0000}"/>
    <cellStyle name="Normal 5 3 6" xfId="2436" xr:uid="{00000000-0005-0000-0000-0000341B0000}"/>
    <cellStyle name="Normal 5 3 7" xfId="4344" xr:uid="{00000000-0005-0000-0000-0000351B0000}"/>
    <cellStyle name="Normal 5 3 8" xfId="6409" xr:uid="{00000000-0005-0000-0000-0000361B0000}"/>
    <cellStyle name="Normal 5 3 9" xfId="1154" xr:uid="{00000000-0005-0000-0000-0000371B0000}"/>
    <cellStyle name="Normal 5 30" xfId="2437" xr:uid="{00000000-0005-0000-0000-0000381B0000}"/>
    <cellStyle name="Normal 5 30 2" xfId="4346" xr:uid="{00000000-0005-0000-0000-0000391B0000}"/>
    <cellStyle name="Normal 5 30 3" xfId="7665" xr:uid="{00000000-0005-0000-0000-00003A1B0000}"/>
    <cellStyle name="Normal 5 31" xfId="2438" xr:uid="{00000000-0005-0000-0000-00003B1B0000}"/>
    <cellStyle name="Normal 5 31 2" xfId="4347" xr:uid="{00000000-0005-0000-0000-00003C1B0000}"/>
    <cellStyle name="Normal 5 31 3" xfId="7666" xr:uid="{00000000-0005-0000-0000-00003D1B0000}"/>
    <cellStyle name="Normal 5 32" xfId="2439" xr:uid="{00000000-0005-0000-0000-00003E1B0000}"/>
    <cellStyle name="Normal 5 32 2" xfId="4348" xr:uid="{00000000-0005-0000-0000-00003F1B0000}"/>
    <cellStyle name="Normal 5 32 3" xfId="7667" xr:uid="{00000000-0005-0000-0000-0000401B0000}"/>
    <cellStyle name="Normal 5 33" xfId="2440" xr:uid="{00000000-0005-0000-0000-0000411B0000}"/>
    <cellStyle name="Normal 5 33 2" xfId="4349" xr:uid="{00000000-0005-0000-0000-0000421B0000}"/>
    <cellStyle name="Normal 5 33 3" xfId="7668" xr:uid="{00000000-0005-0000-0000-0000431B0000}"/>
    <cellStyle name="Normal 5 34" xfId="2441" xr:uid="{00000000-0005-0000-0000-0000441B0000}"/>
    <cellStyle name="Normal 5 34 2" xfId="4350" xr:uid="{00000000-0005-0000-0000-0000451B0000}"/>
    <cellStyle name="Normal 5 34 3" xfId="7669" xr:uid="{00000000-0005-0000-0000-0000461B0000}"/>
    <cellStyle name="Normal 5 35" xfId="2442" xr:uid="{00000000-0005-0000-0000-0000471B0000}"/>
    <cellStyle name="Normal 5 35 2" xfId="4351" xr:uid="{00000000-0005-0000-0000-0000481B0000}"/>
    <cellStyle name="Normal 5 35 3" xfId="7670" xr:uid="{00000000-0005-0000-0000-0000491B0000}"/>
    <cellStyle name="Normal 5 36" xfId="2443" xr:uid="{00000000-0005-0000-0000-00004A1B0000}"/>
    <cellStyle name="Normal 5 36 2" xfId="4352" xr:uid="{00000000-0005-0000-0000-00004B1B0000}"/>
    <cellStyle name="Normal 5 36 3" xfId="7671" xr:uid="{00000000-0005-0000-0000-00004C1B0000}"/>
    <cellStyle name="Normal 5 37" xfId="2444" xr:uid="{00000000-0005-0000-0000-00004D1B0000}"/>
    <cellStyle name="Normal 5 37 2" xfId="4353" xr:uid="{00000000-0005-0000-0000-00004E1B0000}"/>
    <cellStyle name="Normal 5 37 3" xfId="7672" xr:uid="{00000000-0005-0000-0000-00004F1B0000}"/>
    <cellStyle name="Normal 5 38" xfId="2445" xr:uid="{00000000-0005-0000-0000-0000501B0000}"/>
    <cellStyle name="Normal 5 38 2" xfId="4354" xr:uid="{00000000-0005-0000-0000-0000511B0000}"/>
    <cellStyle name="Normal 5 38 3" xfId="7673" xr:uid="{00000000-0005-0000-0000-0000521B0000}"/>
    <cellStyle name="Normal 5 39" xfId="2446" xr:uid="{00000000-0005-0000-0000-0000531B0000}"/>
    <cellStyle name="Normal 5 39 2" xfId="4355" xr:uid="{00000000-0005-0000-0000-0000541B0000}"/>
    <cellStyle name="Normal 5 39 3" xfId="7674" xr:uid="{00000000-0005-0000-0000-0000551B0000}"/>
    <cellStyle name="Normal 5 4" xfId="663" xr:uid="{00000000-0005-0000-0000-0000561B0000}"/>
    <cellStyle name="Normal 5 4 2" xfId="1567" xr:uid="{00000000-0005-0000-0000-0000571B0000}"/>
    <cellStyle name="Normal 5 4 2 2" xfId="5593" xr:uid="{00000000-0005-0000-0000-0000581B0000}"/>
    <cellStyle name="Normal 5 4 2 3" xfId="6818" xr:uid="{00000000-0005-0000-0000-0000591B0000}"/>
    <cellStyle name="Normal 5 4 3" xfId="1771" xr:uid="{00000000-0005-0000-0000-00005A1B0000}"/>
    <cellStyle name="Normal 5 4 3 2" xfId="5792" xr:uid="{00000000-0005-0000-0000-00005B1B0000}"/>
    <cellStyle name="Normal 5 4 3 3" xfId="7018" xr:uid="{00000000-0005-0000-0000-00005C1B0000}"/>
    <cellStyle name="Normal 5 4 4" xfId="1943" xr:uid="{00000000-0005-0000-0000-00005D1B0000}"/>
    <cellStyle name="Normal 5 4 4 2" xfId="5963" xr:uid="{00000000-0005-0000-0000-00005E1B0000}"/>
    <cellStyle name="Normal 5 4 4 3" xfId="7190" xr:uid="{00000000-0005-0000-0000-00005F1B0000}"/>
    <cellStyle name="Normal 5 4 5" xfId="2447" xr:uid="{00000000-0005-0000-0000-0000601B0000}"/>
    <cellStyle name="Normal 5 4 5 2" xfId="3403" xr:uid="{00000000-0005-0000-0000-0000611B0000}"/>
    <cellStyle name="Normal 5 4 5 3" xfId="5042" xr:uid="{00000000-0005-0000-0000-0000621B0000}"/>
    <cellStyle name="Normal 5 4 5 4" xfId="7675" xr:uid="{00000000-0005-0000-0000-0000631B0000}"/>
    <cellStyle name="Normal 5 4 6" xfId="4356" xr:uid="{00000000-0005-0000-0000-0000641B0000}"/>
    <cellStyle name="Normal 5 4 7" xfId="6406" xr:uid="{00000000-0005-0000-0000-0000651B0000}"/>
    <cellStyle name="Normal 5 4 8" xfId="1151" xr:uid="{00000000-0005-0000-0000-0000661B0000}"/>
    <cellStyle name="Normal 5 40" xfId="2448" xr:uid="{00000000-0005-0000-0000-0000671B0000}"/>
    <cellStyle name="Normal 5 40 2" xfId="4357" xr:uid="{00000000-0005-0000-0000-0000681B0000}"/>
    <cellStyle name="Normal 5 40 3" xfId="7676" xr:uid="{00000000-0005-0000-0000-0000691B0000}"/>
    <cellStyle name="Normal 5 41" xfId="2449" xr:uid="{00000000-0005-0000-0000-00006A1B0000}"/>
    <cellStyle name="Normal 5 41 2" xfId="4358" xr:uid="{00000000-0005-0000-0000-00006B1B0000}"/>
    <cellStyle name="Normal 5 41 3" xfId="7677" xr:uid="{00000000-0005-0000-0000-00006C1B0000}"/>
    <cellStyle name="Normal 5 42" xfId="2450" xr:uid="{00000000-0005-0000-0000-00006D1B0000}"/>
    <cellStyle name="Normal 5 42 2" xfId="4359" xr:uid="{00000000-0005-0000-0000-00006E1B0000}"/>
    <cellStyle name="Normal 5 42 3" xfId="7678" xr:uid="{00000000-0005-0000-0000-00006F1B0000}"/>
    <cellStyle name="Normal 5 43" xfId="2451" xr:uid="{00000000-0005-0000-0000-0000701B0000}"/>
    <cellStyle name="Normal 5 43 2" xfId="4360" xr:uid="{00000000-0005-0000-0000-0000711B0000}"/>
    <cellStyle name="Normal 5 43 3" xfId="7679" xr:uid="{00000000-0005-0000-0000-0000721B0000}"/>
    <cellStyle name="Normal 5 44" xfId="2452" xr:uid="{00000000-0005-0000-0000-0000731B0000}"/>
    <cellStyle name="Normal 5 44 2" xfId="4361" xr:uid="{00000000-0005-0000-0000-0000741B0000}"/>
    <cellStyle name="Normal 5 44 3" xfId="7680" xr:uid="{00000000-0005-0000-0000-0000751B0000}"/>
    <cellStyle name="Normal 5 45" xfId="2453" xr:uid="{00000000-0005-0000-0000-0000761B0000}"/>
    <cellStyle name="Normal 5 45 2" xfId="4362" xr:uid="{00000000-0005-0000-0000-0000771B0000}"/>
    <cellStyle name="Normal 5 45 3" xfId="7681" xr:uid="{00000000-0005-0000-0000-0000781B0000}"/>
    <cellStyle name="Normal 5 46" xfId="2454" xr:uid="{00000000-0005-0000-0000-0000791B0000}"/>
    <cellStyle name="Normal 5 46 2" xfId="4363" xr:uid="{00000000-0005-0000-0000-00007A1B0000}"/>
    <cellStyle name="Normal 5 46 3" xfId="7682" xr:uid="{00000000-0005-0000-0000-00007B1B0000}"/>
    <cellStyle name="Normal 5 47" xfId="2455" xr:uid="{00000000-0005-0000-0000-00007C1B0000}"/>
    <cellStyle name="Normal 5 47 2" xfId="4364" xr:uid="{00000000-0005-0000-0000-00007D1B0000}"/>
    <cellStyle name="Normal 5 47 3" xfId="7683" xr:uid="{00000000-0005-0000-0000-00007E1B0000}"/>
    <cellStyle name="Normal 5 48" xfId="2456" xr:uid="{00000000-0005-0000-0000-00007F1B0000}"/>
    <cellStyle name="Normal 5 48 2" xfId="4365" xr:uid="{00000000-0005-0000-0000-0000801B0000}"/>
    <cellStyle name="Normal 5 48 3" xfId="7684" xr:uid="{00000000-0005-0000-0000-0000811B0000}"/>
    <cellStyle name="Normal 5 49" xfId="2457" xr:uid="{00000000-0005-0000-0000-0000821B0000}"/>
    <cellStyle name="Normal 5 49 2" xfId="4366" xr:uid="{00000000-0005-0000-0000-0000831B0000}"/>
    <cellStyle name="Normal 5 49 3" xfId="7685" xr:uid="{00000000-0005-0000-0000-0000841B0000}"/>
    <cellStyle name="Normal 5 5" xfId="664" xr:uid="{00000000-0005-0000-0000-0000851B0000}"/>
    <cellStyle name="Normal 5 5 2" xfId="665" xr:uid="{00000000-0005-0000-0000-0000861B0000}"/>
    <cellStyle name="Normal 5 5 2 2" xfId="3404" xr:uid="{00000000-0005-0000-0000-0000871B0000}"/>
    <cellStyle name="Normal 5 5 2 3" xfId="5043" xr:uid="{00000000-0005-0000-0000-0000881B0000}"/>
    <cellStyle name="Normal 5 5 2 4" xfId="7686" xr:uid="{00000000-0005-0000-0000-0000891B0000}"/>
    <cellStyle name="Normal 5 5 2 5" xfId="2458" xr:uid="{00000000-0005-0000-0000-00008A1B0000}"/>
    <cellStyle name="Normal 5 5 3" xfId="4367" xr:uid="{00000000-0005-0000-0000-00008B1B0000}"/>
    <cellStyle name="Normal 5 5 4" xfId="6699" xr:uid="{00000000-0005-0000-0000-00008C1B0000}"/>
    <cellStyle name="Normal 5 5 5" xfId="1447" xr:uid="{00000000-0005-0000-0000-00008D1B0000}"/>
    <cellStyle name="Normal 5 50" xfId="2459" xr:uid="{00000000-0005-0000-0000-00008E1B0000}"/>
    <cellStyle name="Normal 5 50 2" xfId="4368" xr:uid="{00000000-0005-0000-0000-00008F1B0000}"/>
    <cellStyle name="Normal 5 50 3" xfId="7687" xr:uid="{00000000-0005-0000-0000-0000901B0000}"/>
    <cellStyle name="Normal 5 51" xfId="2460" xr:uid="{00000000-0005-0000-0000-0000911B0000}"/>
    <cellStyle name="Normal 5 51 2" xfId="4369" xr:uid="{00000000-0005-0000-0000-0000921B0000}"/>
    <cellStyle name="Normal 5 51 3" xfId="7688" xr:uid="{00000000-0005-0000-0000-0000931B0000}"/>
    <cellStyle name="Normal 5 52" xfId="2461" xr:uid="{00000000-0005-0000-0000-0000941B0000}"/>
    <cellStyle name="Normal 5 52 2" xfId="4370" xr:uid="{00000000-0005-0000-0000-0000951B0000}"/>
    <cellStyle name="Normal 5 52 3" xfId="7689" xr:uid="{00000000-0005-0000-0000-0000961B0000}"/>
    <cellStyle name="Normal 5 53" xfId="2462" xr:uid="{00000000-0005-0000-0000-0000971B0000}"/>
    <cellStyle name="Normal 5 53 2" xfId="4371" xr:uid="{00000000-0005-0000-0000-0000981B0000}"/>
    <cellStyle name="Normal 5 53 3" xfId="7690" xr:uid="{00000000-0005-0000-0000-0000991B0000}"/>
    <cellStyle name="Normal 5 54" xfId="2463" xr:uid="{00000000-0005-0000-0000-00009A1B0000}"/>
    <cellStyle name="Normal 5 54 2" xfId="4372" xr:uid="{00000000-0005-0000-0000-00009B1B0000}"/>
    <cellStyle name="Normal 5 54 3" xfId="7691" xr:uid="{00000000-0005-0000-0000-00009C1B0000}"/>
    <cellStyle name="Normal 5 55" xfId="2464" xr:uid="{00000000-0005-0000-0000-00009D1B0000}"/>
    <cellStyle name="Normal 5 55 2" xfId="4373" xr:uid="{00000000-0005-0000-0000-00009E1B0000}"/>
    <cellStyle name="Normal 5 55 3" xfId="7692" xr:uid="{00000000-0005-0000-0000-00009F1B0000}"/>
    <cellStyle name="Normal 5 56" xfId="2465" xr:uid="{00000000-0005-0000-0000-0000A01B0000}"/>
    <cellStyle name="Normal 5 56 2" xfId="4374" xr:uid="{00000000-0005-0000-0000-0000A11B0000}"/>
    <cellStyle name="Normal 5 56 3" xfId="7693" xr:uid="{00000000-0005-0000-0000-0000A21B0000}"/>
    <cellStyle name="Normal 5 57" xfId="2466" xr:uid="{00000000-0005-0000-0000-0000A31B0000}"/>
    <cellStyle name="Normal 5 57 2" xfId="4375" xr:uid="{00000000-0005-0000-0000-0000A41B0000}"/>
    <cellStyle name="Normal 5 57 3" xfId="7694" xr:uid="{00000000-0005-0000-0000-0000A51B0000}"/>
    <cellStyle name="Normal 5 58" xfId="2467" xr:uid="{00000000-0005-0000-0000-0000A61B0000}"/>
    <cellStyle name="Normal 5 58 2" xfId="4376" xr:uid="{00000000-0005-0000-0000-0000A71B0000}"/>
    <cellStyle name="Normal 5 58 3" xfId="7695" xr:uid="{00000000-0005-0000-0000-0000A81B0000}"/>
    <cellStyle name="Normal 5 59" xfId="2468" xr:uid="{00000000-0005-0000-0000-0000A91B0000}"/>
    <cellStyle name="Normal 5 59 2" xfId="4377" xr:uid="{00000000-0005-0000-0000-0000AA1B0000}"/>
    <cellStyle name="Normal 5 59 3" xfId="7696" xr:uid="{00000000-0005-0000-0000-0000AB1B0000}"/>
    <cellStyle name="Normal 5 6" xfId="666" xr:uid="{00000000-0005-0000-0000-0000AC1B0000}"/>
    <cellStyle name="Normal 5 6 2" xfId="2469" xr:uid="{00000000-0005-0000-0000-0000AD1B0000}"/>
    <cellStyle name="Normal 5 6 2 2" xfId="3405" xr:uid="{00000000-0005-0000-0000-0000AE1B0000}"/>
    <cellStyle name="Normal 5 6 2 3" xfId="5044" xr:uid="{00000000-0005-0000-0000-0000AF1B0000}"/>
    <cellStyle name="Normal 5 6 2 4" xfId="7697" xr:uid="{00000000-0005-0000-0000-0000B01B0000}"/>
    <cellStyle name="Normal 5 6 3" xfId="4378" xr:uid="{00000000-0005-0000-0000-0000B11B0000}"/>
    <cellStyle name="Normal 5 6 4" xfId="6660" xr:uid="{00000000-0005-0000-0000-0000B21B0000}"/>
    <cellStyle name="Normal 5 6 5" xfId="1408" xr:uid="{00000000-0005-0000-0000-0000B31B0000}"/>
    <cellStyle name="Normal 5 60" xfId="2470" xr:uid="{00000000-0005-0000-0000-0000B41B0000}"/>
    <cellStyle name="Normal 5 60 2" xfId="4379" xr:uid="{00000000-0005-0000-0000-0000B51B0000}"/>
    <cellStyle name="Normal 5 60 3" xfId="7698" xr:uid="{00000000-0005-0000-0000-0000B61B0000}"/>
    <cellStyle name="Normal 5 61" xfId="2471" xr:uid="{00000000-0005-0000-0000-0000B71B0000}"/>
    <cellStyle name="Normal 5 61 2" xfId="4380" xr:uid="{00000000-0005-0000-0000-0000B81B0000}"/>
    <cellStyle name="Normal 5 61 3" xfId="7699" xr:uid="{00000000-0005-0000-0000-0000B91B0000}"/>
    <cellStyle name="Normal 5 62" xfId="2472" xr:uid="{00000000-0005-0000-0000-0000BA1B0000}"/>
    <cellStyle name="Normal 5 62 2" xfId="4381" xr:uid="{00000000-0005-0000-0000-0000BB1B0000}"/>
    <cellStyle name="Normal 5 62 3" xfId="7700" xr:uid="{00000000-0005-0000-0000-0000BC1B0000}"/>
    <cellStyle name="Normal 5 63" xfId="2473" xr:uid="{00000000-0005-0000-0000-0000BD1B0000}"/>
    <cellStyle name="Normal 5 63 2" xfId="4382" xr:uid="{00000000-0005-0000-0000-0000BE1B0000}"/>
    <cellStyle name="Normal 5 63 3" xfId="7701" xr:uid="{00000000-0005-0000-0000-0000BF1B0000}"/>
    <cellStyle name="Normal 5 64" xfId="2474" xr:uid="{00000000-0005-0000-0000-0000C01B0000}"/>
    <cellStyle name="Normal 5 64 2" xfId="4383" xr:uid="{00000000-0005-0000-0000-0000C11B0000}"/>
    <cellStyle name="Normal 5 64 3" xfId="7702" xr:uid="{00000000-0005-0000-0000-0000C21B0000}"/>
    <cellStyle name="Normal 5 65" xfId="2475" xr:uid="{00000000-0005-0000-0000-0000C31B0000}"/>
    <cellStyle name="Normal 5 65 2" xfId="4384" xr:uid="{00000000-0005-0000-0000-0000C41B0000}"/>
    <cellStyle name="Normal 5 65 3" xfId="7703" xr:uid="{00000000-0005-0000-0000-0000C51B0000}"/>
    <cellStyle name="Normal 5 66" xfId="2476" xr:uid="{00000000-0005-0000-0000-0000C61B0000}"/>
    <cellStyle name="Normal 5 66 2" xfId="4385" xr:uid="{00000000-0005-0000-0000-0000C71B0000}"/>
    <cellStyle name="Normal 5 66 3" xfId="7704" xr:uid="{00000000-0005-0000-0000-0000C81B0000}"/>
    <cellStyle name="Normal 5 67" xfId="2477" xr:uid="{00000000-0005-0000-0000-0000C91B0000}"/>
    <cellStyle name="Normal 5 67 2" xfId="4386" xr:uid="{00000000-0005-0000-0000-0000CA1B0000}"/>
    <cellStyle name="Normal 5 67 3" xfId="7705" xr:uid="{00000000-0005-0000-0000-0000CB1B0000}"/>
    <cellStyle name="Normal 5 68" xfId="2478" xr:uid="{00000000-0005-0000-0000-0000CC1B0000}"/>
    <cellStyle name="Normal 5 68 2" xfId="4387" xr:uid="{00000000-0005-0000-0000-0000CD1B0000}"/>
    <cellStyle name="Normal 5 68 3" xfId="7706" xr:uid="{00000000-0005-0000-0000-0000CE1B0000}"/>
    <cellStyle name="Normal 5 69" xfId="2479" xr:uid="{00000000-0005-0000-0000-0000CF1B0000}"/>
    <cellStyle name="Normal 5 69 2" xfId="4388" xr:uid="{00000000-0005-0000-0000-0000D01B0000}"/>
    <cellStyle name="Normal 5 69 3" xfId="7707" xr:uid="{00000000-0005-0000-0000-0000D11B0000}"/>
    <cellStyle name="Normal 5 7" xfId="667" xr:uid="{00000000-0005-0000-0000-0000D21B0000}"/>
    <cellStyle name="Normal 5 7 2" xfId="2480" xr:uid="{00000000-0005-0000-0000-0000D31B0000}"/>
    <cellStyle name="Normal 5 7 2 2" xfId="3406" xr:uid="{00000000-0005-0000-0000-0000D41B0000}"/>
    <cellStyle name="Normal 5 7 2 3" xfId="5045" xr:uid="{00000000-0005-0000-0000-0000D51B0000}"/>
    <cellStyle name="Normal 5 7 2 4" xfId="7708" xr:uid="{00000000-0005-0000-0000-0000D61B0000}"/>
    <cellStyle name="Normal 5 7 3" xfId="4389" xr:uid="{00000000-0005-0000-0000-0000D71B0000}"/>
    <cellStyle name="Normal 5 7 4" xfId="7015" xr:uid="{00000000-0005-0000-0000-0000D81B0000}"/>
    <cellStyle name="Normal 5 7 5" xfId="1768" xr:uid="{00000000-0005-0000-0000-0000D91B0000}"/>
    <cellStyle name="Normal 5 70" xfId="2481" xr:uid="{00000000-0005-0000-0000-0000DA1B0000}"/>
    <cellStyle name="Normal 5 70 2" xfId="4390" xr:uid="{00000000-0005-0000-0000-0000DB1B0000}"/>
    <cellStyle name="Normal 5 70 3" xfId="7709" xr:uid="{00000000-0005-0000-0000-0000DC1B0000}"/>
    <cellStyle name="Normal 5 71" xfId="2482" xr:uid="{00000000-0005-0000-0000-0000DD1B0000}"/>
    <cellStyle name="Normal 5 71 2" xfId="4391" xr:uid="{00000000-0005-0000-0000-0000DE1B0000}"/>
    <cellStyle name="Normal 5 71 3" xfId="7710" xr:uid="{00000000-0005-0000-0000-0000DF1B0000}"/>
    <cellStyle name="Normal 5 72" xfId="2483" xr:uid="{00000000-0005-0000-0000-0000E01B0000}"/>
    <cellStyle name="Normal 5 72 2" xfId="4392" xr:uid="{00000000-0005-0000-0000-0000E11B0000}"/>
    <cellStyle name="Normal 5 72 3" xfId="7711" xr:uid="{00000000-0005-0000-0000-0000E21B0000}"/>
    <cellStyle name="Normal 5 73" xfId="2484" xr:uid="{00000000-0005-0000-0000-0000E31B0000}"/>
    <cellStyle name="Normal 5 73 2" xfId="4393" xr:uid="{00000000-0005-0000-0000-0000E41B0000}"/>
    <cellStyle name="Normal 5 73 3" xfId="7712" xr:uid="{00000000-0005-0000-0000-0000E51B0000}"/>
    <cellStyle name="Normal 5 74" xfId="2485" xr:uid="{00000000-0005-0000-0000-0000E61B0000}"/>
    <cellStyle name="Normal 5 74 2" xfId="4394" xr:uid="{00000000-0005-0000-0000-0000E71B0000}"/>
    <cellStyle name="Normal 5 74 3" xfId="7713" xr:uid="{00000000-0005-0000-0000-0000E81B0000}"/>
    <cellStyle name="Normal 5 75" xfId="2486" xr:uid="{00000000-0005-0000-0000-0000E91B0000}"/>
    <cellStyle name="Normal 5 75 2" xfId="4395" xr:uid="{00000000-0005-0000-0000-0000EA1B0000}"/>
    <cellStyle name="Normal 5 75 3" xfId="7714" xr:uid="{00000000-0005-0000-0000-0000EB1B0000}"/>
    <cellStyle name="Normal 5 76" xfId="2487" xr:uid="{00000000-0005-0000-0000-0000EC1B0000}"/>
    <cellStyle name="Normal 5 76 2" xfId="4396" xr:uid="{00000000-0005-0000-0000-0000ED1B0000}"/>
    <cellStyle name="Normal 5 76 3" xfId="7715" xr:uid="{00000000-0005-0000-0000-0000EE1B0000}"/>
    <cellStyle name="Normal 5 77" xfId="2488" xr:uid="{00000000-0005-0000-0000-0000EF1B0000}"/>
    <cellStyle name="Normal 5 77 2" xfId="4397" xr:uid="{00000000-0005-0000-0000-0000F01B0000}"/>
    <cellStyle name="Normal 5 77 3" xfId="7716" xr:uid="{00000000-0005-0000-0000-0000F11B0000}"/>
    <cellStyle name="Normal 5 78" xfId="2489" xr:uid="{00000000-0005-0000-0000-0000F21B0000}"/>
    <cellStyle name="Normal 5 78 2" xfId="4398" xr:uid="{00000000-0005-0000-0000-0000F31B0000}"/>
    <cellStyle name="Normal 5 78 3" xfId="7717" xr:uid="{00000000-0005-0000-0000-0000F41B0000}"/>
    <cellStyle name="Normal 5 79" xfId="2490" xr:uid="{00000000-0005-0000-0000-0000F51B0000}"/>
    <cellStyle name="Normal 5 79 2" xfId="4399" xr:uid="{00000000-0005-0000-0000-0000F61B0000}"/>
    <cellStyle name="Normal 5 79 3" xfId="7718" xr:uid="{00000000-0005-0000-0000-0000F71B0000}"/>
    <cellStyle name="Normal 5 8" xfId="668" xr:uid="{00000000-0005-0000-0000-0000F81B0000}"/>
    <cellStyle name="Normal 5 8 2" xfId="2491" xr:uid="{00000000-0005-0000-0000-0000F91B0000}"/>
    <cellStyle name="Normal 5 8 2 2" xfId="3608" xr:uid="{00000000-0005-0000-0000-0000FA1B0000}"/>
    <cellStyle name="Normal 5 8 2 3" xfId="5220" xr:uid="{00000000-0005-0000-0000-0000FB1B0000}"/>
    <cellStyle name="Normal 5 8 2 4" xfId="7719" xr:uid="{00000000-0005-0000-0000-0000FC1B0000}"/>
    <cellStyle name="Normal 5 8 3" xfId="4400" xr:uid="{00000000-0005-0000-0000-0000FD1B0000}"/>
    <cellStyle name="Normal 5 8 4" xfId="6431" xr:uid="{00000000-0005-0000-0000-0000FE1B0000}"/>
    <cellStyle name="Normal 5 8 5" xfId="1179" xr:uid="{00000000-0005-0000-0000-0000FF1B0000}"/>
    <cellStyle name="Normal 5 80" xfId="2492" xr:uid="{00000000-0005-0000-0000-0000001C0000}"/>
    <cellStyle name="Normal 5 80 2" xfId="2292" xr:uid="{00000000-0005-0000-0000-0000011C0000}"/>
    <cellStyle name="Normal 5 80 3" xfId="4401" xr:uid="{00000000-0005-0000-0000-0000021C0000}"/>
    <cellStyle name="Normal 5 80 4" xfId="7720" xr:uid="{00000000-0005-0000-0000-0000031C0000}"/>
    <cellStyle name="Normal 5 81" xfId="2414" xr:uid="{00000000-0005-0000-0000-0000041C0000}"/>
    <cellStyle name="Normal 5 81 2" xfId="2676" xr:uid="{00000000-0005-0000-0000-0000051C0000}"/>
    <cellStyle name="Normal 5 81 3" xfId="4402" xr:uid="{00000000-0005-0000-0000-0000061C0000}"/>
    <cellStyle name="Normal 5 81 4" xfId="7644" xr:uid="{00000000-0005-0000-0000-0000071C0000}"/>
    <cellStyle name="Normal 5 82" xfId="2611" xr:uid="{00000000-0005-0000-0000-0000081C0000}"/>
    <cellStyle name="Normal 5 82 2" xfId="2718" xr:uid="{00000000-0005-0000-0000-0000091C0000}"/>
    <cellStyle name="Normal 5 82 3" xfId="4403" xr:uid="{00000000-0005-0000-0000-00000A1C0000}"/>
    <cellStyle name="Normal 5 82 4" xfId="7828" xr:uid="{00000000-0005-0000-0000-00000B1C0000}"/>
    <cellStyle name="Normal 5 83" xfId="2719" xr:uid="{00000000-0005-0000-0000-00000C1C0000}"/>
    <cellStyle name="Normal 5 83 2" xfId="4404" xr:uid="{00000000-0005-0000-0000-00000D1C0000}"/>
    <cellStyle name="Normal 5 83 3" xfId="7911" xr:uid="{00000000-0005-0000-0000-00000E1C0000}"/>
    <cellStyle name="Normal 5 84" xfId="2720" xr:uid="{00000000-0005-0000-0000-00000F1C0000}"/>
    <cellStyle name="Normal 5 84 2" xfId="4405" xr:uid="{00000000-0005-0000-0000-0000101C0000}"/>
    <cellStyle name="Normal 5 84 3" xfId="7912" xr:uid="{00000000-0005-0000-0000-0000111C0000}"/>
    <cellStyle name="Normal 5 85" xfId="2762" xr:uid="{00000000-0005-0000-0000-0000121C0000}"/>
    <cellStyle name="Normal 5 85 2" xfId="4533" xr:uid="{00000000-0005-0000-0000-0000131C0000}"/>
    <cellStyle name="Normal 5 85 3" xfId="7939" xr:uid="{00000000-0005-0000-0000-0000141C0000}"/>
    <cellStyle name="Normal 5 86" xfId="2758" xr:uid="{00000000-0005-0000-0000-0000151C0000}"/>
    <cellStyle name="Normal 5 87" xfId="3877" xr:uid="{00000000-0005-0000-0000-0000161C0000}"/>
    <cellStyle name="Normal 5 88" xfId="6324" xr:uid="{00000000-0005-0000-0000-0000171C0000}"/>
    <cellStyle name="Normal 5 89" xfId="1042" xr:uid="{00000000-0005-0000-0000-0000181C0000}"/>
    <cellStyle name="Normal 5 9" xfId="669" xr:uid="{00000000-0005-0000-0000-0000191C0000}"/>
    <cellStyle name="Normal 5 9 2" xfId="4406" xr:uid="{00000000-0005-0000-0000-00001A1C0000}"/>
    <cellStyle name="Normal 5 9 3" xfId="6416" xr:uid="{00000000-0005-0000-0000-00001B1C0000}"/>
    <cellStyle name="Normal 5 9 4" xfId="1162" xr:uid="{00000000-0005-0000-0000-00001C1C0000}"/>
    <cellStyle name="Normal 5_ON2_ListaOperacoesAprovadas SI - Apoio (30-06-2010)" xfId="3407" xr:uid="{00000000-0005-0000-0000-00001D1C0000}"/>
    <cellStyle name="Normal 50" xfId="670" xr:uid="{00000000-0005-0000-0000-00001E1C0000}"/>
    <cellStyle name="Normal 50 2" xfId="4528" xr:uid="{00000000-0005-0000-0000-00001F1C0000}"/>
    <cellStyle name="Normal 51" xfId="671" xr:uid="{00000000-0005-0000-0000-0000201C0000}"/>
    <cellStyle name="Normal 51 2" xfId="4529" xr:uid="{00000000-0005-0000-0000-0000211C0000}"/>
    <cellStyle name="Normal 52" xfId="672" xr:uid="{00000000-0005-0000-0000-0000221C0000}"/>
    <cellStyle name="Normal 52 2" xfId="4530" xr:uid="{00000000-0005-0000-0000-0000231C0000}"/>
    <cellStyle name="Normal 53" xfId="673" xr:uid="{00000000-0005-0000-0000-0000241C0000}"/>
    <cellStyle name="Normal 53 2" xfId="4531" xr:uid="{00000000-0005-0000-0000-0000251C0000}"/>
    <cellStyle name="Normal 54" xfId="674" xr:uid="{00000000-0005-0000-0000-0000261C0000}"/>
    <cellStyle name="Normal 54 2" xfId="6274" xr:uid="{00000000-0005-0000-0000-0000271C0000}"/>
    <cellStyle name="Normal 55" xfId="675" xr:uid="{00000000-0005-0000-0000-0000281C0000}"/>
    <cellStyle name="Normal 56" xfId="676" xr:uid="{00000000-0005-0000-0000-0000291C0000}"/>
    <cellStyle name="Normal 56 2" xfId="8767" xr:uid="{00000000-0005-0000-0000-00002A1C0000}"/>
    <cellStyle name="Normal 57" xfId="677" xr:uid="{00000000-0005-0000-0000-00002B1C0000}"/>
    <cellStyle name="Normal 57 2" xfId="992" xr:uid="{00000000-0005-0000-0000-00002C1C0000}"/>
    <cellStyle name="Normal 58" xfId="678" xr:uid="{00000000-0005-0000-0000-00002D1C0000}"/>
    <cellStyle name="Normal 58 2" xfId="8769" xr:uid="{00000000-0005-0000-0000-00002E1C0000}"/>
    <cellStyle name="Normal 59" xfId="679" xr:uid="{00000000-0005-0000-0000-00002F1C0000}"/>
    <cellStyle name="Normal 59 2" xfId="2494" xr:uid="{00000000-0005-0000-0000-0000301C0000}"/>
    <cellStyle name="Normal 59 2 2" xfId="4407" xr:uid="{00000000-0005-0000-0000-0000311C0000}"/>
    <cellStyle name="Normal 59 2 3" xfId="7721" xr:uid="{00000000-0005-0000-0000-0000321C0000}"/>
    <cellStyle name="Normal 59 3" xfId="8879" xr:uid="{00000000-0005-0000-0000-0000331C0000}"/>
    <cellStyle name="Normal 6" xfId="680" xr:uid="{00000000-0005-0000-0000-0000341C0000}"/>
    <cellStyle name="Normal 6 10" xfId="681" xr:uid="{00000000-0005-0000-0000-0000351C0000}"/>
    <cellStyle name="Normal 6 11" xfId="682" xr:uid="{00000000-0005-0000-0000-0000361C0000}"/>
    <cellStyle name="Normal 6 12" xfId="683" xr:uid="{00000000-0005-0000-0000-0000371C0000}"/>
    <cellStyle name="Normal 6 13" xfId="1122" xr:uid="{00000000-0005-0000-0000-0000381C0000}"/>
    <cellStyle name="Normal 6 2" xfId="684" xr:uid="{00000000-0005-0000-0000-0000391C0000}"/>
    <cellStyle name="Normal 6 2 2" xfId="685" xr:uid="{00000000-0005-0000-0000-00003A1C0000}"/>
    <cellStyle name="Normal 6 2 2 2" xfId="686" xr:uid="{00000000-0005-0000-0000-00003B1C0000}"/>
    <cellStyle name="Normal 6 2 2 2 2" xfId="4605" xr:uid="{00000000-0005-0000-0000-00003C1C0000}"/>
    <cellStyle name="Normal 6 2 2 2 3" xfId="8002" xr:uid="{00000000-0005-0000-0000-00003D1C0000}"/>
    <cellStyle name="Normal 6 2 2 2 4" xfId="2946" xr:uid="{00000000-0005-0000-0000-00003E1C0000}"/>
    <cellStyle name="Normal 6 2 2 3" xfId="3041" xr:uid="{00000000-0005-0000-0000-00003F1C0000}"/>
    <cellStyle name="Normal 6 2 2 3 2" xfId="4688" xr:uid="{00000000-0005-0000-0000-0000401C0000}"/>
    <cellStyle name="Normal 6 2 2 3 3" xfId="8097" xr:uid="{00000000-0005-0000-0000-0000411C0000}"/>
    <cellStyle name="Normal 6 2 2 4" xfId="3609" xr:uid="{00000000-0005-0000-0000-0000421C0000}"/>
    <cellStyle name="Normal 6 2 2 4 2" xfId="5221" xr:uid="{00000000-0005-0000-0000-0000431C0000}"/>
    <cellStyle name="Normal 6 2 2 4 3" xfId="8591" xr:uid="{00000000-0005-0000-0000-0000441C0000}"/>
    <cellStyle name="Normal 6 2 2 5" xfId="3815" xr:uid="{00000000-0005-0000-0000-0000451C0000}"/>
    <cellStyle name="Normal 6 2 2 5 2" xfId="6202" xr:uid="{00000000-0005-0000-0000-0000461C0000}"/>
    <cellStyle name="Normal 6 2 2 5 3" xfId="8726" xr:uid="{00000000-0005-0000-0000-0000471C0000}"/>
    <cellStyle name="Normal 6 2 2 6" xfId="2846" xr:uid="{00000000-0005-0000-0000-0000481C0000}"/>
    <cellStyle name="Normal 6 2 2 7" xfId="4409" xr:uid="{00000000-0005-0000-0000-0000491C0000}"/>
    <cellStyle name="Normal 6 2 2 8" xfId="7913" xr:uid="{00000000-0005-0000-0000-00004A1C0000}"/>
    <cellStyle name="Normal 6 2 2 9" xfId="2721" xr:uid="{00000000-0005-0000-0000-00004B1C0000}"/>
    <cellStyle name="Normal 6 2 3" xfId="687" xr:uid="{00000000-0005-0000-0000-00004C1C0000}"/>
    <cellStyle name="Normal 6 2 3 2" xfId="688" xr:uid="{00000000-0005-0000-0000-00004D1C0000}"/>
    <cellStyle name="Normal 6 2 3 2 2" xfId="4606" xr:uid="{00000000-0005-0000-0000-00004E1C0000}"/>
    <cellStyle name="Normal 6 2 3 2 3" xfId="8003" xr:uid="{00000000-0005-0000-0000-00004F1C0000}"/>
    <cellStyle name="Normal 6 2 3 2 4" xfId="2947" xr:uid="{00000000-0005-0000-0000-0000501C0000}"/>
    <cellStyle name="Normal 6 2 3 3" xfId="3042" xr:uid="{00000000-0005-0000-0000-0000511C0000}"/>
    <cellStyle name="Normal 6 2 3 3 2" xfId="4689" xr:uid="{00000000-0005-0000-0000-0000521C0000}"/>
    <cellStyle name="Normal 6 2 3 3 3" xfId="8098" xr:uid="{00000000-0005-0000-0000-0000531C0000}"/>
    <cellStyle name="Normal 6 2 3 4" xfId="3835" xr:uid="{00000000-0005-0000-0000-0000541C0000}"/>
    <cellStyle name="Normal 6 2 3 4 2" xfId="6216" xr:uid="{00000000-0005-0000-0000-0000551C0000}"/>
    <cellStyle name="Normal 6 2 3 4 3" xfId="8746" xr:uid="{00000000-0005-0000-0000-0000561C0000}"/>
    <cellStyle name="Normal 6 2 3 5" xfId="2847" xr:uid="{00000000-0005-0000-0000-0000571C0000}"/>
    <cellStyle name="Normal 6 2 3 6" xfId="4410" xr:uid="{00000000-0005-0000-0000-0000581C0000}"/>
    <cellStyle name="Normal 6 2 3 7" xfId="7914" xr:uid="{00000000-0005-0000-0000-0000591C0000}"/>
    <cellStyle name="Normal 6 2 3 8" xfId="2722" xr:uid="{00000000-0005-0000-0000-00005A1C0000}"/>
    <cellStyle name="Normal 6 2 4" xfId="689" xr:uid="{00000000-0005-0000-0000-00005B1C0000}"/>
    <cellStyle name="Normal 6 2 4 2" xfId="5047" xr:uid="{00000000-0005-0000-0000-00005C1C0000}"/>
    <cellStyle name="Normal 6 2 4 3" xfId="8422" xr:uid="{00000000-0005-0000-0000-00005D1C0000}"/>
    <cellStyle name="Normal 6 2 4 4" xfId="3409" xr:uid="{00000000-0005-0000-0000-00005E1C0000}"/>
    <cellStyle name="Normal 6 2 5" xfId="690" xr:uid="{00000000-0005-0000-0000-00005F1C0000}"/>
    <cellStyle name="Normal 6 2 5 2" xfId="4408" xr:uid="{00000000-0005-0000-0000-0000601C0000}"/>
    <cellStyle name="Normal 6 2 6" xfId="6393" xr:uid="{00000000-0005-0000-0000-0000611C0000}"/>
    <cellStyle name="Normal 6 2 7" xfId="1123" xr:uid="{00000000-0005-0000-0000-0000621C0000}"/>
    <cellStyle name="Normal 6 3" xfId="691" xr:uid="{00000000-0005-0000-0000-0000631C0000}"/>
    <cellStyle name="Normal 6 3 2" xfId="692" xr:uid="{00000000-0005-0000-0000-0000641C0000}"/>
    <cellStyle name="Normal 6 3 3" xfId="6394" xr:uid="{00000000-0005-0000-0000-0000651C0000}"/>
    <cellStyle name="Normal 6 3 4" xfId="1124" xr:uid="{00000000-0005-0000-0000-0000661C0000}"/>
    <cellStyle name="Normal 6 4" xfId="693" xr:uid="{00000000-0005-0000-0000-0000671C0000}"/>
    <cellStyle name="Normal 6 4 2" xfId="694" xr:uid="{00000000-0005-0000-0000-0000681C0000}"/>
    <cellStyle name="Normal 6 4 2 2" xfId="2723" xr:uid="{00000000-0005-0000-0000-0000691C0000}"/>
    <cellStyle name="Normal 6 4 3" xfId="6411" xr:uid="{00000000-0005-0000-0000-00006A1C0000}"/>
    <cellStyle name="Normal 6 4 4" xfId="1156" xr:uid="{00000000-0005-0000-0000-00006B1C0000}"/>
    <cellStyle name="Normal 6 5" xfId="695" xr:uid="{00000000-0005-0000-0000-00006C1C0000}"/>
    <cellStyle name="Normal 6 5 2" xfId="2724" xr:uid="{00000000-0005-0000-0000-00006D1C0000}"/>
    <cellStyle name="Normal 6 5 3" xfId="4411" xr:uid="{00000000-0005-0000-0000-00006E1C0000}"/>
    <cellStyle name="Normal 6 5 4" xfId="7518" xr:uid="{00000000-0005-0000-0000-00006F1C0000}"/>
    <cellStyle name="Normal 6 5 5" xfId="2285" xr:uid="{00000000-0005-0000-0000-0000701C0000}"/>
    <cellStyle name="Normal 6 6" xfId="696" xr:uid="{00000000-0005-0000-0000-0000711C0000}"/>
    <cellStyle name="Normal 6 6 2" xfId="5046" xr:uid="{00000000-0005-0000-0000-0000721C0000}"/>
    <cellStyle name="Normal 6 6 3" xfId="8421" xr:uid="{00000000-0005-0000-0000-0000731C0000}"/>
    <cellStyle name="Normal 6 6 4" xfId="3408" xr:uid="{00000000-0005-0000-0000-0000741C0000}"/>
    <cellStyle name="Normal 6 7" xfId="697" xr:uid="{00000000-0005-0000-0000-0000751C0000}"/>
    <cellStyle name="Normal 6 8" xfId="698" xr:uid="{00000000-0005-0000-0000-0000761C0000}"/>
    <cellStyle name="Normal 6 9" xfId="699" xr:uid="{00000000-0005-0000-0000-0000771C0000}"/>
    <cellStyle name="Normal 6_global_PO" xfId="3410" xr:uid="{00000000-0005-0000-0000-0000781C0000}"/>
    <cellStyle name="Normal 60" xfId="700" xr:uid="{00000000-0005-0000-0000-0000791C0000}"/>
    <cellStyle name="Normal 60 2" xfId="2496" xr:uid="{00000000-0005-0000-0000-00007A1C0000}"/>
    <cellStyle name="Normal 60 2 2" xfId="4412" xr:uid="{00000000-0005-0000-0000-00007B1C0000}"/>
    <cellStyle name="Normal 60 2 3" xfId="7722" xr:uid="{00000000-0005-0000-0000-00007C1C0000}"/>
    <cellStyle name="Normal 60 3" xfId="8881" xr:uid="{00000000-0005-0000-0000-00007D1C0000}"/>
    <cellStyle name="Normal 61" xfId="701" xr:uid="{00000000-0005-0000-0000-00007E1C0000}"/>
    <cellStyle name="Normal 61 2" xfId="4413" xr:uid="{00000000-0005-0000-0000-00007F1C0000}"/>
    <cellStyle name="Normal 61 3" xfId="7723" xr:uid="{00000000-0005-0000-0000-0000801C0000}"/>
    <cellStyle name="Normal 61 4" xfId="2497" xr:uid="{00000000-0005-0000-0000-0000811C0000}"/>
    <cellStyle name="Normal 62" xfId="702" xr:uid="{00000000-0005-0000-0000-0000821C0000}"/>
    <cellStyle name="Normal 62 2" xfId="8882" xr:uid="{00000000-0005-0000-0000-0000831C0000}"/>
    <cellStyle name="Normal 63" xfId="703" xr:uid="{00000000-0005-0000-0000-0000841C0000}"/>
    <cellStyle name="Normal 63 2" xfId="4414" xr:uid="{00000000-0005-0000-0000-0000851C0000}"/>
    <cellStyle name="Normal 63 3" xfId="7724" xr:uid="{00000000-0005-0000-0000-0000861C0000}"/>
    <cellStyle name="Normal 63 4" xfId="2498" xr:uid="{00000000-0005-0000-0000-0000871C0000}"/>
    <cellStyle name="Normal 64" xfId="704" xr:uid="{00000000-0005-0000-0000-0000881C0000}"/>
    <cellStyle name="Normal 64 2" xfId="8883" xr:uid="{00000000-0005-0000-0000-0000891C0000}"/>
    <cellStyle name="Normal 65" xfId="705" xr:uid="{00000000-0005-0000-0000-00008A1C0000}"/>
    <cellStyle name="Normal 65 2" xfId="8884" xr:uid="{00000000-0005-0000-0000-00008B1C0000}"/>
    <cellStyle name="Normal 66" xfId="706" xr:uid="{00000000-0005-0000-0000-00008C1C0000}"/>
    <cellStyle name="Normal 66 2" xfId="8885" xr:uid="{00000000-0005-0000-0000-00008D1C0000}"/>
    <cellStyle name="Normal 67" xfId="707" xr:uid="{00000000-0005-0000-0000-00008E1C0000}"/>
    <cellStyle name="Normal 67 2" xfId="708" xr:uid="{00000000-0005-0000-0000-00008F1C0000}"/>
    <cellStyle name="Normal 68" xfId="8965" xr:uid="{00000000-0005-0000-0000-0000901C0000}"/>
    <cellStyle name="Normal 68 2" xfId="8966" xr:uid="{00000000-0005-0000-0000-0000911C0000}"/>
    <cellStyle name="Normal 69" xfId="8967" xr:uid="{00000000-0005-0000-0000-0000921C0000}"/>
    <cellStyle name="Normal 69 2" xfId="709" xr:uid="{00000000-0005-0000-0000-0000931C0000}"/>
    <cellStyle name="Normal 69 2 2" xfId="8968" xr:uid="{00000000-0005-0000-0000-0000941C0000}"/>
    <cellStyle name="Normal 7" xfId="710" xr:uid="{00000000-0005-0000-0000-0000951C0000}"/>
    <cellStyle name="Normal 7 10" xfId="1167" xr:uid="{00000000-0005-0000-0000-0000961C0000}"/>
    <cellStyle name="Normal 7 11" xfId="2499" xr:uid="{00000000-0005-0000-0000-0000971C0000}"/>
    <cellStyle name="Normal 7 12" xfId="2674" xr:uid="{00000000-0005-0000-0000-0000981C0000}"/>
    <cellStyle name="Normal 7 13" xfId="3878" xr:uid="{00000000-0005-0000-0000-0000991C0000}"/>
    <cellStyle name="Normal 7 14" xfId="6395" xr:uid="{00000000-0005-0000-0000-00009A1C0000}"/>
    <cellStyle name="Normal 7 15" xfId="1125" xr:uid="{00000000-0005-0000-0000-00009B1C0000}"/>
    <cellStyle name="Normal 7 2" xfId="711" xr:uid="{00000000-0005-0000-0000-00009C1C0000}"/>
    <cellStyle name="Normal 7 2 10" xfId="6396" xr:uid="{00000000-0005-0000-0000-00009D1C0000}"/>
    <cellStyle name="Normal 7 2 11" xfId="1126" xr:uid="{00000000-0005-0000-0000-00009E1C0000}"/>
    <cellStyle name="Normal 7 2 2" xfId="712" xr:uid="{00000000-0005-0000-0000-00009F1C0000}"/>
    <cellStyle name="Normal 7 2 2 2" xfId="713" xr:uid="{00000000-0005-0000-0000-0000A01C0000}"/>
    <cellStyle name="Normal 7 2 2 2 2" xfId="2945" xr:uid="{00000000-0005-0000-0000-0000A11C0000}"/>
    <cellStyle name="Normal 7 2 2 2 2 2" xfId="3838" xr:uid="{00000000-0005-0000-0000-0000A21C0000}"/>
    <cellStyle name="Normal 7 2 2 2 2 2 2" xfId="6219" xr:uid="{00000000-0005-0000-0000-0000A31C0000}"/>
    <cellStyle name="Normal 7 2 2 2 2 2 3" xfId="8749" xr:uid="{00000000-0005-0000-0000-0000A41C0000}"/>
    <cellStyle name="Normal 7 2 2 2 2 3" xfId="4603" xr:uid="{00000000-0005-0000-0000-0000A51C0000}"/>
    <cellStyle name="Normal 7 2 2 2 2 4" xfId="8001" xr:uid="{00000000-0005-0000-0000-0000A61C0000}"/>
    <cellStyle name="Normal 7 2 2 2 3" xfId="3040" xr:uid="{00000000-0005-0000-0000-0000A71C0000}"/>
    <cellStyle name="Normal 7 2 2 2 3 2" xfId="4686" xr:uid="{00000000-0005-0000-0000-0000A81C0000}"/>
    <cellStyle name="Normal 7 2 2 2 3 2 5 2 4 2 2 2 2 2 10" xfId="9846" xr:uid="{916D3936-82FD-40B7-B563-F28B958E10A9}"/>
    <cellStyle name="Normal 7 2 2 2 3 2 5 2 4 3 5 4 2" xfId="714" xr:uid="{00000000-0005-0000-0000-0000A91C0000}"/>
    <cellStyle name="Normal 7 2 2 2 3 3" xfId="8096" xr:uid="{00000000-0005-0000-0000-0000AA1C0000}"/>
    <cellStyle name="Normal 7 2 2 2 4" xfId="3685" xr:uid="{00000000-0005-0000-0000-0000AB1C0000}"/>
    <cellStyle name="Normal 7 2 2 2 4 2" xfId="5573" xr:uid="{00000000-0005-0000-0000-0000AC1C0000}"/>
    <cellStyle name="Normal 7 2 2 2 4 3" xfId="8613" xr:uid="{00000000-0005-0000-0000-0000AD1C0000}"/>
    <cellStyle name="Normal 7 2 2 2 5" xfId="2844" xr:uid="{00000000-0005-0000-0000-0000AE1C0000}"/>
    <cellStyle name="Normal 7 2 2 2 6" xfId="4417" xr:uid="{00000000-0005-0000-0000-0000AF1C0000}"/>
    <cellStyle name="Normal 7 2 2 2 7" xfId="6798" xr:uid="{00000000-0005-0000-0000-0000B01C0000}"/>
    <cellStyle name="Normal 7 2 2 2 8" xfId="1546" xr:uid="{00000000-0005-0000-0000-0000B11C0000}"/>
    <cellStyle name="Normal 7 2 2 3" xfId="1751" xr:uid="{00000000-0005-0000-0000-0000B21C0000}"/>
    <cellStyle name="Normal 7 2 2 3 2" xfId="5773" xr:uid="{00000000-0005-0000-0000-0000B31C0000}"/>
    <cellStyle name="Normal 7 2 2 3 2 5 2 3 2 2 2 2 2 10" xfId="9845" xr:uid="{173B9F1A-DC74-4049-881E-963C1996DF6F}"/>
    <cellStyle name="Normal 7 2 2 3 2 6 3 2 3 2 2 10" xfId="9844" xr:uid="{54E5FD7F-D5C0-4AEB-9F4F-9120C064060F}"/>
    <cellStyle name="Normal 7 2 2 3 2 8 2 4 2" xfId="715" xr:uid="{00000000-0005-0000-0000-0000B41C0000}"/>
    <cellStyle name="Normal 7 2 2 3 3" xfId="6998" xr:uid="{00000000-0005-0000-0000-0000B51C0000}"/>
    <cellStyle name="Normal 7 2 2 4" xfId="1965" xr:uid="{00000000-0005-0000-0000-0000B61C0000}"/>
    <cellStyle name="Normal 7 2 2 4 2" xfId="5985" xr:uid="{00000000-0005-0000-0000-0000B71C0000}"/>
    <cellStyle name="Normal 7 2 2 4 3" xfId="7212" xr:uid="{00000000-0005-0000-0000-0000B81C0000}"/>
    <cellStyle name="Normal 7 2 2 5" xfId="2725" xr:uid="{00000000-0005-0000-0000-0000B91C0000}"/>
    <cellStyle name="Normal 7 2 2 5 2" xfId="3639" xr:uid="{00000000-0005-0000-0000-0000BA1C0000}"/>
    <cellStyle name="Normal 7 2 2 5 3" xfId="5311" xr:uid="{00000000-0005-0000-0000-0000BB1C0000}"/>
    <cellStyle name="Normal 7 2 2 5 4" xfId="7915" xr:uid="{00000000-0005-0000-0000-0000BC1C0000}"/>
    <cellStyle name="Normal 7 2 2 6" xfId="4416" xr:uid="{00000000-0005-0000-0000-0000BD1C0000}"/>
    <cellStyle name="Normal 7 2 2 7" xfId="6526" xr:uid="{00000000-0005-0000-0000-0000BE1C0000}"/>
    <cellStyle name="Normal 7 2 2 8" xfId="1274" xr:uid="{00000000-0005-0000-0000-0000BF1C0000}"/>
    <cellStyle name="Normal 7 2 3" xfId="1321" xr:uid="{00000000-0005-0000-0000-0000C01C0000}"/>
    <cellStyle name="Normal 7 2 3 2" xfId="1589" xr:uid="{00000000-0005-0000-0000-0000C11C0000}"/>
    <cellStyle name="Normal 7 2 3 2 2" xfId="3690" xr:uid="{00000000-0005-0000-0000-0000C21C0000}"/>
    <cellStyle name="Normal 7 2 3 2 2 2" xfId="5615" xr:uid="{00000000-0005-0000-0000-0000C31C0000}"/>
    <cellStyle name="Normal 7 2 3 2 2 3" xfId="8616" xr:uid="{00000000-0005-0000-0000-0000C41C0000}"/>
    <cellStyle name="Normal 7 2 3 2 3" xfId="4604" xr:uid="{00000000-0005-0000-0000-0000C51C0000}"/>
    <cellStyle name="Normal 7 2 3 2 4" xfId="6840" xr:uid="{00000000-0005-0000-0000-0000C61C0000}"/>
    <cellStyle name="Normal 7 2 3 3" xfId="1793" xr:uid="{00000000-0005-0000-0000-0000C71C0000}"/>
    <cellStyle name="Normal 7 2 3 3 2" xfId="3703" xr:uid="{00000000-0005-0000-0000-0000C81C0000}"/>
    <cellStyle name="Normal 7 2 3 3 2 2" xfId="5814" xr:uid="{00000000-0005-0000-0000-0000C91C0000}"/>
    <cellStyle name="Normal 7 2 3 3 2 3" xfId="8622" xr:uid="{00000000-0005-0000-0000-0000CA1C0000}"/>
    <cellStyle name="Normal 7 2 3 3 3" xfId="4687" xr:uid="{00000000-0005-0000-0000-0000CB1C0000}"/>
    <cellStyle name="Normal 7 2 3 3 4" xfId="7040" xr:uid="{00000000-0005-0000-0000-0000CC1C0000}"/>
    <cellStyle name="Normal 7 2 3 4" xfId="1964" xr:uid="{00000000-0005-0000-0000-0000CD1C0000}"/>
    <cellStyle name="Normal 7 2 3 4 2" xfId="5984" xr:uid="{00000000-0005-0000-0000-0000CE1C0000}"/>
    <cellStyle name="Normal 7 2 3 4 3" xfId="7211" xr:uid="{00000000-0005-0000-0000-0000CF1C0000}"/>
    <cellStyle name="Normal 7 2 3 5" xfId="3662" xr:uid="{00000000-0005-0000-0000-0000D01C0000}"/>
    <cellStyle name="Normal 7 2 3 5 2" xfId="5357" xr:uid="{00000000-0005-0000-0000-0000D11C0000}"/>
    <cellStyle name="Normal 7 2 3 5 3" xfId="8605" xr:uid="{00000000-0005-0000-0000-0000D21C0000}"/>
    <cellStyle name="Normal 7 2 3 6" xfId="2845" xr:uid="{00000000-0005-0000-0000-0000D31C0000}"/>
    <cellStyle name="Normal 7 2 3 7" xfId="4418" xr:uid="{00000000-0005-0000-0000-0000D41C0000}"/>
    <cellStyle name="Normal 7 2 3 8" xfId="6573" xr:uid="{00000000-0005-0000-0000-0000D51C0000}"/>
    <cellStyle name="Normal 7 2 4" xfId="716" xr:uid="{00000000-0005-0000-0000-0000D61C0000}"/>
    <cellStyle name="Normal 7 2 4 2" xfId="5501" xr:uid="{00000000-0005-0000-0000-0000D71C0000}"/>
    <cellStyle name="Normal 7 2 4 3" xfId="6725" xr:uid="{00000000-0005-0000-0000-0000D81C0000}"/>
    <cellStyle name="Normal 7 2 4 4" xfId="1473" xr:uid="{00000000-0005-0000-0000-0000D91C0000}"/>
    <cellStyle name="Normal 7 2 5" xfId="1680" xr:uid="{00000000-0005-0000-0000-0000DA1C0000}"/>
    <cellStyle name="Normal 7 2 5 2" xfId="5702" xr:uid="{00000000-0005-0000-0000-0000DB1C0000}"/>
    <cellStyle name="Normal 7 2 5 3" xfId="6927" xr:uid="{00000000-0005-0000-0000-0000DC1C0000}"/>
    <cellStyle name="Normal 7 2 6" xfId="1764" xr:uid="{00000000-0005-0000-0000-0000DD1C0000}"/>
    <cellStyle name="Normal 7 2 6 2" xfId="5786" xr:uid="{00000000-0005-0000-0000-0000DE1C0000}"/>
    <cellStyle name="Normal 7 2 6 3" xfId="7011" xr:uid="{00000000-0005-0000-0000-0000DF1C0000}"/>
    <cellStyle name="Normal 7 2 7" xfId="1203" xr:uid="{00000000-0005-0000-0000-0000E01C0000}"/>
    <cellStyle name="Normal 7 2 7 2" xfId="5244" xr:uid="{00000000-0005-0000-0000-0000E11C0000}"/>
    <cellStyle name="Normal 7 2 7 3" xfId="6455" xr:uid="{00000000-0005-0000-0000-0000E21C0000}"/>
    <cellStyle name="Normal 7 2 8" xfId="2500" xr:uid="{00000000-0005-0000-0000-0000E31C0000}"/>
    <cellStyle name="Normal 7 2 8 2" xfId="3411" xr:uid="{00000000-0005-0000-0000-0000E41C0000}"/>
    <cellStyle name="Normal 7 2 8 3" xfId="5048" xr:uid="{00000000-0005-0000-0000-0000E51C0000}"/>
    <cellStyle name="Normal 7 2 8 4" xfId="7725" xr:uid="{00000000-0005-0000-0000-0000E61C0000}"/>
    <cellStyle name="Normal 7 2 9" xfId="4415" xr:uid="{00000000-0005-0000-0000-0000E71C0000}"/>
    <cellStyle name="Normal 7 3" xfId="717" xr:uid="{00000000-0005-0000-0000-0000E81C0000}"/>
    <cellStyle name="Normal 7 3 2" xfId="718" xr:uid="{00000000-0005-0000-0000-0000E91C0000}"/>
    <cellStyle name="Normal 7 3 2 2" xfId="2726" xr:uid="{00000000-0005-0000-0000-0000EA1C0000}"/>
    <cellStyle name="Normal 7 3 2 2 2" xfId="3683" xr:uid="{00000000-0005-0000-0000-0000EB1C0000}"/>
    <cellStyle name="Normal 7 3 2 2 3" xfId="5550" xr:uid="{00000000-0005-0000-0000-0000EC1C0000}"/>
    <cellStyle name="Normal 7 3 2 2 4" xfId="7916" xr:uid="{00000000-0005-0000-0000-0000ED1C0000}"/>
    <cellStyle name="Normal 7 3 2 3" xfId="4420" xr:uid="{00000000-0005-0000-0000-0000EE1C0000}"/>
    <cellStyle name="Normal 7 3 2 4" xfId="6775" xr:uid="{00000000-0005-0000-0000-0000EF1C0000}"/>
    <cellStyle name="Normal 7 3 2 5" xfId="1523" xr:uid="{00000000-0005-0000-0000-0000F01C0000}"/>
    <cellStyle name="Normal 7 3 3" xfId="1728" xr:uid="{00000000-0005-0000-0000-0000F11C0000}"/>
    <cellStyle name="Normal 7 3 3 2" xfId="2944" xr:uid="{00000000-0005-0000-0000-0000F21C0000}"/>
    <cellStyle name="Normal 7 3 3 2 2" xfId="3845" xr:uid="{00000000-0005-0000-0000-0000F31C0000}"/>
    <cellStyle name="Normal 7 3 3 2 2 2" xfId="6223" xr:uid="{00000000-0005-0000-0000-0000F41C0000}"/>
    <cellStyle name="Normal 7 3 3 2 2 3" xfId="8756" xr:uid="{00000000-0005-0000-0000-0000F51C0000}"/>
    <cellStyle name="Normal 7 3 3 2 3" xfId="4602" xr:uid="{00000000-0005-0000-0000-0000F61C0000}"/>
    <cellStyle name="Normal 7 3 3 2 4" xfId="8000" xr:uid="{00000000-0005-0000-0000-0000F71C0000}"/>
    <cellStyle name="Normal 7 3 3 3" xfId="3039" xr:uid="{00000000-0005-0000-0000-0000F81C0000}"/>
    <cellStyle name="Normal 7 3 3 3 2" xfId="4685" xr:uid="{00000000-0005-0000-0000-0000F91C0000}"/>
    <cellStyle name="Normal 7 3 3 3 3" xfId="8095" xr:uid="{00000000-0005-0000-0000-0000FA1C0000}"/>
    <cellStyle name="Normal 7 3 3 4" xfId="3698" xr:uid="{00000000-0005-0000-0000-0000FB1C0000}"/>
    <cellStyle name="Normal 7 3 3 4 2" xfId="5750" xr:uid="{00000000-0005-0000-0000-0000FC1C0000}"/>
    <cellStyle name="Normal 7 3 3 4 3" xfId="8618" xr:uid="{00000000-0005-0000-0000-0000FD1C0000}"/>
    <cellStyle name="Normal 7 3 3 5" xfId="2843" xr:uid="{00000000-0005-0000-0000-0000FE1C0000}"/>
    <cellStyle name="Normal 7 3 3 6" xfId="4421" xr:uid="{00000000-0005-0000-0000-0000FF1C0000}"/>
    <cellStyle name="Normal 7 3 3 7" xfId="6975" xr:uid="{00000000-0005-0000-0000-0000001D0000}"/>
    <cellStyle name="Normal 7 3 4" xfId="1627" xr:uid="{00000000-0005-0000-0000-0000011D0000}"/>
    <cellStyle name="Normal 7 3 4 2" xfId="5653" xr:uid="{00000000-0005-0000-0000-0000021D0000}"/>
    <cellStyle name="Normal 7 3 4 3" xfId="6878" xr:uid="{00000000-0005-0000-0000-0000031D0000}"/>
    <cellStyle name="Normal 7 3 5" xfId="1253" xr:uid="{00000000-0005-0000-0000-0000041D0000}"/>
    <cellStyle name="Normal 7 3 5 2" xfId="5289" xr:uid="{00000000-0005-0000-0000-0000051D0000}"/>
    <cellStyle name="Normal 7 3 5 3" xfId="6505" xr:uid="{00000000-0005-0000-0000-0000061D0000}"/>
    <cellStyle name="Normal 7 3 6" xfId="2501" xr:uid="{00000000-0005-0000-0000-0000071D0000}"/>
    <cellStyle name="Normal 7 3 7" xfId="4419" xr:uid="{00000000-0005-0000-0000-0000081D0000}"/>
    <cellStyle name="Normal 7 3 8" xfId="6397" xr:uid="{00000000-0005-0000-0000-0000091D0000}"/>
    <cellStyle name="Normal 7 3 9" xfId="1127" xr:uid="{00000000-0005-0000-0000-00000A1D0000}"/>
    <cellStyle name="Normal 7 4" xfId="719" xr:uid="{00000000-0005-0000-0000-00000B1D0000}"/>
    <cellStyle name="Normal 7 4 2" xfId="1568" xr:uid="{00000000-0005-0000-0000-00000C1D0000}"/>
    <cellStyle name="Normal 7 4 2 2" xfId="2727" xr:uid="{00000000-0005-0000-0000-00000D1D0000}"/>
    <cellStyle name="Normal 7 4 2 2 2" xfId="3688" xr:uid="{00000000-0005-0000-0000-00000E1D0000}"/>
    <cellStyle name="Normal 7 4 2 2 3" xfId="5594" xr:uid="{00000000-0005-0000-0000-00000F1D0000}"/>
    <cellStyle name="Normal 7 4 2 2 4" xfId="7917" xr:uid="{00000000-0005-0000-0000-0000101D0000}"/>
    <cellStyle name="Normal 7 4 2 3" xfId="4423" xr:uid="{00000000-0005-0000-0000-0000111D0000}"/>
    <cellStyle name="Normal 7 4 2 4" xfId="6819" xr:uid="{00000000-0005-0000-0000-0000121D0000}"/>
    <cellStyle name="Normal 7 4 3" xfId="1772" xr:uid="{00000000-0005-0000-0000-0000131D0000}"/>
    <cellStyle name="Normal 7 4 3 2" xfId="5793" xr:uid="{00000000-0005-0000-0000-0000141D0000}"/>
    <cellStyle name="Normal 7 4 3 3" xfId="7019" xr:uid="{00000000-0005-0000-0000-0000151D0000}"/>
    <cellStyle name="Normal 7 4 4" xfId="2008" xr:uid="{00000000-0005-0000-0000-0000161D0000}"/>
    <cellStyle name="Normal 7 4 4 2" xfId="6027" xr:uid="{00000000-0005-0000-0000-0000171D0000}"/>
    <cellStyle name="Normal 7 4 4 3" xfId="7255" xr:uid="{00000000-0005-0000-0000-0000181D0000}"/>
    <cellStyle name="Normal 7 4 5" xfId="2502" xr:uid="{00000000-0005-0000-0000-0000191D0000}"/>
    <cellStyle name="Normal 7 4 5 2" xfId="3657" xr:uid="{00000000-0005-0000-0000-00001A1D0000}"/>
    <cellStyle name="Normal 7 4 5 3" xfId="5335" xr:uid="{00000000-0005-0000-0000-00001B1D0000}"/>
    <cellStyle name="Normal 7 4 5 4" xfId="7726" xr:uid="{00000000-0005-0000-0000-00001C1D0000}"/>
    <cellStyle name="Normal 7 4 6" xfId="4422" xr:uid="{00000000-0005-0000-0000-00001D1D0000}"/>
    <cellStyle name="Normal 7 4 7" xfId="6551" xr:uid="{00000000-0005-0000-0000-00001E1D0000}"/>
    <cellStyle name="Normal 7 4 8" xfId="1299" xr:uid="{00000000-0005-0000-0000-00001F1D0000}"/>
    <cellStyle name="Normal 7 5" xfId="1448" xr:uid="{00000000-0005-0000-0000-0000201D0000}"/>
    <cellStyle name="Normal 7 5 2" xfId="2503" xr:uid="{00000000-0005-0000-0000-0000211D0000}"/>
    <cellStyle name="Normal 7 5 2 2" xfId="3676" xr:uid="{00000000-0005-0000-0000-0000221D0000}"/>
    <cellStyle name="Normal 7 5 2 3" xfId="5476" xr:uid="{00000000-0005-0000-0000-0000231D0000}"/>
    <cellStyle name="Normal 7 5 2 4" xfId="7727" xr:uid="{00000000-0005-0000-0000-0000241D0000}"/>
    <cellStyle name="Normal 7 5 3" xfId="4424" xr:uid="{00000000-0005-0000-0000-0000251D0000}"/>
    <cellStyle name="Normal 7 5 4" xfId="6700" xr:uid="{00000000-0005-0000-0000-0000261D0000}"/>
    <cellStyle name="Normal 7 6" xfId="1512" xr:uid="{00000000-0005-0000-0000-0000271D0000}"/>
    <cellStyle name="Normal 7 6 2" xfId="2728" xr:uid="{00000000-0005-0000-0000-0000281D0000}"/>
    <cellStyle name="Normal 7 6 2 2" xfId="3681" xr:uid="{00000000-0005-0000-0000-0000291D0000}"/>
    <cellStyle name="Normal 7 6 2 3" xfId="5540" xr:uid="{00000000-0005-0000-0000-00002A1D0000}"/>
    <cellStyle name="Normal 7 6 2 4" xfId="7918" xr:uid="{00000000-0005-0000-0000-00002B1D0000}"/>
    <cellStyle name="Normal 7 6 3" xfId="4425" xr:uid="{00000000-0005-0000-0000-00002C1D0000}"/>
    <cellStyle name="Normal 7 6 4" xfId="6764" xr:uid="{00000000-0005-0000-0000-00002D1D0000}"/>
    <cellStyle name="Normal 7 7" xfId="1981" xr:uid="{00000000-0005-0000-0000-00002E1D0000}"/>
    <cellStyle name="Normal 7 7 2" xfId="2923" xr:uid="{00000000-0005-0000-0000-00002F1D0000}"/>
    <cellStyle name="Normal 7 7 2 2" xfId="3851" xr:uid="{00000000-0005-0000-0000-0000301D0000}"/>
    <cellStyle name="Normal 7 7 2 2 2" xfId="6227" xr:uid="{00000000-0005-0000-0000-0000311D0000}"/>
    <cellStyle name="Normal 7 7 2 2 3" xfId="8762" xr:uid="{00000000-0005-0000-0000-0000321D0000}"/>
    <cellStyle name="Normal 7 7 2 3" xfId="4591" xr:uid="{00000000-0005-0000-0000-0000331D0000}"/>
    <cellStyle name="Normal 7 7 2 4" xfId="7980" xr:uid="{00000000-0005-0000-0000-0000341D0000}"/>
    <cellStyle name="Normal 7 7 3" xfId="3016" xr:uid="{00000000-0005-0000-0000-0000351D0000}"/>
    <cellStyle name="Normal 7 7 3 2" xfId="4675" xr:uid="{00000000-0005-0000-0000-0000361D0000}"/>
    <cellStyle name="Normal 7 7 3 3" xfId="8072" xr:uid="{00000000-0005-0000-0000-0000371D0000}"/>
    <cellStyle name="Normal 7 7 4" xfId="3706" xr:uid="{00000000-0005-0000-0000-0000381D0000}"/>
    <cellStyle name="Normal 7 7 4 2" xfId="6000" xr:uid="{00000000-0005-0000-0000-0000391D0000}"/>
    <cellStyle name="Normal 7 7 4 3" xfId="8623" xr:uid="{00000000-0005-0000-0000-00003A1D0000}"/>
    <cellStyle name="Normal 7 7 5" xfId="2816" xr:uid="{00000000-0005-0000-0000-00003B1D0000}"/>
    <cellStyle name="Normal 7 7 6" xfId="4426" xr:uid="{00000000-0005-0000-0000-00003C1D0000}"/>
    <cellStyle name="Normal 7 7 7" xfId="7228" xr:uid="{00000000-0005-0000-0000-00003D1D0000}"/>
    <cellStyle name="Normal 7 8" xfId="1180" xr:uid="{00000000-0005-0000-0000-00003E1D0000}"/>
    <cellStyle name="Normal 7 8 2" xfId="3821" xr:uid="{00000000-0005-0000-0000-00003F1D0000}"/>
    <cellStyle name="Normal 7 8 2 2" xfId="6206" xr:uid="{00000000-0005-0000-0000-0000401D0000}"/>
    <cellStyle name="Normal 7 8 2 3" xfId="8732" xr:uid="{00000000-0005-0000-0000-0000411D0000}"/>
    <cellStyle name="Normal 7 8 3" xfId="3806" xr:uid="{00000000-0005-0000-0000-0000421D0000}"/>
    <cellStyle name="Normal 7 8 3 2" xfId="6195" xr:uid="{00000000-0005-0000-0000-0000431D0000}"/>
    <cellStyle name="Normal 7 8 3 3" xfId="8717" xr:uid="{00000000-0005-0000-0000-0000441D0000}"/>
    <cellStyle name="Normal 7 8 4" xfId="5222" xr:uid="{00000000-0005-0000-0000-0000451D0000}"/>
    <cellStyle name="Normal 7 8 5" xfId="6432" xr:uid="{00000000-0005-0000-0000-0000461D0000}"/>
    <cellStyle name="Normal 7 9" xfId="1171" xr:uid="{00000000-0005-0000-0000-0000471D0000}"/>
    <cellStyle name="Normal 7 9 2" xfId="6163" xr:uid="{00000000-0005-0000-0000-0000481D0000}"/>
    <cellStyle name="Normal 7 9 3" xfId="6424" xr:uid="{00000000-0005-0000-0000-0000491D0000}"/>
    <cellStyle name="Normal 70" xfId="8970" xr:uid="{00000000-0005-0000-0000-00004A1D0000}"/>
    <cellStyle name="Normal 70 2" xfId="8972" xr:uid="{00000000-0005-0000-0000-00004B1D0000}"/>
    <cellStyle name="Normal 71" xfId="8971" xr:uid="{00000000-0005-0000-0000-00004C1D0000}"/>
    <cellStyle name="Normal 71 2" xfId="8974" xr:uid="{00000000-0005-0000-0000-00004D1D0000}"/>
    <cellStyle name="Normal 72" xfId="2504" xr:uid="{00000000-0005-0000-0000-00004E1D0000}"/>
    <cellStyle name="Normal 72 2" xfId="4427" xr:uid="{00000000-0005-0000-0000-00004F1D0000}"/>
    <cellStyle name="Normal 72 3" xfId="7728" xr:uid="{00000000-0005-0000-0000-0000501D0000}"/>
    <cellStyle name="Normal 73" xfId="2505" xr:uid="{00000000-0005-0000-0000-0000511D0000}"/>
    <cellStyle name="Normal 73 2" xfId="4428" xr:uid="{00000000-0005-0000-0000-0000521D0000}"/>
    <cellStyle name="Normal 73 3" xfId="7729" xr:uid="{00000000-0005-0000-0000-0000531D0000}"/>
    <cellStyle name="Normal 74" xfId="2506" xr:uid="{00000000-0005-0000-0000-0000541D0000}"/>
    <cellStyle name="Normal 74 2" xfId="4429" xr:uid="{00000000-0005-0000-0000-0000551D0000}"/>
    <cellStyle name="Normal 74 3" xfId="7730" xr:uid="{00000000-0005-0000-0000-0000561D0000}"/>
    <cellStyle name="Normal 75" xfId="2507" xr:uid="{00000000-0005-0000-0000-0000571D0000}"/>
    <cellStyle name="Normal 75 2" xfId="4430" xr:uid="{00000000-0005-0000-0000-0000581D0000}"/>
    <cellStyle name="Normal 75 3" xfId="7731" xr:uid="{00000000-0005-0000-0000-0000591D0000}"/>
    <cellStyle name="Normal 76" xfId="2508" xr:uid="{00000000-0005-0000-0000-00005A1D0000}"/>
    <cellStyle name="Normal 76 2" xfId="4431" xr:uid="{00000000-0005-0000-0000-00005B1D0000}"/>
    <cellStyle name="Normal 76 3" xfId="7732" xr:uid="{00000000-0005-0000-0000-00005C1D0000}"/>
    <cellStyle name="Normal 77" xfId="8973" xr:uid="{00000000-0005-0000-0000-00005D1D0000}"/>
    <cellStyle name="Normal 77 2" xfId="9129" xr:uid="{00000000-0005-0000-0000-00005E1D0000}"/>
    <cellStyle name="Normal 78" xfId="2509" xr:uid="{00000000-0005-0000-0000-00005F1D0000}"/>
    <cellStyle name="Normal 78 2" xfId="4432" xr:uid="{00000000-0005-0000-0000-0000601D0000}"/>
    <cellStyle name="Normal 78 3" xfId="7733" xr:uid="{00000000-0005-0000-0000-0000611D0000}"/>
    <cellStyle name="Normal 79" xfId="2510" xr:uid="{00000000-0005-0000-0000-0000621D0000}"/>
    <cellStyle name="Normal 79 2" xfId="4433" xr:uid="{00000000-0005-0000-0000-0000631D0000}"/>
    <cellStyle name="Normal 79 3" xfId="7734" xr:uid="{00000000-0005-0000-0000-0000641D0000}"/>
    <cellStyle name="Normal 8" xfId="720" xr:uid="{00000000-0005-0000-0000-0000651D0000}"/>
    <cellStyle name="Normal 8 10" xfId="3879" xr:uid="{00000000-0005-0000-0000-0000661D0000}"/>
    <cellStyle name="Normal 8 11" xfId="6398" xr:uid="{00000000-0005-0000-0000-0000671D0000}"/>
    <cellStyle name="Normal 8 12" xfId="1128" xr:uid="{00000000-0005-0000-0000-0000681D0000}"/>
    <cellStyle name="Normal 8 2" xfId="721" xr:uid="{00000000-0005-0000-0000-0000691D0000}"/>
    <cellStyle name="Normal 8 2 10" xfId="6399" xr:uid="{00000000-0005-0000-0000-00006A1D0000}"/>
    <cellStyle name="Normal 8 2 11" xfId="1129" xr:uid="{00000000-0005-0000-0000-00006B1D0000}"/>
    <cellStyle name="Normal 8 2 2" xfId="722" xr:uid="{00000000-0005-0000-0000-00006C1D0000}"/>
    <cellStyle name="Normal 8 2 2 2" xfId="1547" xr:uid="{00000000-0005-0000-0000-00006D1D0000}"/>
    <cellStyle name="Normal 8 2 2 2 2" xfId="5574" xr:uid="{00000000-0005-0000-0000-00006E1D0000}"/>
    <cellStyle name="Normal 8 2 2 2 3" xfId="6799" xr:uid="{00000000-0005-0000-0000-00006F1D0000}"/>
    <cellStyle name="Normal 8 2 2 3" xfId="1752" xr:uid="{00000000-0005-0000-0000-0000701D0000}"/>
    <cellStyle name="Normal 8 2 2 3 2" xfId="5774" xr:uid="{00000000-0005-0000-0000-0000711D0000}"/>
    <cellStyle name="Normal 8 2 2 3 3" xfId="6999" xr:uid="{00000000-0005-0000-0000-0000721D0000}"/>
    <cellStyle name="Normal 8 2 2 4" xfId="1947" xr:uid="{00000000-0005-0000-0000-0000731D0000}"/>
    <cellStyle name="Normal 8 2 2 4 2" xfId="5967" xr:uid="{00000000-0005-0000-0000-0000741D0000}"/>
    <cellStyle name="Normal 8 2 2 4 3" xfId="7194" xr:uid="{00000000-0005-0000-0000-0000751D0000}"/>
    <cellStyle name="Normal 8 2 2 5" xfId="2729" xr:uid="{00000000-0005-0000-0000-0000761D0000}"/>
    <cellStyle name="Normal 8 2 2 5 2" xfId="3640" xr:uid="{00000000-0005-0000-0000-0000771D0000}"/>
    <cellStyle name="Normal 8 2 2 5 3" xfId="5312" xr:uid="{00000000-0005-0000-0000-0000781D0000}"/>
    <cellStyle name="Normal 8 2 2 5 4" xfId="7919" xr:uid="{00000000-0005-0000-0000-0000791D0000}"/>
    <cellStyle name="Normal 8 2 2 6" xfId="4435" xr:uid="{00000000-0005-0000-0000-00007A1D0000}"/>
    <cellStyle name="Normal 8 2 2 7" xfId="6527" xr:uid="{00000000-0005-0000-0000-00007B1D0000}"/>
    <cellStyle name="Normal 8 2 2 8" xfId="1275" xr:uid="{00000000-0005-0000-0000-00007C1D0000}"/>
    <cellStyle name="Normal 8 2 3" xfId="1322" xr:uid="{00000000-0005-0000-0000-00007D1D0000}"/>
    <cellStyle name="Normal 8 2 3 2" xfId="1590" xr:uid="{00000000-0005-0000-0000-00007E1D0000}"/>
    <cellStyle name="Normal 8 2 3 2 2" xfId="5616" xr:uid="{00000000-0005-0000-0000-00007F1D0000}"/>
    <cellStyle name="Normal 8 2 3 2 3" xfId="6841" xr:uid="{00000000-0005-0000-0000-0000801D0000}"/>
    <cellStyle name="Normal 8 2 3 3" xfId="1794" xr:uid="{00000000-0005-0000-0000-0000811D0000}"/>
    <cellStyle name="Normal 8 2 3 3 2" xfId="5815" xr:uid="{00000000-0005-0000-0000-0000821D0000}"/>
    <cellStyle name="Normal 8 2 3 3 3" xfId="7041" xr:uid="{00000000-0005-0000-0000-0000831D0000}"/>
    <cellStyle name="Normal 8 2 3 4" xfId="1946" xr:uid="{00000000-0005-0000-0000-0000841D0000}"/>
    <cellStyle name="Normal 8 2 3 4 2" xfId="5966" xr:uid="{00000000-0005-0000-0000-0000851D0000}"/>
    <cellStyle name="Normal 8 2 3 4 3" xfId="7193" xr:uid="{00000000-0005-0000-0000-0000861D0000}"/>
    <cellStyle name="Normal 8 2 3 5" xfId="5358" xr:uid="{00000000-0005-0000-0000-0000871D0000}"/>
    <cellStyle name="Normal 8 2 3 6" xfId="6574" xr:uid="{00000000-0005-0000-0000-0000881D0000}"/>
    <cellStyle name="Normal 8 2 4" xfId="1474" xr:uid="{00000000-0005-0000-0000-0000891D0000}"/>
    <cellStyle name="Normal 8 2 4 2" xfId="5502" xr:uid="{00000000-0005-0000-0000-00008A1D0000}"/>
    <cellStyle name="Normal 8 2 4 3" xfId="6726" xr:uid="{00000000-0005-0000-0000-00008B1D0000}"/>
    <cellStyle name="Normal 8 2 5" xfId="1681" xr:uid="{00000000-0005-0000-0000-00008C1D0000}"/>
    <cellStyle name="Normal 8 2 5 2" xfId="5703" xr:uid="{00000000-0005-0000-0000-00008D1D0000}"/>
    <cellStyle name="Normal 8 2 5 3" xfId="6928" xr:uid="{00000000-0005-0000-0000-00008E1D0000}"/>
    <cellStyle name="Normal 8 2 6" xfId="1763" xr:uid="{00000000-0005-0000-0000-00008F1D0000}"/>
    <cellStyle name="Normal 8 2 6 2" xfId="5785" xr:uid="{00000000-0005-0000-0000-0000901D0000}"/>
    <cellStyle name="Normal 8 2 6 3" xfId="7010" xr:uid="{00000000-0005-0000-0000-0000911D0000}"/>
    <cellStyle name="Normal 8 2 7" xfId="1204" xr:uid="{00000000-0005-0000-0000-0000921D0000}"/>
    <cellStyle name="Normal 8 2 7 2" xfId="5245" xr:uid="{00000000-0005-0000-0000-0000931D0000}"/>
    <cellStyle name="Normal 8 2 7 3" xfId="6456" xr:uid="{00000000-0005-0000-0000-0000941D0000}"/>
    <cellStyle name="Normal 8 2 8" xfId="3413" xr:uid="{00000000-0005-0000-0000-0000951D0000}"/>
    <cellStyle name="Normal 8 2 8 2" xfId="5050" xr:uid="{00000000-0005-0000-0000-0000961D0000}"/>
    <cellStyle name="Normal 8 2 8 3" xfId="8424" xr:uid="{00000000-0005-0000-0000-0000971D0000}"/>
    <cellStyle name="Normal 8 2 9" xfId="4434" xr:uid="{00000000-0005-0000-0000-0000981D0000}"/>
    <cellStyle name="Normal 8 3" xfId="723" xr:uid="{00000000-0005-0000-0000-0000991D0000}"/>
    <cellStyle name="Normal 8 3 2" xfId="1524" xr:uid="{00000000-0005-0000-0000-00009A1D0000}"/>
    <cellStyle name="Normal 8 3 2 2" xfId="5551" xr:uid="{00000000-0005-0000-0000-00009B1D0000}"/>
    <cellStyle name="Normal 8 3 2 3" xfId="6776" xr:uid="{00000000-0005-0000-0000-00009C1D0000}"/>
    <cellStyle name="Normal 8 3 3" xfId="1729" xr:uid="{00000000-0005-0000-0000-00009D1D0000}"/>
    <cellStyle name="Normal 8 3 3 2" xfId="5751" xr:uid="{00000000-0005-0000-0000-00009E1D0000}"/>
    <cellStyle name="Normal 8 3 3 3" xfId="6976" xr:uid="{00000000-0005-0000-0000-00009F1D0000}"/>
    <cellStyle name="Normal 8 3 4" xfId="1519" xr:uid="{00000000-0005-0000-0000-0000A01D0000}"/>
    <cellStyle name="Normal 8 3 4 2" xfId="5547" xr:uid="{00000000-0005-0000-0000-0000A11D0000}"/>
    <cellStyle name="Normal 8 3 4 3" xfId="6771" xr:uid="{00000000-0005-0000-0000-0000A21D0000}"/>
    <cellStyle name="Normal 8 3 5" xfId="5290" xr:uid="{00000000-0005-0000-0000-0000A31D0000}"/>
    <cellStyle name="Normal 8 3 6" xfId="6407" xr:uid="{00000000-0005-0000-0000-0000A41D0000}"/>
    <cellStyle name="Normal 8 3 7" xfId="1152" xr:uid="{00000000-0005-0000-0000-0000A51D0000}"/>
    <cellStyle name="Normal 8 4" xfId="724" xr:uid="{00000000-0005-0000-0000-0000A61D0000}"/>
    <cellStyle name="Normal 8 4 2" xfId="1569" xr:uid="{00000000-0005-0000-0000-0000A71D0000}"/>
    <cellStyle name="Normal 8 4 2 2" xfId="5595" xr:uid="{00000000-0005-0000-0000-0000A81D0000}"/>
    <cellStyle name="Normal 8 4 2 3" xfId="6820" xr:uid="{00000000-0005-0000-0000-0000A91D0000}"/>
    <cellStyle name="Normal 8 4 3" xfId="1773" xr:uid="{00000000-0005-0000-0000-0000AA1D0000}"/>
    <cellStyle name="Normal 8 4 3 2" xfId="5794" xr:uid="{00000000-0005-0000-0000-0000AB1D0000}"/>
    <cellStyle name="Normal 8 4 3 3" xfId="7020" xr:uid="{00000000-0005-0000-0000-0000AC1D0000}"/>
    <cellStyle name="Normal 8 4 4" xfId="1997" xr:uid="{00000000-0005-0000-0000-0000AD1D0000}"/>
    <cellStyle name="Normal 8 4 4 2" xfId="6016" xr:uid="{00000000-0005-0000-0000-0000AE1D0000}"/>
    <cellStyle name="Normal 8 4 4 3" xfId="7244" xr:uid="{00000000-0005-0000-0000-0000AF1D0000}"/>
    <cellStyle name="Normal 8 4 5" xfId="5336" xr:uid="{00000000-0005-0000-0000-0000B01D0000}"/>
    <cellStyle name="Normal 8 4 6" xfId="6552" xr:uid="{00000000-0005-0000-0000-0000B11D0000}"/>
    <cellStyle name="Normal 8 4 7" xfId="1300" xr:uid="{00000000-0005-0000-0000-0000B21D0000}"/>
    <cellStyle name="Normal 8 5" xfId="1449" xr:uid="{00000000-0005-0000-0000-0000B31D0000}"/>
    <cellStyle name="Normal 8 5 2" xfId="5477" xr:uid="{00000000-0005-0000-0000-0000B41D0000}"/>
    <cellStyle name="Normal 8 5 3" xfId="6701" xr:uid="{00000000-0005-0000-0000-0000B51D0000}"/>
    <cellStyle name="Normal 8 6" xfId="1468" xr:uid="{00000000-0005-0000-0000-0000B61D0000}"/>
    <cellStyle name="Normal 8 6 2" xfId="5496" xr:uid="{00000000-0005-0000-0000-0000B71D0000}"/>
    <cellStyle name="Normal 8 6 3" xfId="6720" xr:uid="{00000000-0005-0000-0000-0000B81D0000}"/>
    <cellStyle name="Normal 8 7" xfId="1822" xr:uid="{00000000-0005-0000-0000-0000B91D0000}"/>
    <cellStyle name="Normal 8 7 2" xfId="5843" xr:uid="{00000000-0005-0000-0000-0000BA1D0000}"/>
    <cellStyle name="Normal 8 7 3" xfId="7069" xr:uid="{00000000-0005-0000-0000-0000BB1D0000}"/>
    <cellStyle name="Normal 8 8" xfId="2671" xr:uid="{00000000-0005-0000-0000-0000BC1D0000}"/>
    <cellStyle name="Normal 8 8 2" xfId="3610" xr:uid="{00000000-0005-0000-0000-0000BD1D0000}"/>
    <cellStyle name="Normal 8 8 3" xfId="5223" xr:uid="{00000000-0005-0000-0000-0000BE1D0000}"/>
    <cellStyle name="Normal 8 8 4" xfId="7870" xr:uid="{00000000-0005-0000-0000-0000BF1D0000}"/>
    <cellStyle name="Normal 8 9" xfId="3412" xr:uid="{00000000-0005-0000-0000-0000C01D0000}"/>
    <cellStyle name="Normal 8 9 2" xfId="5049" xr:uid="{00000000-0005-0000-0000-0000C11D0000}"/>
    <cellStyle name="Normal 8 9 3" xfId="8423" xr:uid="{00000000-0005-0000-0000-0000C21D0000}"/>
    <cellStyle name="Normal 80" xfId="2511" xr:uid="{00000000-0005-0000-0000-0000C31D0000}"/>
    <cellStyle name="Normal 80 2" xfId="4436" xr:uid="{00000000-0005-0000-0000-0000C41D0000}"/>
    <cellStyle name="Normal 80 3" xfId="7735" xr:uid="{00000000-0005-0000-0000-0000C51D0000}"/>
    <cellStyle name="Normal 81" xfId="2512" xr:uid="{00000000-0005-0000-0000-0000C61D0000}"/>
    <cellStyle name="Normal 81 2" xfId="4437" xr:uid="{00000000-0005-0000-0000-0000C71D0000}"/>
    <cellStyle name="Normal 81 3" xfId="7736" xr:uid="{00000000-0005-0000-0000-0000C81D0000}"/>
    <cellStyle name="Normal 82" xfId="2513" xr:uid="{00000000-0005-0000-0000-0000C91D0000}"/>
    <cellStyle name="Normal 82 2" xfId="4438" xr:uid="{00000000-0005-0000-0000-0000CA1D0000}"/>
    <cellStyle name="Normal 82 3" xfId="7737" xr:uid="{00000000-0005-0000-0000-0000CB1D0000}"/>
    <cellStyle name="Normal 83" xfId="2514" xr:uid="{00000000-0005-0000-0000-0000CC1D0000}"/>
    <cellStyle name="Normal 83 2" xfId="4439" xr:uid="{00000000-0005-0000-0000-0000CD1D0000}"/>
    <cellStyle name="Normal 83 3" xfId="7738" xr:uid="{00000000-0005-0000-0000-0000CE1D0000}"/>
    <cellStyle name="Normal 84" xfId="2515" xr:uid="{00000000-0005-0000-0000-0000CF1D0000}"/>
    <cellStyle name="Normal 84 2" xfId="4440" xr:uid="{00000000-0005-0000-0000-0000D01D0000}"/>
    <cellStyle name="Normal 84 3" xfId="7739" xr:uid="{00000000-0005-0000-0000-0000D11D0000}"/>
    <cellStyle name="Normal 85" xfId="2516" xr:uid="{00000000-0005-0000-0000-0000D21D0000}"/>
    <cellStyle name="Normal 85 2" xfId="4441" xr:uid="{00000000-0005-0000-0000-0000D31D0000}"/>
    <cellStyle name="Normal 85 3" xfId="7740" xr:uid="{00000000-0005-0000-0000-0000D41D0000}"/>
    <cellStyle name="Normal 86" xfId="2517" xr:uid="{00000000-0005-0000-0000-0000D51D0000}"/>
    <cellStyle name="Normal 86 2" xfId="4442" xr:uid="{00000000-0005-0000-0000-0000D61D0000}"/>
    <cellStyle name="Normal 86 3" xfId="7741" xr:uid="{00000000-0005-0000-0000-0000D71D0000}"/>
    <cellStyle name="Normal 87" xfId="2518" xr:uid="{00000000-0005-0000-0000-0000D81D0000}"/>
    <cellStyle name="Normal 87 2" xfId="4443" xr:uid="{00000000-0005-0000-0000-0000D91D0000}"/>
    <cellStyle name="Normal 87 3" xfId="7742" xr:uid="{00000000-0005-0000-0000-0000DA1D0000}"/>
    <cellStyle name="Normal 88" xfId="2519" xr:uid="{00000000-0005-0000-0000-0000DB1D0000}"/>
    <cellStyle name="Normal 88 2" xfId="4444" xr:uid="{00000000-0005-0000-0000-0000DC1D0000}"/>
    <cellStyle name="Normal 88 3" xfId="7743" xr:uid="{00000000-0005-0000-0000-0000DD1D0000}"/>
    <cellStyle name="Normal 89" xfId="2520" xr:uid="{00000000-0005-0000-0000-0000DE1D0000}"/>
    <cellStyle name="Normal 89 2" xfId="4445" xr:uid="{00000000-0005-0000-0000-0000DF1D0000}"/>
    <cellStyle name="Normal 89 3" xfId="7744" xr:uid="{00000000-0005-0000-0000-0000E01D0000}"/>
    <cellStyle name="Normal 9" xfId="725" xr:uid="{00000000-0005-0000-0000-0000E11D0000}"/>
    <cellStyle name="Normal 9 10" xfId="6400" xr:uid="{00000000-0005-0000-0000-0000E21D0000}"/>
    <cellStyle name="Normal 9 11" xfId="1130" xr:uid="{00000000-0005-0000-0000-0000E31D0000}"/>
    <cellStyle name="Normal 9 2" xfId="726" xr:uid="{00000000-0005-0000-0000-0000E41D0000}"/>
    <cellStyle name="Normal 9 2 10" xfId="1131" xr:uid="{00000000-0005-0000-0000-0000E51D0000}"/>
    <cellStyle name="Normal 9 2 2" xfId="1276" xr:uid="{00000000-0005-0000-0000-0000E61D0000}"/>
    <cellStyle name="Normal 9 2 2 2" xfId="1548" xr:uid="{00000000-0005-0000-0000-0000E71D0000}"/>
    <cellStyle name="Normal 9 2 2 2 2" xfId="5575" xr:uid="{00000000-0005-0000-0000-0000E81D0000}"/>
    <cellStyle name="Normal 9 2 2 2 3" xfId="6800" xr:uid="{00000000-0005-0000-0000-0000E91D0000}"/>
    <cellStyle name="Normal 9 2 2 3" xfId="1753" xr:uid="{00000000-0005-0000-0000-0000EA1D0000}"/>
    <cellStyle name="Normal 9 2 2 3 2" xfId="5775" xr:uid="{00000000-0005-0000-0000-0000EB1D0000}"/>
    <cellStyle name="Normal 9 2 2 3 3" xfId="7000" xr:uid="{00000000-0005-0000-0000-0000EC1D0000}"/>
    <cellStyle name="Normal 9 2 2 4" xfId="2012" xr:uid="{00000000-0005-0000-0000-0000ED1D0000}"/>
    <cellStyle name="Normal 9 2 2 4 2" xfId="6031" xr:uid="{00000000-0005-0000-0000-0000EE1D0000}"/>
    <cellStyle name="Normal 9 2 2 4 3" xfId="7259" xr:uid="{00000000-0005-0000-0000-0000EF1D0000}"/>
    <cellStyle name="Normal 9 2 2 5" xfId="2730" xr:uid="{00000000-0005-0000-0000-0000F01D0000}"/>
    <cellStyle name="Normal 9 2 2 5 2" xfId="3641" xr:uid="{00000000-0005-0000-0000-0000F11D0000}"/>
    <cellStyle name="Normal 9 2 2 5 3" xfId="5313" xr:uid="{00000000-0005-0000-0000-0000F21D0000}"/>
    <cellStyle name="Normal 9 2 2 5 4" xfId="7920" xr:uid="{00000000-0005-0000-0000-0000F31D0000}"/>
    <cellStyle name="Normal 9 2 2 6" xfId="4447" xr:uid="{00000000-0005-0000-0000-0000F41D0000}"/>
    <cellStyle name="Normal 9 2 2 7" xfId="6528" xr:uid="{00000000-0005-0000-0000-0000F51D0000}"/>
    <cellStyle name="Normal 9 2 3" xfId="1323" xr:uid="{00000000-0005-0000-0000-0000F61D0000}"/>
    <cellStyle name="Normal 9 2 3 2" xfId="1591" xr:uid="{00000000-0005-0000-0000-0000F71D0000}"/>
    <cellStyle name="Normal 9 2 3 2 2" xfId="5617" xr:uid="{00000000-0005-0000-0000-0000F81D0000}"/>
    <cellStyle name="Normal 9 2 3 2 3" xfId="6842" xr:uid="{00000000-0005-0000-0000-0000F91D0000}"/>
    <cellStyle name="Normal 9 2 3 3" xfId="1795" xr:uid="{00000000-0005-0000-0000-0000FA1D0000}"/>
    <cellStyle name="Normal 9 2 3 3 2" xfId="5816" xr:uid="{00000000-0005-0000-0000-0000FB1D0000}"/>
    <cellStyle name="Normal 9 2 3 3 3" xfId="7042" xr:uid="{00000000-0005-0000-0000-0000FC1D0000}"/>
    <cellStyle name="Normal 9 2 3 4" xfId="2011" xr:uid="{00000000-0005-0000-0000-0000FD1D0000}"/>
    <cellStyle name="Normal 9 2 3 4 2" xfId="6030" xr:uid="{00000000-0005-0000-0000-0000FE1D0000}"/>
    <cellStyle name="Normal 9 2 3 4 3" xfId="7258" xr:uid="{00000000-0005-0000-0000-0000FF1D0000}"/>
    <cellStyle name="Normal 9 2 3 5" xfId="5359" xr:uid="{00000000-0005-0000-0000-0000001E0000}"/>
    <cellStyle name="Normal 9 2 3 6" xfId="6575" xr:uid="{00000000-0005-0000-0000-0000011E0000}"/>
    <cellStyle name="Normal 9 2 4" xfId="1475" xr:uid="{00000000-0005-0000-0000-0000021E0000}"/>
    <cellStyle name="Normal 9 2 4 2" xfId="5503" xr:uid="{00000000-0005-0000-0000-0000031E0000}"/>
    <cellStyle name="Normal 9 2 4 3" xfId="6727" xr:uid="{00000000-0005-0000-0000-0000041E0000}"/>
    <cellStyle name="Normal 9 2 5" xfId="1682" xr:uid="{00000000-0005-0000-0000-0000051E0000}"/>
    <cellStyle name="Normal 9 2 5 2" xfId="5704" xr:uid="{00000000-0005-0000-0000-0000061E0000}"/>
    <cellStyle name="Normal 9 2 5 3" xfId="6929" xr:uid="{00000000-0005-0000-0000-0000071E0000}"/>
    <cellStyle name="Normal 9 2 6" xfId="1832" xr:uid="{00000000-0005-0000-0000-0000081E0000}"/>
    <cellStyle name="Normal 9 2 6 2" xfId="5853" xr:uid="{00000000-0005-0000-0000-0000091E0000}"/>
    <cellStyle name="Normal 9 2 6 3" xfId="7079" xr:uid="{00000000-0005-0000-0000-00000A1E0000}"/>
    <cellStyle name="Normal 9 2 7" xfId="1205" xr:uid="{00000000-0005-0000-0000-00000B1E0000}"/>
    <cellStyle name="Normal 9 2 7 2" xfId="5246" xr:uid="{00000000-0005-0000-0000-00000C1E0000}"/>
    <cellStyle name="Normal 9 2 7 3" xfId="6457" xr:uid="{00000000-0005-0000-0000-00000D1E0000}"/>
    <cellStyle name="Normal 9 2 8" xfId="4446" xr:uid="{00000000-0005-0000-0000-00000E1E0000}"/>
    <cellStyle name="Normal 9 2 9" xfId="6401" xr:uid="{00000000-0005-0000-0000-00000F1E0000}"/>
    <cellStyle name="Normal 9 3" xfId="727" xr:uid="{00000000-0005-0000-0000-0000101E0000}"/>
    <cellStyle name="Normal 9 3 2" xfId="1525" xr:uid="{00000000-0005-0000-0000-0000111E0000}"/>
    <cellStyle name="Normal 9 3 2 2" xfId="5552" xr:uid="{00000000-0005-0000-0000-0000121E0000}"/>
    <cellStyle name="Normal 9 3 2 3" xfId="6777" xr:uid="{00000000-0005-0000-0000-0000131E0000}"/>
    <cellStyle name="Normal 9 3 3" xfId="1730" xr:uid="{00000000-0005-0000-0000-0000141E0000}"/>
    <cellStyle name="Normal 9 3 3 2" xfId="5752" xr:uid="{00000000-0005-0000-0000-0000151E0000}"/>
    <cellStyle name="Normal 9 3 3 3" xfId="6977" xr:uid="{00000000-0005-0000-0000-0000161E0000}"/>
    <cellStyle name="Normal 9 3 4" xfId="1603" xr:uid="{00000000-0005-0000-0000-0000171E0000}"/>
    <cellStyle name="Normal 9 3 4 2" xfId="5629" xr:uid="{00000000-0005-0000-0000-0000181E0000}"/>
    <cellStyle name="Normal 9 3 4 3" xfId="6854" xr:uid="{00000000-0005-0000-0000-0000191E0000}"/>
    <cellStyle name="Normal 9 3 5" xfId="2731" xr:uid="{00000000-0005-0000-0000-00001A1E0000}"/>
    <cellStyle name="Normal 9 3 5 2" xfId="3633" xr:uid="{00000000-0005-0000-0000-00001B1E0000}"/>
    <cellStyle name="Normal 9 3 5 3" xfId="5291" xr:uid="{00000000-0005-0000-0000-00001C1E0000}"/>
    <cellStyle name="Normal 9 3 5 4" xfId="7921" xr:uid="{00000000-0005-0000-0000-00001D1E0000}"/>
    <cellStyle name="Normal 9 3 6" xfId="4448" xr:uid="{00000000-0005-0000-0000-00001E1E0000}"/>
    <cellStyle name="Normal 9 3 7" xfId="6506" xr:uid="{00000000-0005-0000-0000-00001F1E0000}"/>
    <cellStyle name="Normal 9 3 8" xfId="1254" xr:uid="{00000000-0005-0000-0000-0000201E0000}"/>
    <cellStyle name="Normal 9 4" xfId="1301" xr:uid="{00000000-0005-0000-0000-0000211E0000}"/>
    <cellStyle name="Normal 9 4 2" xfId="1570" xr:uid="{00000000-0005-0000-0000-0000221E0000}"/>
    <cellStyle name="Normal 9 4 2 2" xfId="5596" xr:uid="{00000000-0005-0000-0000-0000231E0000}"/>
    <cellStyle name="Normal 9 4 2 3" xfId="6821" xr:uid="{00000000-0005-0000-0000-0000241E0000}"/>
    <cellStyle name="Normal 9 4 3" xfId="1774" xr:uid="{00000000-0005-0000-0000-0000251E0000}"/>
    <cellStyle name="Normal 9 4 3 2" xfId="5795" xr:uid="{00000000-0005-0000-0000-0000261E0000}"/>
    <cellStyle name="Normal 9 4 3 3" xfId="7021" xr:uid="{00000000-0005-0000-0000-0000271E0000}"/>
    <cellStyle name="Normal 9 4 4" xfId="1926" xr:uid="{00000000-0005-0000-0000-0000281E0000}"/>
    <cellStyle name="Normal 9 4 4 2" xfId="5946" xr:uid="{00000000-0005-0000-0000-0000291E0000}"/>
    <cellStyle name="Normal 9 4 4 3" xfId="7173" xr:uid="{00000000-0005-0000-0000-00002A1E0000}"/>
    <cellStyle name="Normal 9 4 5" xfId="2732" xr:uid="{00000000-0005-0000-0000-00002B1E0000}"/>
    <cellStyle name="Normal 9 4 5 2" xfId="3658" xr:uid="{00000000-0005-0000-0000-00002C1E0000}"/>
    <cellStyle name="Normal 9 4 5 3" xfId="5337" xr:uid="{00000000-0005-0000-0000-00002D1E0000}"/>
    <cellStyle name="Normal 9 4 5 4" xfId="7922" xr:uid="{00000000-0005-0000-0000-00002E1E0000}"/>
    <cellStyle name="Normal 9 4 6" xfId="4449" xr:uid="{00000000-0005-0000-0000-00002F1E0000}"/>
    <cellStyle name="Normal 9 4 7" xfId="6553" xr:uid="{00000000-0005-0000-0000-0000301E0000}"/>
    <cellStyle name="Normal 9 5" xfId="1450" xr:uid="{00000000-0005-0000-0000-0000311E0000}"/>
    <cellStyle name="Normal 9 5 2" xfId="5478" xr:uid="{00000000-0005-0000-0000-0000321E0000}"/>
    <cellStyle name="Normal 9 5 3" xfId="6702" xr:uid="{00000000-0005-0000-0000-0000331E0000}"/>
    <cellStyle name="Normal 9 6" xfId="1410" xr:uid="{00000000-0005-0000-0000-0000341E0000}"/>
    <cellStyle name="Normal 9 6 2" xfId="5440" xr:uid="{00000000-0005-0000-0000-0000351E0000}"/>
    <cellStyle name="Normal 9 6 3" xfId="6662" xr:uid="{00000000-0005-0000-0000-0000361E0000}"/>
    <cellStyle name="Normal 9 7" xfId="1721" xr:uid="{00000000-0005-0000-0000-0000371E0000}"/>
    <cellStyle name="Normal 9 7 2" xfId="5743" xr:uid="{00000000-0005-0000-0000-0000381E0000}"/>
    <cellStyle name="Normal 9 7 3" xfId="6968" xr:uid="{00000000-0005-0000-0000-0000391E0000}"/>
    <cellStyle name="Normal 9 8" xfId="1181" xr:uid="{00000000-0005-0000-0000-00003A1E0000}"/>
    <cellStyle name="Normal 9 8 2" xfId="5224" xr:uid="{00000000-0005-0000-0000-00003B1E0000}"/>
    <cellStyle name="Normal 9 8 3" xfId="6433" xr:uid="{00000000-0005-0000-0000-00003C1E0000}"/>
    <cellStyle name="Normal 9 9" xfId="3880" xr:uid="{00000000-0005-0000-0000-00003D1E0000}"/>
    <cellStyle name="Normal 90" xfId="2521" xr:uid="{00000000-0005-0000-0000-00003E1E0000}"/>
    <cellStyle name="Normal 90 2" xfId="4450" xr:uid="{00000000-0005-0000-0000-00003F1E0000}"/>
    <cellStyle name="Normal 90 3" xfId="7745" xr:uid="{00000000-0005-0000-0000-0000401E0000}"/>
    <cellStyle name="Normal 91" xfId="2522" xr:uid="{00000000-0005-0000-0000-0000411E0000}"/>
    <cellStyle name="Normal 91 2" xfId="4451" xr:uid="{00000000-0005-0000-0000-0000421E0000}"/>
    <cellStyle name="Normal 91 3" xfId="7746" xr:uid="{00000000-0005-0000-0000-0000431E0000}"/>
    <cellStyle name="Normal 92" xfId="2523" xr:uid="{00000000-0005-0000-0000-0000441E0000}"/>
    <cellStyle name="Normal 92 2" xfId="4452" xr:uid="{00000000-0005-0000-0000-0000451E0000}"/>
    <cellStyle name="Normal 92 3" xfId="7747" xr:uid="{00000000-0005-0000-0000-0000461E0000}"/>
    <cellStyle name="Normal 93" xfId="2524" xr:uid="{00000000-0005-0000-0000-0000471E0000}"/>
    <cellStyle name="Normal 93 2" xfId="4453" xr:uid="{00000000-0005-0000-0000-0000481E0000}"/>
    <cellStyle name="Normal 93 3" xfId="7748" xr:uid="{00000000-0005-0000-0000-0000491E0000}"/>
    <cellStyle name="Normal 94" xfId="9131" xr:uid="{00000000-0005-0000-0000-00004A1E0000}"/>
    <cellStyle name="Normal 94 2" xfId="9132" xr:uid="{00000000-0005-0000-0000-00004B1E0000}"/>
    <cellStyle name="Normal 95" xfId="9133" xr:uid="{00000000-0005-0000-0000-00004C1E0000}"/>
    <cellStyle name="Normal 95 2" xfId="9135" xr:uid="{00000000-0005-0000-0000-00004D1E0000}"/>
    <cellStyle name="Normal 96" xfId="9134" xr:uid="{00000000-0005-0000-0000-00004E1E0000}"/>
    <cellStyle name="Normal 96 2" xfId="9136" xr:uid="{00000000-0005-0000-0000-00004F1E0000}"/>
    <cellStyle name="Normal 97" xfId="9137" xr:uid="{00000000-0005-0000-0000-0000501E0000}"/>
    <cellStyle name="Normal 97 2" xfId="9140" xr:uid="{00000000-0005-0000-0000-0000511E0000}"/>
    <cellStyle name="Normal 97 2 2" xfId="9142" xr:uid="{00000000-0005-0000-0000-0000521E0000}"/>
    <cellStyle name="Normal 98" xfId="728" xr:uid="{00000000-0005-0000-0000-0000531E0000}"/>
    <cellStyle name="Normal 98 2" xfId="9143" xr:uid="{00000000-0005-0000-0000-0000541E0000}"/>
    <cellStyle name="Normal 99" xfId="9141" xr:uid="{00000000-0005-0000-0000-0000551E0000}"/>
    <cellStyle name="Normal Bold" xfId="729" xr:uid="{00000000-0005-0000-0000-0000561E0000}"/>
    <cellStyle name="Normale_Ro05" xfId="8785" xr:uid="{00000000-0005-0000-0000-0000571E0000}"/>
    <cellStyle name="Normalny_koszt" xfId="730" xr:uid="{00000000-0005-0000-0000-0000581E0000}"/>
    <cellStyle name="Nota 10" xfId="731" xr:uid="{00000000-0005-0000-0000-0000591E0000}"/>
    <cellStyle name="Nota 10 2" xfId="1011" xr:uid="{00000000-0005-0000-0000-00005A1E0000}"/>
    <cellStyle name="Nota 11" xfId="732" xr:uid="{00000000-0005-0000-0000-00005B1E0000}"/>
    <cellStyle name="Nota 12" xfId="733" xr:uid="{00000000-0005-0000-0000-00005C1E0000}"/>
    <cellStyle name="Nota 2" xfId="734" xr:uid="{00000000-0005-0000-0000-00005D1E0000}"/>
    <cellStyle name="Nota 2 10" xfId="735" xr:uid="{00000000-0005-0000-0000-00005E1E0000}"/>
    <cellStyle name="Nota 2 10 2" xfId="6430" xr:uid="{00000000-0005-0000-0000-00005F1E0000}"/>
    <cellStyle name="Nota 2 11" xfId="736" xr:uid="{00000000-0005-0000-0000-0000601E0000}"/>
    <cellStyle name="Nota 2 12" xfId="1178" xr:uid="{00000000-0005-0000-0000-0000611E0000}"/>
    <cellStyle name="Nota 2 2" xfId="737" xr:uid="{00000000-0005-0000-0000-0000621E0000}"/>
    <cellStyle name="Nota 2 2 10" xfId="1201" xr:uid="{00000000-0005-0000-0000-0000631E0000}"/>
    <cellStyle name="Nota 2 2 2" xfId="1272" xr:uid="{00000000-0005-0000-0000-0000641E0000}"/>
    <cellStyle name="Nota 2 2 2 2" xfId="1544" xr:uid="{00000000-0005-0000-0000-0000651E0000}"/>
    <cellStyle name="Nota 2 2 2 2 2" xfId="5571" xr:uid="{00000000-0005-0000-0000-0000661E0000}"/>
    <cellStyle name="Nota 2 2 2 2 3" xfId="6796" xr:uid="{00000000-0005-0000-0000-0000671E0000}"/>
    <cellStyle name="Nota 2 2 2 3" xfId="1749" xr:uid="{00000000-0005-0000-0000-0000681E0000}"/>
    <cellStyle name="Nota 2 2 2 3 2" xfId="5771" xr:uid="{00000000-0005-0000-0000-0000691E0000}"/>
    <cellStyle name="Nota 2 2 2 3 3" xfId="6996" xr:uid="{00000000-0005-0000-0000-00006A1E0000}"/>
    <cellStyle name="Nota 2 2 2 4" xfId="1980" xr:uid="{00000000-0005-0000-0000-00006B1E0000}"/>
    <cellStyle name="Nota 2 2 2 4 2" xfId="5999" xr:uid="{00000000-0005-0000-0000-00006C1E0000}"/>
    <cellStyle name="Nota 2 2 2 4 3" xfId="7227" xr:uid="{00000000-0005-0000-0000-00006D1E0000}"/>
    <cellStyle name="Nota 2 2 2 5" xfId="5309" xr:uid="{00000000-0005-0000-0000-00006E1E0000}"/>
    <cellStyle name="Nota 2 2 2 6" xfId="6524" xr:uid="{00000000-0005-0000-0000-00006F1E0000}"/>
    <cellStyle name="Nota 2 2 3" xfId="1319" xr:uid="{00000000-0005-0000-0000-0000701E0000}"/>
    <cellStyle name="Nota 2 2 3 2" xfId="1587" xr:uid="{00000000-0005-0000-0000-0000711E0000}"/>
    <cellStyle name="Nota 2 2 3 2 2" xfId="5613" xr:uid="{00000000-0005-0000-0000-0000721E0000}"/>
    <cellStyle name="Nota 2 2 3 2 3" xfId="6838" xr:uid="{00000000-0005-0000-0000-0000731E0000}"/>
    <cellStyle name="Nota 2 2 3 3" xfId="1791" xr:uid="{00000000-0005-0000-0000-0000741E0000}"/>
    <cellStyle name="Nota 2 2 3 3 2" xfId="5812" xr:uid="{00000000-0005-0000-0000-0000751E0000}"/>
    <cellStyle name="Nota 2 2 3 3 3" xfId="7038" xr:uid="{00000000-0005-0000-0000-0000761E0000}"/>
    <cellStyle name="Nota 2 2 3 4" xfId="1979" xr:uid="{00000000-0005-0000-0000-0000771E0000}"/>
    <cellStyle name="Nota 2 2 3 4 2" xfId="5998" xr:uid="{00000000-0005-0000-0000-0000781E0000}"/>
    <cellStyle name="Nota 2 2 3 4 3" xfId="7226" xr:uid="{00000000-0005-0000-0000-0000791E0000}"/>
    <cellStyle name="Nota 2 2 3 5" xfId="5355" xr:uid="{00000000-0005-0000-0000-00007A1E0000}"/>
    <cellStyle name="Nota 2 2 3 6" xfId="6571" xr:uid="{00000000-0005-0000-0000-00007B1E0000}"/>
    <cellStyle name="Nota 2 2 4" xfId="1471" xr:uid="{00000000-0005-0000-0000-00007C1E0000}"/>
    <cellStyle name="Nota 2 2 4 2" xfId="5499" xr:uid="{00000000-0005-0000-0000-00007D1E0000}"/>
    <cellStyle name="Nota 2 2 4 3" xfId="6723" xr:uid="{00000000-0005-0000-0000-00007E1E0000}"/>
    <cellStyle name="Nota 2 2 5" xfId="1511" xr:uid="{00000000-0005-0000-0000-00007F1E0000}"/>
    <cellStyle name="Nota 2 2 5 2" xfId="5539" xr:uid="{00000000-0005-0000-0000-0000801E0000}"/>
    <cellStyle name="Nota 2 2 5 3" xfId="6763" xr:uid="{00000000-0005-0000-0000-0000811E0000}"/>
    <cellStyle name="Nota 2 2 6" xfId="1722" xr:uid="{00000000-0005-0000-0000-0000821E0000}"/>
    <cellStyle name="Nota 2 2 6 2" xfId="5744" xr:uid="{00000000-0005-0000-0000-0000831E0000}"/>
    <cellStyle name="Nota 2 2 6 3" xfId="6969" xr:uid="{00000000-0005-0000-0000-0000841E0000}"/>
    <cellStyle name="Nota 2 2 7" xfId="2526" xr:uid="{00000000-0005-0000-0000-0000851E0000}"/>
    <cellStyle name="Nota 2 2 7 2" xfId="3617" xr:uid="{00000000-0005-0000-0000-0000861E0000}"/>
    <cellStyle name="Nota 2 2 7 3" xfId="5243" xr:uid="{00000000-0005-0000-0000-0000871E0000}"/>
    <cellStyle name="Nota 2 2 7 4" xfId="7750" xr:uid="{00000000-0005-0000-0000-0000881E0000}"/>
    <cellStyle name="Nota 2 2 8" xfId="4455" xr:uid="{00000000-0005-0000-0000-0000891E0000}"/>
    <cellStyle name="Nota 2 2 9" xfId="6453" xr:uid="{00000000-0005-0000-0000-00008A1E0000}"/>
    <cellStyle name="Nota 2 3" xfId="738" xr:uid="{00000000-0005-0000-0000-00008B1E0000}"/>
    <cellStyle name="Nota 2 3 2" xfId="1521" xr:uid="{00000000-0005-0000-0000-00008C1E0000}"/>
    <cellStyle name="Nota 2 3 2 2" xfId="5548" xr:uid="{00000000-0005-0000-0000-00008D1E0000}"/>
    <cellStyle name="Nota 2 3 2 3" xfId="6773" xr:uid="{00000000-0005-0000-0000-00008E1E0000}"/>
    <cellStyle name="Nota 2 3 3" xfId="1726" xr:uid="{00000000-0005-0000-0000-00008F1E0000}"/>
    <cellStyle name="Nota 2 3 3 2" xfId="5748" xr:uid="{00000000-0005-0000-0000-0000901E0000}"/>
    <cellStyle name="Nota 2 3 3 3" xfId="6973" xr:uid="{00000000-0005-0000-0000-0000911E0000}"/>
    <cellStyle name="Nota 2 3 4" xfId="1411" xr:uid="{00000000-0005-0000-0000-0000921E0000}"/>
    <cellStyle name="Nota 2 3 4 2" xfId="5441" xr:uid="{00000000-0005-0000-0000-0000931E0000}"/>
    <cellStyle name="Nota 2 3 4 3" xfId="6663" xr:uid="{00000000-0005-0000-0000-0000941E0000}"/>
    <cellStyle name="Nota 2 3 5" xfId="5288" xr:uid="{00000000-0005-0000-0000-0000951E0000}"/>
    <cellStyle name="Nota 2 3 6" xfId="6503" xr:uid="{00000000-0005-0000-0000-0000961E0000}"/>
    <cellStyle name="Nota 2 3 7" xfId="1251" xr:uid="{00000000-0005-0000-0000-0000971E0000}"/>
    <cellStyle name="Nota 2 4" xfId="739" xr:uid="{00000000-0005-0000-0000-0000981E0000}"/>
    <cellStyle name="Nota 2 4 2" xfId="1566" xr:uid="{00000000-0005-0000-0000-0000991E0000}"/>
    <cellStyle name="Nota 2 4 2 2" xfId="5592" xr:uid="{00000000-0005-0000-0000-00009A1E0000}"/>
    <cellStyle name="Nota 2 4 2 3" xfId="6817" xr:uid="{00000000-0005-0000-0000-00009B1E0000}"/>
    <cellStyle name="Nota 2 4 3" xfId="1770" xr:uid="{00000000-0005-0000-0000-00009C1E0000}"/>
    <cellStyle name="Nota 2 4 3 2" xfId="5791" xr:uid="{00000000-0005-0000-0000-00009D1E0000}"/>
    <cellStyle name="Nota 2 4 3 3" xfId="7017" xr:uid="{00000000-0005-0000-0000-00009E1E0000}"/>
    <cellStyle name="Nota 2 4 4" xfId="1962" xr:uid="{00000000-0005-0000-0000-00009F1E0000}"/>
    <cellStyle name="Nota 2 4 4 2" xfId="5982" xr:uid="{00000000-0005-0000-0000-0000A01E0000}"/>
    <cellStyle name="Nota 2 4 4 3" xfId="7209" xr:uid="{00000000-0005-0000-0000-0000A11E0000}"/>
    <cellStyle name="Nota 2 4 5" xfId="5334" xr:uid="{00000000-0005-0000-0000-0000A21E0000}"/>
    <cellStyle name="Nota 2 4 6" xfId="6550" xr:uid="{00000000-0005-0000-0000-0000A31E0000}"/>
    <cellStyle name="Nota 2 4 7" xfId="1298" xr:uid="{00000000-0005-0000-0000-0000A41E0000}"/>
    <cellStyle name="Nota 2 5" xfId="740" xr:uid="{00000000-0005-0000-0000-0000A51E0000}"/>
    <cellStyle name="Nota 2 5 2" xfId="5475" xr:uid="{00000000-0005-0000-0000-0000A61E0000}"/>
    <cellStyle name="Nota 2 5 3" xfId="6698" xr:uid="{00000000-0005-0000-0000-0000A71E0000}"/>
    <cellStyle name="Nota 2 5 4" xfId="1446" xr:uid="{00000000-0005-0000-0000-0000A81E0000}"/>
    <cellStyle name="Nota 2 6" xfId="741" xr:uid="{00000000-0005-0000-0000-0000A91E0000}"/>
    <cellStyle name="Nota 2 6 2" xfId="5439" xr:uid="{00000000-0005-0000-0000-0000AA1E0000}"/>
    <cellStyle name="Nota 2 6 3" xfId="6661" xr:uid="{00000000-0005-0000-0000-0000AB1E0000}"/>
    <cellStyle name="Nota 2 6 4" xfId="1409" xr:uid="{00000000-0005-0000-0000-0000AC1E0000}"/>
    <cellStyle name="Nota 2 7" xfId="742" xr:uid="{00000000-0005-0000-0000-0000AD1E0000}"/>
    <cellStyle name="Nota 2 7 2" xfId="6006" xr:uid="{00000000-0005-0000-0000-0000AE1E0000}"/>
    <cellStyle name="Nota 2 7 3" xfId="7234" xr:uid="{00000000-0005-0000-0000-0000AF1E0000}"/>
    <cellStyle name="Nota 2 7 4" xfId="1987" xr:uid="{00000000-0005-0000-0000-0000B01E0000}"/>
    <cellStyle name="Nota 2 8" xfId="743" xr:uid="{00000000-0005-0000-0000-0000B11E0000}"/>
    <cellStyle name="Nota 2 8 2" xfId="3607" xr:uid="{00000000-0005-0000-0000-0000B21E0000}"/>
    <cellStyle name="Nota 2 8 3" xfId="5219" xr:uid="{00000000-0005-0000-0000-0000B31E0000}"/>
    <cellStyle name="Nota 2 8 4" xfId="7749" xr:uid="{00000000-0005-0000-0000-0000B41E0000}"/>
    <cellStyle name="Nota 2 8 5" xfId="2525" xr:uid="{00000000-0005-0000-0000-0000B51E0000}"/>
    <cellStyle name="Nota 2 9" xfId="744" xr:uid="{00000000-0005-0000-0000-0000B61E0000}"/>
    <cellStyle name="Nota 2 9 2" xfId="4454" xr:uid="{00000000-0005-0000-0000-0000B71E0000}"/>
    <cellStyle name="Nota 3" xfId="745" xr:uid="{00000000-0005-0000-0000-0000B81E0000}"/>
    <cellStyle name="Nota 3 10" xfId="1184" xr:uid="{00000000-0005-0000-0000-0000B91E0000}"/>
    <cellStyle name="Nota 3 2" xfId="1257" xr:uid="{00000000-0005-0000-0000-0000BA1E0000}"/>
    <cellStyle name="Nota 3 2 2" xfId="1528" xr:uid="{00000000-0005-0000-0000-0000BB1E0000}"/>
    <cellStyle name="Nota 3 2 2 2" xfId="5555" xr:uid="{00000000-0005-0000-0000-0000BC1E0000}"/>
    <cellStyle name="Nota 3 2 2 3" xfId="6780" xr:uid="{00000000-0005-0000-0000-0000BD1E0000}"/>
    <cellStyle name="Nota 3 2 3" xfId="1733" xr:uid="{00000000-0005-0000-0000-0000BE1E0000}"/>
    <cellStyle name="Nota 3 2 3 2" xfId="5755" xr:uid="{00000000-0005-0000-0000-0000BF1E0000}"/>
    <cellStyle name="Nota 3 2 3 3" xfId="6980" xr:uid="{00000000-0005-0000-0000-0000C01E0000}"/>
    <cellStyle name="Nota 3 2 4" xfId="1470" xr:uid="{00000000-0005-0000-0000-0000C11E0000}"/>
    <cellStyle name="Nota 3 2 4 2" xfId="5498" xr:uid="{00000000-0005-0000-0000-0000C21E0000}"/>
    <cellStyle name="Nota 3 2 4 3" xfId="6722" xr:uid="{00000000-0005-0000-0000-0000C31E0000}"/>
    <cellStyle name="Nota 3 2 5" xfId="2528" xr:uid="{00000000-0005-0000-0000-0000C41E0000}"/>
    <cellStyle name="Nota 3 2 5 2" xfId="3636" xr:uid="{00000000-0005-0000-0000-0000C51E0000}"/>
    <cellStyle name="Nota 3 2 5 3" xfId="5294" xr:uid="{00000000-0005-0000-0000-0000C61E0000}"/>
    <cellStyle name="Nota 3 2 5 4" xfId="7752" xr:uid="{00000000-0005-0000-0000-0000C71E0000}"/>
    <cellStyle name="Nota 3 2 6" xfId="4457" xr:uid="{00000000-0005-0000-0000-0000C81E0000}"/>
    <cellStyle name="Nota 3 2 7" xfId="6509" xr:uid="{00000000-0005-0000-0000-0000C91E0000}"/>
    <cellStyle name="Nota 3 3" xfId="1304" xr:uid="{00000000-0005-0000-0000-0000CA1E0000}"/>
    <cellStyle name="Nota 3 3 2" xfId="1573" xr:uid="{00000000-0005-0000-0000-0000CB1E0000}"/>
    <cellStyle name="Nota 3 3 2 2" xfId="5599" xr:uid="{00000000-0005-0000-0000-0000CC1E0000}"/>
    <cellStyle name="Nota 3 3 2 3" xfId="6824" xr:uid="{00000000-0005-0000-0000-0000CD1E0000}"/>
    <cellStyle name="Nota 3 3 3" xfId="1777" xr:uid="{00000000-0005-0000-0000-0000CE1E0000}"/>
    <cellStyle name="Nota 3 3 3 2" xfId="5798" xr:uid="{00000000-0005-0000-0000-0000CF1E0000}"/>
    <cellStyle name="Nota 3 3 3 3" xfId="7024" xr:uid="{00000000-0005-0000-0000-0000D01E0000}"/>
    <cellStyle name="Nota 3 3 4" xfId="1902" xr:uid="{00000000-0005-0000-0000-0000D11E0000}"/>
    <cellStyle name="Nota 3 3 4 2" xfId="5922" xr:uid="{00000000-0005-0000-0000-0000D21E0000}"/>
    <cellStyle name="Nota 3 3 4 3" xfId="7149" xr:uid="{00000000-0005-0000-0000-0000D31E0000}"/>
    <cellStyle name="Nota 3 3 5" xfId="5340" xr:uid="{00000000-0005-0000-0000-0000D41E0000}"/>
    <cellStyle name="Nota 3 3 6" xfId="6556" xr:uid="{00000000-0005-0000-0000-0000D51E0000}"/>
    <cellStyle name="Nota 3 4" xfId="1453" xr:uid="{00000000-0005-0000-0000-0000D61E0000}"/>
    <cellStyle name="Nota 3 4 2" xfId="5481" xr:uid="{00000000-0005-0000-0000-0000D71E0000}"/>
    <cellStyle name="Nota 3 4 3" xfId="6705" xr:uid="{00000000-0005-0000-0000-0000D81E0000}"/>
    <cellStyle name="Nota 3 5" xfId="1431" xr:uid="{00000000-0005-0000-0000-0000D91E0000}"/>
    <cellStyle name="Nota 3 5 2" xfId="5461" xr:uid="{00000000-0005-0000-0000-0000DA1E0000}"/>
    <cellStyle name="Nota 3 5 3" xfId="6683" xr:uid="{00000000-0005-0000-0000-0000DB1E0000}"/>
    <cellStyle name="Nota 3 6" xfId="1686" xr:uid="{00000000-0005-0000-0000-0000DC1E0000}"/>
    <cellStyle name="Nota 3 6 2" xfId="5708" xr:uid="{00000000-0005-0000-0000-0000DD1E0000}"/>
    <cellStyle name="Nota 3 6 3" xfId="6933" xr:uid="{00000000-0005-0000-0000-0000DE1E0000}"/>
    <cellStyle name="Nota 3 7" xfId="2527" xr:uid="{00000000-0005-0000-0000-0000DF1E0000}"/>
    <cellStyle name="Nota 3 7 2" xfId="3613" xr:uid="{00000000-0005-0000-0000-0000E01E0000}"/>
    <cellStyle name="Nota 3 7 3" xfId="5227" xr:uid="{00000000-0005-0000-0000-0000E11E0000}"/>
    <cellStyle name="Nota 3 7 4" xfId="7751" xr:uid="{00000000-0005-0000-0000-0000E21E0000}"/>
    <cellStyle name="Nota 3 8" xfId="4456" xr:uid="{00000000-0005-0000-0000-0000E31E0000}"/>
    <cellStyle name="Nota 3 9" xfId="6436" xr:uid="{00000000-0005-0000-0000-0000E41E0000}"/>
    <cellStyle name="Nota 4" xfId="746" xr:uid="{00000000-0005-0000-0000-0000E51E0000}"/>
    <cellStyle name="Nota 4 2" xfId="1645" xr:uid="{00000000-0005-0000-0000-0000E61E0000}"/>
    <cellStyle name="Nota 4 2 2" xfId="2530" xr:uid="{00000000-0005-0000-0000-0000E71E0000}"/>
    <cellStyle name="Nota 4 2 2 2" xfId="3695" xr:uid="{00000000-0005-0000-0000-0000E81E0000}"/>
    <cellStyle name="Nota 4 2 2 3" xfId="5669" xr:uid="{00000000-0005-0000-0000-0000E91E0000}"/>
    <cellStyle name="Nota 4 2 2 4" xfId="7754" xr:uid="{00000000-0005-0000-0000-0000EA1E0000}"/>
    <cellStyle name="Nota 4 2 3" xfId="4459" xr:uid="{00000000-0005-0000-0000-0000EB1E0000}"/>
    <cellStyle name="Nota 4 2 4" xfId="6894" xr:uid="{00000000-0005-0000-0000-0000EC1E0000}"/>
    <cellStyle name="Nota 4 3" xfId="1841" xr:uid="{00000000-0005-0000-0000-0000ED1E0000}"/>
    <cellStyle name="Nota 4 3 2" xfId="5862" xr:uid="{00000000-0005-0000-0000-0000EE1E0000}"/>
    <cellStyle name="Nota 4 3 3" xfId="7088" xr:uid="{00000000-0005-0000-0000-0000EF1E0000}"/>
    <cellStyle name="Nota 4 4" xfId="2026" xr:uid="{00000000-0005-0000-0000-0000F01E0000}"/>
    <cellStyle name="Nota 4 4 2" xfId="6045" xr:uid="{00000000-0005-0000-0000-0000F11E0000}"/>
    <cellStyle name="Nota 4 4 3" xfId="7273" xr:uid="{00000000-0005-0000-0000-0000F21E0000}"/>
    <cellStyle name="Nota 4 5" xfId="2529" xr:uid="{00000000-0005-0000-0000-0000F31E0000}"/>
    <cellStyle name="Nota 4 5 2" xfId="3668" xr:uid="{00000000-0005-0000-0000-0000F41E0000}"/>
    <cellStyle name="Nota 4 5 3" xfId="5406" xr:uid="{00000000-0005-0000-0000-0000F51E0000}"/>
    <cellStyle name="Nota 4 5 4" xfId="7753" xr:uid="{00000000-0005-0000-0000-0000F61E0000}"/>
    <cellStyle name="Nota 4 6" xfId="4458" xr:uid="{00000000-0005-0000-0000-0000F71E0000}"/>
    <cellStyle name="Nota 4 7" xfId="6627" xr:uid="{00000000-0005-0000-0000-0000F81E0000}"/>
    <cellStyle name="Nota 4 8" xfId="1375" xr:uid="{00000000-0005-0000-0000-0000F91E0000}"/>
    <cellStyle name="Nota 5" xfId="747" xr:uid="{00000000-0005-0000-0000-0000FA1E0000}"/>
    <cellStyle name="Nota 5 2" xfId="1659" xr:uid="{00000000-0005-0000-0000-0000FB1E0000}"/>
    <cellStyle name="Nota 5 2 2" xfId="2533" xr:uid="{00000000-0005-0000-0000-0000FC1E0000}"/>
    <cellStyle name="Nota 5 2 2 2" xfId="4462" xr:uid="{00000000-0005-0000-0000-0000FD1E0000}"/>
    <cellStyle name="Nota 5 2 2 3" xfId="7757" xr:uid="{00000000-0005-0000-0000-0000FE1E0000}"/>
    <cellStyle name="Nota 5 2 3" xfId="2532" xr:uid="{00000000-0005-0000-0000-0000FF1E0000}"/>
    <cellStyle name="Nota 5 2 3 2" xfId="3696" xr:uid="{00000000-0005-0000-0000-0000001F0000}"/>
    <cellStyle name="Nota 5 2 3 3" xfId="5683" xr:uid="{00000000-0005-0000-0000-0000011F0000}"/>
    <cellStyle name="Nota 5 2 3 4" xfId="7756" xr:uid="{00000000-0005-0000-0000-0000021F0000}"/>
    <cellStyle name="Nota 5 2 4" xfId="4461" xr:uid="{00000000-0005-0000-0000-0000031F0000}"/>
    <cellStyle name="Nota 5 2 5" xfId="6908" xr:uid="{00000000-0005-0000-0000-0000041F0000}"/>
    <cellStyle name="Nota 5 3" xfId="1855" xr:uid="{00000000-0005-0000-0000-0000051F0000}"/>
    <cellStyle name="Nota 5 3 2" xfId="2535" xr:uid="{00000000-0005-0000-0000-0000061F0000}"/>
    <cellStyle name="Nota 5 3 2 2" xfId="4464" xr:uid="{00000000-0005-0000-0000-0000071F0000}"/>
    <cellStyle name="Nota 5 3 2 3" xfId="7759" xr:uid="{00000000-0005-0000-0000-0000081F0000}"/>
    <cellStyle name="Nota 5 3 3" xfId="2534" xr:uid="{00000000-0005-0000-0000-0000091F0000}"/>
    <cellStyle name="Nota 5 3 3 2" xfId="3704" xr:uid="{00000000-0005-0000-0000-00000A1F0000}"/>
    <cellStyle name="Nota 5 3 3 3" xfId="5876" xr:uid="{00000000-0005-0000-0000-00000B1F0000}"/>
    <cellStyle name="Nota 5 3 3 4" xfId="7758" xr:uid="{00000000-0005-0000-0000-00000C1F0000}"/>
    <cellStyle name="Nota 5 3 4" xfId="4463" xr:uid="{00000000-0005-0000-0000-00000D1F0000}"/>
    <cellStyle name="Nota 5 3 5" xfId="7102" xr:uid="{00000000-0005-0000-0000-00000E1F0000}"/>
    <cellStyle name="Nota 5 4" xfId="2040" xr:uid="{00000000-0005-0000-0000-00000F1F0000}"/>
    <cellStyle name="Nota 5 4 2" xfId="2537" xr:uid="{00000000-0005-0000-0000-0000101F0000}"/>
    <cellStyle name="Nota 5 4 2 2" xfId="4466" xr:uid="{00000000-0005-0000-0000-0000111F0000}"/>
    <cellStyle name="Nota 5 4 2 3" xfId="7761" xr:uid="{00000000-0005-0000-0000-0000121F0000}"/>
    <cellStyle name="Nota 5 4 3" xfId="2536" xr:uid="{00000000-0005-0000-0000-0000131F0000}"/>
    <cellStyle name="Nota 5 4 3 2" xfId="3709" xr:uid="{00000000-0005-0000-0000-0000141F0000}"/>
    <cellStyle name="Nota 5 4 3 3" xfId="6059" xr:uid="{00000000-0005-0000-0000-0000151F0000}"/>
    <cellStyle name="Nota 5 4 3 4" xfId="7760" xr:uid="{00000000-0005-0000-0000-0000161F0000}"/>
    <cellStyle name="Nota 5 4 4" xfId="4465" xr:uid="{00000000-0005-0000-0000-0000171F0000}"/>
    <cellStyle name="Nota 5 4 5" xfId="7287" xr:uid="{00000000-0005-0000-0000-0000181F0000}"/>
    <cellStyle name="Nota 5 5" xfId="2538" xr:uid="{00000000-0005-0000-0000-0000191F0000}"/>
    <cellStyle name="Nota 5 5 2" xfId="4467" xr:uid="{00000000-0005-0000-0000-00001A1F0000}"/>
    <cellStyle name="Nota 5 5 3" xfId="7762" xr:uid="{00000000-0005-0000-0000-00001B1F0000}"/>
    <cellStyle name="Nota 5 6" xfId="2531" xr:uid="{00000000-0005-0000-0000-00001C1F0000}"/>
    <cellStyle name="Nota 5 6 2" xfId="3670" xr:uid="{00000000-0005-0000-0000-00001D1F0000}"/>
    <cellStyle name="Nota 5 6 3" xfId="5420" xr:uid="{00000000-0005-0000-0000-00001E1F0000}"/>
    <cellStyle name="Nota 5 6 4" xfId="7755" xr:uid="{00000000-0005-0000-0000-00001F1F0000}"/>
    <cellStyle name="Nota 5 7" xfId="4460" xr:uid="{00000000-0005-0000-0000-0000201F0000}"/>
    <cellStyle name="Nota 5 8" xfId="6641" xr:uid="{00000000-0005-0000-0000-0000211F0000}"/>
    <cellStyle name="Nota 5 9" xfId="1389" xr:uid="{00000000-0005-0000-0000-0000221F0000}"/>
    <cellStyle name="Nota 6" xfId="748" xr:uid="{00000000-0005-0000-0000-0000231F0000}"/>
    <cellStyle name="Nota 6 2" xfId="2540" xr:uid="{00000000-0005-0000-0000-0000241F0000}"/>
    <cellStyle name="Nota 6 2 2" xfId="2541" xr:uid="{00000000-0005-0000-0000-0000251F0000}"/>
    <cellStyle name="Nota 6 2 2 2" xfId="4470" xr:uid="{00000000-0005-0000-0000-0000261F0000}"/>
    <cellStyle name="Nota 6 2 2 3" xfId="7765" xr:uid="{00000000-0005-0000-0000-0000271F0000}"/>
    <cellStyle name="Nota 6 2 3" xfId="4469" xr:uid="{00000000-0005-0000-0000-0000281F0000}"/>
    <cellStyle name="Nota 6 2 4" xfId="7764" xr:uid="{00000000-0005-0000-0000-0000291F0000}"/>
    <cellStyle name="Nota 6 3" xfId="2542" xr:uid="{00000000-0005-0000-0000-00002A1F0000}"/>
    <cellStyle name="Nota 6 3 2" xfId="2543" xr:uid="{00000000-0005-0000-0000-00002B1F0000}"/>
    <cellStyle name="Nota 6 3 2 2" xfId="4472" xr:uid="{00000000-0005-0000-0000-00002C1F0000}"/>
    <cellStyle name="Nota 6 3 2 3" xfId="7767" xr:uid="{00000000-0005-0000-0000-00002D1F0000}"/>
    <cellStyle name="Nota 6 3 3" xfId="4471" xr:uid="{00000000-0005-0000-0000-00002E1F0000}"/>
    <cellStyle name="Nota 6 3 4" xfId="7766" xr:uid="{00000000-0005-0000-0000-00002F1F0000}"/>
    <cellStyle name="Nota 6 4" xfId="2544" xr:uid="{00000000-0005-0000-0000-0000301F0000}"/>
    <cellStyle name="Nota 6 4 2" xfId="2545" xr:uid="{00000000-0005-0000-0000-0000311F0000}"/>
    <cellStyle name="Nota 6 4 2 2" xfId="4474" xr:uid="{00000000-0005-0000-0000-0000321F0000}"/>
    <cellStyle name="Nota 6 4 2 3" xfId="7769" xr:uid="{00000000-0005-0000-0000-0000331F0000}"/>
    <cellStyle name="Nota 6 4 3" xfId="4473" xr:uid="{00000000-0005-0000-0000-0000341F0000}"/>
    <cellStyle name="Nota 6 4 4" xfId="7768" xr:uid="{00000000-0005-0000-0000-0000351F0000}"/>
    <cellStyle name="Nota 6 5" xfId="2546" xr:uid="{00000000-0005-0000-0000-0000361F0000}"/>
    <cellStyle name="Nota 6 5 2" xfId="4475" xr:uid="{00000000-0005-0000-0000-0000371F0000}"/>
    <cellStyle name="Nota 6 5 3" xfId="7770" xr:uid="{00000000-0005-0000-0000-0000381F0000}"/>
    <cellStyle name="Nota 6 6" xfId="4468" xr:uid="{00000000-0005-0000-0000-0000391F0000}"/>
    <cellStyle name="Nota 6 7" xfId="7763" xr:uid="{00000000-0005-0000-0000-00003A1F0000}"/>
    <cellStyle name="Nota 6 8" xfId="2539" xr:uid="{00000000-0005-0000-0000-00003B1F0000}"/>
    <cellStyle name="Nota 7" xfId="749" xr:uid="{00000000-0005-0000-0000-00003C1F0000}"/>
    <cellStyle name="Nota 7 2" xfId="2548" xr:uid="{00000000-0005-0000-0000-00003D1F0000}"/>
    <cellStyle name="Nota 7 2 2" xfId="2549" xr:uid="{00000000-0005-0000-0000-00003E1F0000}"/>
    <cellStyle name="Nota 7 2 2 2" xfId="4478" xr:uid="{00000000-0005-0000-0000-00003F1F0000}"/>
    <cellStyle name="Nota 7 2 2 3" xfId="7773" xr:uid="{00000000-0005-0000-0000-0000401F0000}"/>
    <cellStyle name="Nota 7 2 3" xfId="4477" xr:uid="{00000000-0005-0000-0000-0000411F0000}"/>
    <cellStyle name="Nota 7 2 4" xfId="7772" xr:uid="{00000000-0005-0000-0000-0000421F0000}"/>
    <cellStyle name="Nota 7 3" xfId="2550" xr:uid="{00000000-0005-0000-0000-0000431F0000}"/>
    <cellStyle name="Nota 7 3 2" xfId="2551" xr:uid="{00000000-0005-0000-0000-0000441F0000}"/>
    <cellStyle name="Nota 7 3 2 2" xfId="4480" xr:uid="{00000000-0005-0000-0000-0000451F0000}"/>
    <cellStyle name="Nota 7 3 2 3" xfId="7775" xr:uid="{00000000-0005-0000-0000-0000461F0000}"/>
    <cellStyle name="Nota 7 3 3" xfId="4479" xr:uid="{00000000-0005-0000-0000-0000471F0000}"/>
    <cellStyle name="Nota 7 3 4" xfId="7774" xr:uid="{00000000-0005-0000-0000-0000481F0000}"/>
    <cellStyle name="Nota 7 4" xfId="2552" xr:uid="{00000000-0005-0000-0000-0000491F0000}"/>
    <cellStyle name="Nota 7 4 2" xfId="2553" xr:uid="{00000000-0005-0000-0000-00004A1F0000}"/>
    <cellStyle name="Nota 7 4 2 2" xfId="4482" xr:uid="{00000000-0005-0000-0000-00004B1F0000}"/>
    <cellStyle name="Nota 7 4 2 3" xfId="7777" xr:uid="{00000000-0005-0000-0000-00004C1F0000}"/>
    <cellStyle name="Nota 7 4 3" xfId="4481" xr:uid="{00000000-0005-0000-0000-00004D1F0000}"/>
    <cellStyle name="Nota 7 4 4" xfId="7776" xr:uid="{00000000-0005-0000-0000-00004E1F0000}"/>
    <cellStyle name="Nota 7 5" xfId="2554" xr:uid="{00000000-0005-0000-0000-00004F1F0000}"/>
    <cellStyle name="Nota 7 5 2" xfId="4483" xr:uid="{00000000-0005-0000-0000-0000501F0000}"/>
    <cellStyle name="Nota 7 5 3" xfId="7778" xr:uid="{00000000-0005-0000-0000-0000511F0000}"/>
    <cellStyle name="Nota 7 6" xfId="4476" xr:uid="{00000000-0005-0000-0000-0000521F0000}"/>
    <cellStyle name="Nota 7 7" xfId="7771" xr:uid="{00000000-0005-0000-0000-0000531F0000}"/>
    <cellStyle name="Nota 7 8" xfId="2547" xr:uid="{00000000-0005-0000-0000-0000541F0000}"/>
    <cellStyle name="Nota 8" xfId="750" xr:uid="{00000000-0005-0000-0000-0000551F0000}"/>
    <cellStyle name="Nota 8 2" xfId="6170" xr:uid="{00000000-0005-0000-0000-0000561F0000}"/>
    <cellStyle name="Nota 8 3" xfId="8687" xr:uid="{00000000-0005-0000-0000-0000571F0000}"/>
    <cellStyle name="Nota 8 4" xfId="3776" xr:uid="{00000000-0005-0000-0000-0000581F0000}"/>
    <cellStyle name="Nota 9" xfId="751" xr:uid="{00000000-0005-0000-0000-0000591F0000}"/>
    <cellStyle name="Nota 9 2" xfId="6293" xr:uid="{00000000-0005-0000-0000-00005A1F0000}"/>
    <cellStyle name="Note" xfId="752" xr:uid="{00000000-0005-0000-0000-00005B1F0000}"/>
    <cellStyle name="Note 10" xfId="3415" xr:uid="{00000000-0005-0000-0000-00005C1F0000}"/>
    <cellStyle name="Note 10 2" xfId="5052" xr:uid="{00000000-0005-0000-0000-00005D1F0000}"/>
    <cellStyle name="Note 10 3" xfId="8426" xr:uid="{00000000-0005-0000-0000-00005E1F0000}"/>
    <cellStyle name="Note 11" xfId="3416" xr:uid="{00000000-0005-0000-0000-00005F1F0000}"/>
    <cellStyle name="Note 11 2" xfId="5053" xr:uid="{00000000-0005-0000-0000-0000601F0000}"/>
    <cellStyle name="Note 11 3" xfId="8427" xr:uid="{00000000-0005-0000-0000-0000611F0000}"/>
    <cellStyle name="Note 12" xfId="3414" xr:uid="{00000000-0005-0000-0000-0000621F0000}"/>
    <cellStyle name="Note 12 2" xfId="5051" xr:uid="{00000000-0005-0000-0000-0000631F0000}"/>
    <cellStyle name="Note 12 3" xfId="8425" xr:uid="{00000000-0005-0000-0000-0000641F0000}"/>
    <cellStyle name="Note 13" xfId="3833" xr:uid="{00000000-0005-0000-0000-0000651F0000}"/>
    <cellStyle name="Note 13 2" xfId="6214" xr:uid="{00000000-0005-0000-0000-0000661F0000}"/>
    <cellStyle name="Note 13 3" xfId="8744" xr:uid="{00000000-0005-0000-0000-0000671F0000}"/>
    <cellStyle name="Note 14" xfId="2795" xr:uid="{00000000-0005-0000-0000-0000681F0000}"/>
    <cellStyle name="Note 15" xfId="4484" xr:uid="{00000000-0005-0000-0000-0000691F0000}"/>
    <cellStyle name="Note 16" xfId="7367" xr:uid="{00000000-0005-0000-0000-00006A1F0000}"/>
    <cellStyle name="Note 17" xfId="2126" xr:uid="{00000000-0005-0000-0000-00006B1F0000}"/>
    <cellStyle name="Note 2" xfId="753" xr:uid="{00000000-0005-0000-0000-00006C1F0000}"/>
    <cellStyle name="Note 2 10" xfId="6402" xr:uid="{00000000-0005-0000-0000-00006D1F0000}"/>
    <cellStyle name="Note 2 11" xfId="1132" xr:uid="{00000000-0005-0000-0000-00006E1F0000}"/>
    <cellStyle name="Note 2 2" xfId="2910" xr:uid="{00000000-0005-0000-0000-00006F1F0000}"/>
    <cellStyle name="Note 2 2 2" xfId="3419" xr:uid="{00000000-0005-0000-0000-0000701F0000}"/>
    <cellStyle name="Note 2 2 2 2" xfId="5056" xr:uid="{00000000-0005-0000-0000-0000711F0000}"/>
    <cellStyle name="Note 2 2 2 3" xfId="8430" xr:uid="{00000000-0005-0000-0000-0000721F0000}"/>
    <cellStyle name="Note 2 2 3" xfId="3420" xr:uid="{00000000-0005-0000-0000-0000731F0000}"/>
    <cellStyle name="Note 2 2 3 2" xfId="5057" xr:uid="{00000000-0005-0000-0000-0000741F0000}"/>
    <cellStyle name="Note 2 2 3 3" xfId="8431" xr:uid="{00000000-0005-0000-0000-0000751F0000}"/>
    <cellStyle name="Note 2 2 4" xfId="3421" xr:uid="{00000000-0005-0000-0000-0000761F0000}"/>
    <cellStyle name="Note 2 2 4 2" xfId="5058" xr:uid="{00000000-0005-0000-0000-0000771F0000}"/>
    <cellStyle name="Note 2 2 4 3" xfId="8432" xr:uid="{00000000-0005-0000-0000-0000781F0000}"/>
    <cellStyle name="Note 2 2 5" xfId="3418" xr:uid="{00000000-0005-0000-0000-0000791F0000}"/>
    <cellStyle name="Note 2 2 5 2" xfId="5055" xr:uid="{00000000-0005-0000-0000-00007A1F0000}"/>
    <cellStyle name="Note 2 2 5 3" xfId="8429" xr:uid="{00000000-0005-0000-0000-00007B1F0000}"/>
    <cellStyle name="Note 2 2 6" xfId="3781" xr:uid="{00000000-0005-0000-0000-00007C1F0000}"/>
    <cellStyle name="Note 2 2 6 2" xfId="6174" xr:uid="{00000000-0005-0000-0000-00007D1F0000}"/>
    <cellStyle name="Note 2 2 6 3" xfId="8692" xr:uid="{00000000-0005-0000-0000-00007E1F0000}"/>
    <cellStyle name="Note 2 2 7" xfId="4577" xr:uid="{00000000-0005-0000-0000-00007F1F0000}"/>
    <cellStyle name="Note 2 2 8" xfId="7968" xr:uid="{00000000-0005-0000-0000-0000801F0000}"/>
    <cellStyle name="Note 2 3" xfId="3000" xr:uid="{00000000-0005-0000-0000-0000811F0000}"/>
    <cellStyle name="Note 2 3 2" xfId="3422" xr:uid="{00000000-0005-0000-0000-0000821F0000}"/>
    <cellStyle name="Note 2 3 2 2" xfId="5059" xr:uid="{00000000-0005-0000-0000-0000831F0000}"/>
    <cellStyle name="Note 2 3 2 3" xfId="8433" xr:uid="{00000000-0005-0000-0000-0000841F0000}"/>
    <cellStyle name="Note 2 3 3" xfId="4662" xr:uid="{00000000-0005-0000-0000-0000851F0000}"/>
    <cellStyle name="Note 2 3 4" xfId="8056" xr:uid="{00000000-0005-0000-0000-0000861F0000}"/>
    <cellStyle name="Note 2 4" xfId="3423" xr:uid="{00000000-0005-0000-0000-0000871F0000}"/>
    <cellStyle name="Note 2 4 2" xfId="5060" xr:uid="{00000000-0005-0000-0000-0000881F0000}"/>
    <cellStyle name="Note 2 4 3" xfId="8434" xr:uid="{00000000-0005-0000-0000-0000891F0000}"/>
    <cellStyle name="Note 2 5" xfId="3424" xr:uid="{00000000-0005-0000-0000-00008A1F0000}"/>
    <cellStyle name="Note 2 5 2" xfId="5061" xr:uid="{00000000-0005-0000-0000-00008B1F0000}"/>
    <cellStyle name="Note 2 5 3" xfId="8435" xr:uid="{00000000-0005-0000-0000-00008C1F0000}"/>
    <cellStyle name="Note 2 6" xfId="3417" xr:uid="{00000000-0005-0000-0000-00008D1F0000}"/>
    <cellStyle name="Note 2 6 2" xfId="5054" xr:uid="{00000000-0005-0000-0000-00008E1F0000}"/>
    <cellStyle name="Note 2 6 3" xfId="8428" xr:uid="{00000000-0005-0000-0000-00008F1F0000}"/>
    <cellStyle name="Note 2 7" xfId="3749" xr:uid="{00000000-0005-0000-0000-0000901F0000}"/>
    <cellStyle name="Note 2 7 2" xfId="6146" xr:uid="{00000000-0005-0000-0000-0000911F0000}"/>
    <cellStyle name="Note 2 7 3" xfId="8662" xr:uid="{00000000-0005-0000-0000-0000921F0000}"/>
    <cellStyle name="Note 2 8" xfId="2796" xr:uid="{00000000-0005-0000-0000-0000931F0000}"/>
    <cellStyle name="Note 2 9" xfId="4485" xr:uid="{00000000-0005-0000-0000-0000941F0000}"/>
    <cellStyle name="Note 3" xfId="2909" xr:uid="{00000000-0005-0000-0000-0000951F0000}"/>
    <cellStyle name="Note 3 2" xfId="3426" xr:uid="{00000000-0005-0000-0000-0000961F0000}"/>
    <cellStyle name="Note 3 2 2" xfId="3427" xr:uid="{00000000-0005-0000-0000-0000971F0000}"/>
    <cellStyle name="Note 3 2 2 2" xfId="5064" xr:uid="{00000000-0005-0000-0000-0000981F0000}"/>
    <cellStyle name="Note 3 2 2 3" xfId="8438" xr:uid="{00000000-0005-0000-0000-0000991F0000}"/>
    <cellStyle name="Note 3 2 3" xfId="3428" xr:uid="{00000000-0005-0000-0000-00009A1F0000}"/>
    <cellStyle name="Note 3 2 3 2" xfId="5065" xr:uid="{00000000-0005-0000-0000-00009B1F0000}"/>
    <cellStyle name="Note 3 2 3 3" xfId="8439" xr:uid="{00000000-0005-0000-0000-00009C1F0000}"/>
    <cellStyle name="Note 3 2 4" xfId="3429" xr:uid="{00000000-0005-0000-0000-00009D1F0000}"/>
    <cellStyle name="Note 3 2 4 2" xfId="5066" xr:uid="{00000000-0005-0000-0000-00009E1F0000}"/>
    <cellStyle name="Note 3 2 4 3" xfId="8440" xr:uid="{00000000-0005-0000-0000-00009F1F0000}"/>
    <cellStyle name="Note 3 2 5" xfId="5063" xr:uid="{00000000-0005-0000-0000-0000A01F0000}"/>
    <cellStyle name="Note 3 2 6" xfId="8437" xr:uid="{00000000-0005-0000-0000-0000A11F0000}"/>
    <cellStyle name="Note 3 3" xfId="3430" xr:uid="{00000000-0005-0000-0000-0000A21F0000}"/>
    <cellStyle name="Note 3 3 2" xfId="5067" xr:uid="{00000000-0005-0000-0000-0000A31F0000}"/>
    <cellStyle name="Note 3 3 3" xfId="8441" xr:uid="{00000000-0005-0000-0000-0000A41F0000}"/>
    <cellStyle name="Note 3 4" xfId="3431" xr:uid="{00000000-0005-0000-0000-0000A51F0000}"/>
    <cellStyle name="Note 3 4 2" xfId="5068" xr:uid="{00000000-0005-0000-0000-0000A61F0000}"/>
    <cellStyle name="Note 3 4 3" xfId="8442" xr:uid="{00000000-0005-0000-0000-0000A71F0000}"/>
    <cellStyle name="Note 3 5" xfId="3432" xr:uid="{00000000-0005-0000-0000-0000A81F0000}"/>
    <cellStyle name="Note 3 5 2" xfId="5069" xr:uid="{00000000-0005-0000-0000-0000A91F0000}"/>
    <cellStyle name="Note 3 5 3" xfId="8443" xr:uid="{00000000-0005-0000-0000-0000AA1F0000}"/>
    <cellStyle name="Note 3 6" xfId="3425" xr:uid="{00000000-0005-0000-0000-0000AB1F0000}"/>
    <cellStyle name="Note 3 6 2" xfId="5062" xr:uid="{00000000-0005-0000-0000-0000AC1F0000}"/>
    <cellStyle name="Note 3 6 3" xfId="8436" xr:uid="{00000000-0005-0000-0000-0000AD1F0000}"/>
    <cellStyle name="Note 3 7" xfId="3812" xr:uid="{00000000-0005-0000-0000-0000AE1F0000}"/>
    <cellStyle name="Note 3 7 2" xfId="6199" xr:uid="{00000000-0005-0000-0000-0000AF1F0000}"/>
    <cellStyle name="Note 3 7 3" xfId="8723" xr:uid="{00000000-0005-0000-0000-0000B01F0000}"/>
    <cellStyle name="Note 3 8" xfId="4576" xr:uid="{00000000-0005-0000-0000-0000B11F0000}"/>
    <cellStyle name="Note 3 9" xfId="7967" xr:uid="{00000000-0005-0000-0000-0000B21F0000}"/>
    <cellStyle name="Note 4" xfId="2999" xr:uid="{00000000-0005-0000-0000-0000B31F0000}"/>
    <cellStyle name="Note 4 2" xfId="3434" xr:uid="{00000000-0005-0000-0000-0000B41F0000}"/>
    <cellStyle name="Note 4 2 2" xfId="3435" xr:uid="{00000000-0005-0000-0000-0000B51F0000}"/>
    <cellStyle name="Note 4 2 2 2" xfId="5072" xr:uid="{00000000-0005-0000-0000-0000B61F0000}"/>
    <cellStyle name="Note 4 2 2 3" xfId="8446" xr:uid="{00000000-0005-0000-0000-0000B71F0000}"/>
    <cellStyle name="Note 4 2 3" xfId="3436" xr:uid="{00000000-0005-0000-0000-0000B81F0000}"/>
    <cellStyle name="Note 4 2 3 2" xfId="5073" xr:uid="{00000000-0005-0000-0000-0000B91F0000}"/>
    <cellStyle name="Note 4 2 3 3" xfId="8447" xr:uid="{00000000-0005-0000-0000-0000BA1F0000}"/>
    <cellStyle name="Note 4 2 4" xfId="3437" xr:uid="{00000000-0005-0000-0000-0000BB1F0000}"/>
    <cellStyle name="Note 4 2 4 2" xfId="5074" xr:uid="{00000000-0005-0000-0000-0000BC1F0000}"/>
    <cellStyle name="Note 4 2 4 3" xfId="8448" xr:uid="{00000000-0005-0000-0000-0000BD1F0000}"/>
    <cellStyle name="Note 4 2 5" xfId="5071" xr:uid="{00000000-0005-0000-0000-0000BE1F0000}"/>
    <cellStyle name="Note 4 2 6" xfId="8445" xr:uid="{00000000-0005-0000-0000-0000BF1F0000}"/>
    <cellStyle name="Note 4 3" xfId="3438" xr:uid="{00000000-0005-0000-0000-0000C01F0000}"/>
    <cellStyle name="Note 4 3 2" xfId="5075" xr:uid="{00000000-0005-0000-0000-0000C11F0000}"/>
    <cellStyle name="Note 4 3 3" xfId="8449" xr:uid="{00000000-0005-0000-0000-0000C21F0000}"/>
    <cellStyle name="Note 4 4" xfId="3439" xr:uid="{00000000-0005-0000-0000-0000C31F0000}"/>
    <cellStyle name="Note 4 4 2" xfId="5076" xr:uid="{00000000-0005-0000-0000-0000C41F0000}"/>
    <cellStyle name="Note 4 4 3" xfId="8450" xr:uid="{00000000-0005-0000-0000-0000C51F0000}"/>
    <cellStyle name="Note 4 5" xfId="3440" xr:uid="{00000000-0005-0000-0000-0000C61F0000}"/>
    <cellStyle name="Note 4 5 2" xfId="5077" xr:uid="{00000000-0005-0000-0000-0000C71F0000}"/>
    <cellStyle name="Note 4 5 3" xfId="8451" xr:uid="{00000000-0005-0000-0000-0000C81F0000}"/>
    <cellStyle name="Note 4 6" xfId="3433" xr:uid="{00000000-0005-0000-0000-0000C91F0000}"/>
    <cellStyle name="Note 4 6 2" xfId="5070" xr:uid="{00000000-0005-0000-0000-0000CA1F0000}"/>
    <cellStyle name="Note 4 6 3" xfId="8444" xr:uid="{00000000-0005-0000-0000-0000CB1F0000}"/>
    <cellStyle name="Note 4 7" xfId="4661" xr:uid="{00000000-0005-0000-0000-0000CC1F0000}"/>
    <cellStyle name="Note 4 8" xfId="8055" xr:uid="{00000000-0005-0000-0000-0000CD1F0000}"/>
    <cellStyle name="Note 5" xfId="3441" xr:uid="{00000000-0005-0000-0000-0000CE1F0000}"/>
    <cellStyle name="Note 5 2" xfId="3442" xr:uid="{00000000-0005-0000-0000-0000CF1F0000}"/>
    <cellStyle name="Note 5 2 2" xfId="3443" xr:uid="{00000000-0005-0000-0000-0000D01F0000}"/>
    <cellStyle name="Note 5 2 2 2" xfId="5080" xr:uid="{00000000-0005-0000-0000-0000D11F0000}"/>
    <cellStyle name="Note 5 2 2 3" xfId="8454" xr:uid="{00000000-0005-0000-0000-0000D21F0000}"/>
    <cellStyle name="Note 5 2 3" xfId="3444" xr:uid="{00000000-0005-0000-0000-0000D31F0000}"/>
    <cellStyle name="Note 5 2 3 2" xfId="5081" xr:uid="{00000000-0005-0000-0000-0000D41F0000}"/>
    <cellStyle name="Note 5 2 3 3" xfId="8455" xr:uid="{00000000-0005-0000-0000-0000D51F0000}"/>
    <cellStyle name="Note 5 2 4" xfId="3445" xr:uid="{00000000-0005-0000-0000-0000D61F0000}"/>
    <cellStyle name="Note 5 2 4 2" xfId="5082" xr:uid="{00000000-0005-0000-0000-0000D71F0000}"/>
    <cellStyle name="Note 5 2 4 3" xfId="8456" xr:uid="{00000000-0005-0000-0000-0000D81F0000}"/>
    <cellStyle name="Note 5 2 5" xfId="5079" xr:uid="{00000000-0005-0000-0000-0000D91F0000}"/>
    <cellStyle name="Note 5 2 6" xfId="8453" xr:uid="{00000000-0005-0000-0000-0000DA1F0000}"/>
    <cellStyle name="Note 5 3" xfId="3446" xr:uid="{00000000-0005-0000-0000-0000DB1F0000}"/>
    <cellStyle name="Note 5 3 2" xfId="5083" xr:uid="{00000000-0005-0000-0000-0000DC1F0000}"/>
    <cellStyle name="Note 5 3 3" xfId="8457" xr:uid="{00000000-0005-0000-0000-0000DD1F0000}"/>
    <cellStyle name="Note 5 4" xfId="3447" xr:uid="{00000000-0005-0000-0000-0000DE1F0000}"/>
    <cellStyle name="Note 5 4 2" xfId="5084" xr:uid="{00000000-0005-0000-0000-0000DF1F0000}"/>
    <cellStyle name="Note 5 4 3" xfId="8458" xr:uid="{00000000-0005-0000-0000-0000E01F0000}"/>
    <cellStyle name="Note 5 5" xfId="3448" xr:uid="{00000000-0005-0000-0000-0000E11F0000}"/>
    <cellStyle name="Note 5 5 2" xfId="5085" xr:uid="{00000000-0005-0000-0000-0000E21F0000}"/>
    <cellStyle name="Note 5 5 3" xfId="8459" xr:uid="{00000000-0005-0000-0000-0000E31F0000}"/>
    <cellStyle name="Note 5 6" xfId="5078" xr:uid="{00000000-0005-0000-0000-0000E41F0000}"/>
    <cellStyle name="Note 5 7" xfId="8452" xr:uid="{00000000-0005-0000-0000-0000E51F0000}"/>
    <cellStyle name="Note 6" xfId="3449" xr:uid="{00000000-0005-0000-0000-0000E61F0000}"/>
    <cellStyle name="Note 6 2" xfId="3450" xr:uid="{00000000-0005-0000-0000-0000E71F0000}"/>
    <cellStyle name="Note 6 2 2" xfId="5087" xr:uid="{00000000-0005-0000-0000-0000E81F0000}"/>
    <cellStyle name="Note 6 2 3" xfId="8461" xr:uid="{00000000-0005-0000-0000-0000E91F0000}"/>
    <cellStyle name="Note 6 3" xfId="3451" xr:uid="{00000000-0005-0000-0000-0000EA1F0000}"/>
    <cellStyle name="Note 6 3 2" xfId="5088" xr:uid="{00000000-0005-0000-0000-0000EB1F0000}"/>
    <cellStyle name="Note 6 3 3" xfId="8462" xr:uid="{00000000-0005-0000-0000-0000EC1F0000}"/>
    <cellStyle name="Note 6 4" xfId="3452" xr:uid="{00000000-0005-0000-0000-0000ED1F0000}"/>
    <cellStyle name="Note 6 4 2" xfId="5089" xr:uid="{00000000-0005-0000-0000-0000EE1F0000}"/>
    <cellStyle name="Note 6 4 3" xfId="8463" xr:uid="{00000000-0005-0000-0000-0000EF1F0000}"/>
    <cellStyle name="Note 6 5" xfId="5086" xr:uid="{00000000-0005-0000-0000-0000F01F0000}"/>
    <cellStyle name="Note 6 6" xfId="8460" xr:uid="{00000000-0005-0000-0000-0000F11F0000}"/>
    <cellStyle name="Note 7" xfId="3453" xr:uid="{00000000-0005-0000-0000-0000F21F0000}"/>
    <cellStyle name="Note 7 2" xfId="3454" xr:uid="{00000000-0005-0000-0000-0000F31F0000}"/>
    <cellStyle name="Note 7 2 2" xfId="5091" xr:uid="{00000000-0005-0000-0000-0000F41F0000}"/>
    <cellStyle name="Note 7 2 3" xfId="8465" xr:uid="{00000000-0005-0000-0000-0000F51F0000}"/>
    <cellStyle name="Note 7 3" xfId="3455" xr:uid="{00000000-0005-0000-0000-0000F61F0000}"/>
    <cellStyle name="Note 7 3 2" xfId="5092" xr:uid="{00000000-0005-0000-0000-0000F71F0000}"/>
    <cellStyle name="Note 7 3 3" xfId="8466" xr:uid="{00000000-0005-0000-0000-0000F81F0000}"/>
    <cellStyle name="Note 7 4" xfId="3456" xr:uid="{00000000-0005-0000-0000-0000F91F0000}"/>
    <cellStyle name="Note 7 4 2" xfId="5093" xr:uid="{00000000-0005-0000-0000-0000FA1F0000}"/>
    <cellStyle name="Note 7 4 3" xfId="8467" xr:uid="{00000000-0005-0000-0000-0000FB1F0000}"/>
    <cellStyle name="Note 7 5" xfId="5090" xr:uid="{00000000-0005-0000-0000-0000FC1F0000}"/>
    <cellStyle name="Note 7 6" xfId="8464" xr:uid="{00000000-0005-0000-0000-0000FD1F0000}"/>
    <cellStyle name="Note 8" xfId="3457" xr:uid="{00000000-0005-0000-0000-0000FE1F0000}"/>
    <cellStyle name="Note 8 2" xfId="3458" xr:uid="{00000000-0005-0000-0000-0000FF1F0000}"/>
    <cellStyle name="Note 8 2 2" xfId="5095" xr:uid="{00000000-0005-0000-0000-000000200000}"/>
    <cellStyle name="Note 8 2 3" xfId="8469" xr:uid="{00000000-0005-0000-0000-000001200000}"/>
    <cellStyle name="Note 8 3" xfId="3459" xr:uid="{00000000-0005-0000-0000-000002200000}"/>
    <cellStyle name="Note 8 3 2" xfId="5096" xr:uid="{00000000-0005-0000-0000-000003200000}"/>
    <cellStyle name="Note 8 3 3" xfId="8470" xr:uid="{00000000-0005-0000-0000-000004200000}"/>
    <cellStyle name="Note 8 4" xfId="3460" xr:uid="{00000000-0005-0000-0000-000005200000}"/>
    <cellStyle name="Note 8 4 2" xfId="5097" xr:uid="{00000000-0005-0000-0000-000006200000}"/>
    <cellStyle name="Note 8 4 3" xfId="8471" xr:uid="{00000000-0005-0000-0000-000007200000}"/>
    <cellStyle name="Note 8 5" xfId="5094" xr:uid="{00000000-0005-0000-0000-000008200000}"/>
    <cellStyle name="Note 8 6" xfId="8468" xr:uid="{00000000-0005-0000-0000-000009200000}"/>
    <cellStyle name="Note 9" xfId="3461" xr:uid="{00000000-0005-0000-0000-00000A200000}"/>
    <cellStyle name="Note 9 2" xfId="5098" xr:uid="{00000000-0005-0000-0000-00000B200000}"/>
    <cellStyle name="Note 9 3" xfId="8472" xr:uid="{00000000-0005-0000-0000-00000C200000}"/>
    <cellStyle name="num s dec" xfId="754" xr:uid="{00000000-0005-0000-0000-00000D200000}"/>
    <cellStyle name="OE_Cabecalho_Tabela" xfId="755" xr:uid="{00000000-0005-0000-0000-00000E200000}"/>
    <cellStyle name="OE_Conteudo_cinza" xfId="756" xr:uid="{00000000-0005-0000-0000-00000F200000}"/>
    <cellStyle name="OE_Conteudo_Nun_cinza" xfId="757" xr:uid="{00000000-0005-0000-0000-000010200000}"/>
    <cellStyle name="OE_Conteudo_Nun_cinza_0,0" xfId="758" xr:uid="{00000000-0005-0000-0000-000011200000}"/>
    <cellStyle name="OE_conteudo1" xfId="759" xr:uid="{00000000-0005-0000-0000-000012200000}"/>
    <cellStyle name="OE_ConteudoNumero" xfId="760" xr:uid="{00000000-0005-0000-0000-000014200000}"/>
    <cellStyle name="OE_Fonte_limite" xfId="761" xr:uid="{00000000-0005-0000-0000-000015200000}"/>
    <cellStyle name="OE_LegQuadro" xfId="762" xr:uid="{00000000-0005-0000-0000-000016200000}"/>
    <cellStyle name="OE_TituloIndice" xfId="763" xr:uid="{00000000-0005-0000-0000-000017200000}"/>
    <cellStyle name="OE_unidades" xfId="764" xr:uid="{00000000-0005-0000-0000-000018200000}"/>
    <cellStyle name="Opis" xfId="765" xr:uid="{00000000-0005-0000-0000-000019200000}"/>
    <cellStyle name="Output" xfId="766" xr:uid="{00000000-0005-0000-0000-00001A200000}"/>
    <cellStyle name="Output 10" xfId="3463" xr:uid="{00000000-0005-0000-0000-00001B200000}"/>
    <cellStyle name="Output 10 2" xfId="5100" xr:uid="{00000000-0005-0000-0000-00001C200000}"/>
    <cellStyle name="Output 10 3" xfId="8474" xr:uid="{00000000-0005-0000-0000-00001D200000}"/>
    <cellStyle name="Output 11" xfId="3464" xr:uid="{00000000-0005-0000-0000-00001E200000}"/>
    <cellStyle name="Output 11 2" xfId="5101" xr:uid="{00000000-0005-0000-0000-00001F200000}"/>
    <cellStyle name="Output 11 3" xfId="8475" xr:uid="{00000000-0005-0000-0000-000020200000}"/>
    <cellStyle name="Output 12" xfId="3465" xr:uid="{00000000-0005-0000-0000-000021200000}"/>
    <cellStyle name="Output 12 2" xfId="5102" xr:uid="{00000000-0005-0000-0000-000022200000}"/>
    <cellStyle name="Output 12 3" xfId="8476" xr:uid="{00000000-0005-0000-0000-000023200000}"/>
    <cellStyle name="Output 13" xfId="3462" xr:uid="{00000000-0005-0000-0000-000024200000}"/>
    <cellStyle name="Output 13 2" xfId="5099" xr:uid="{00000000-0005-0000-0000-000025200000}"/>
    <cellStyle name="Output 13 3" xfId="8473" xr:uid="{00000000-0005-0000-0000-000026200000}"/>
    <cellStyle name="Output 14" xfId="4486" xr:uid="{00000000-0005-0000-0000-000027200000}"/>
    <cellStyle name="Output 15" xfId="7374" xr:uid="{00000000-0005-0000-0000-000028200000}"/>
    <cellStyle name="Output 16" xfId="2134" xr:uid="{00000000-0005-0000-0000-000029200000}"/>
    <cellStyle name="Output 2" xfId="767" xr:uid="{00000000-0005-0000-0000-00002A200000}"/>
    <cellStyle name="Output 2 10" xfId="1133" xr:uid="{00000000-0005-0000-0000-00002B200000}"/>
    <cellStyle name="Output 2 2" xfId="3467" xr:uid="{00000000-0005-0000-0000-00002C200000}"/>
    <cellStyle name="Output 2 2 2" xfId="3468" xr:uid="{00000000-0005-0000-0000-00002D200000}"/>
    <cellStyle name="Output 2 2 2 2" xfId="5105" xr:uid="{00000000-0005-0000-0000-00002E200000}"/>
    <cellStyle name="Output 2 2 2 3" xfId="8479" xr:uid="{00000000-0005-0000-0000-00002F200000}"/>
    <cellStyle name="Output 2 2 3" xfId="3469" xr:uid="{00000000-0005-0000-0000-000030200000}"/>
    <cellStyle name="Output 2 2 3 2" xfId="5106" xr:uid="{00000000-0005-0000-0000-000031200000}"/>
    <cellStyle name="Output 2 2 3 3" xfId="8480" xr:uid="{00000000-0005-0000-0000-000032200000}"/>
    <cellStyle name="Output 2 2 4" xfId="3470" xr:uid="{00000000-0005-0000-0000-000033200000}"/>
    <cellStyle name="Output 2 2 4 2" xfId="5107" xr:uid="{00000000-0005-0000-0000-000034200000}"/>
    <cellStyle name="Output 2 2 4 3" xfId="8481" xr:uid="{00000000-0005-0000-0000-000035200000}"/>
    <cellStyle name="Output 2 2 5" xfId="5104" xr:uid="{00000000-0005-0000-0000-000036200000}"/>
    <cellStyle name="Output 2 2 6" xfId="8478" xr:uid="{00000000-0005-0000-0000-000037200000}"/>
    <cellStyle name="Output 2 3" xfId="3471" xr:uid="{00000000-0005-0000-0000-000038200000}"/>
    <cellStyle name="Output 2 3 2" xfId="5108" xr:uid="{00000000-0005-0000-0000-000039200000}"/>
    <cellStyle name="Output 2 3 3" xfId="8482" xr:uid="{00000000-0005-0000-0000-00003A200000}"/>
    <cellStyle name="Output 2 4" xfId="3472" xr:uid="{00000000-0005-0000-0000-00003B200000}"/>
    <cellStyle name="Output 2 4 2" xfId="5109" xr:uid="{00000000-0005-0000-0000-00003C200000}"/>
    <cellStyle name="Output 2 4 3" xfId="8483" xr:uid="{00000000-0005-0000-0000-00003D200000}"/>
    <cellStyle name="Output 2 5" xfId="3473" xr:uid="{00000000-0005-0000-0000-00003E200000}"/>
    <cellStyle name="Output 2 5 2" xfId="5110" xr:uid="{00000000-0005-0000-0000-00003F200000}"/>
    <cellStyle name="Output 2 5 3" xfId="8484" xr:uid="{00000000-0005-0000-0000-000040200000}"/>
    <cellStyle name="Output 2 6" xfId="3578" xr:uid="{00000000-0005-0000-0000-000041200000}"/>
    <cellStyle name="Output 2 6 2" xfId="5190" xr:uid="{00000000-0005-0000-0000-000042200000}"/>
    <cellStyle name="Output 2 6 3" xfId="8562" xr:uid="{00000000-0005-0000-0000-000043200000}"/>
    <cellStyle name="Output 2 7" xfId="3466" xr:uid="{00000000-0005-0000-0000-000044200000}"/>
    <cellStyle name="Output 2 7 2" xfId="5103" xr:uid="{00000000-0005-0000-0000-000045200000}"/>
    <cellStyle name="Output 2 7 3" xfId="8477" xr:uid="{00000000-0005-0000-0000-000046200000}"/>
    <cellStyle name="Output 2 8" xfId="4487" xr:uid="{00000000-0005-0000-0000-000047200000}"/>
    <cellStyle name="Output 2 9" xfId="6403" xr:uid="{00000000-0005-0000-0000-000048200000}"/>
    <cellStyle name="Output 3" xfId="3474" xr:uid="{00000000-0005-0000-0000-000049200000}"/>
    <cellStyle name="Output 3 2" xfId="3475" xr:uid="{00000000-0005-0000-0000-00004A200000}"/>
    <cellStyle name="Output 3 2 2" xfId="3476" xr:uid="{00000000-0005-0000-0000-00004B200000}"/>
    <cellStyle name="Output 3 2 2 2" xfId="5113" xr:uid="{00000000-0005-0000-0000-00004C200000}"/>
    <cellStyle name="Output 3 2 2 3" xfId="8487" xr:uid="{00000000-0005-0000-0000-00004D200000}"/>
    <cellStyle name="Output 3 2 3" xfId="3477" xr:uid="{00000000-0005-0000-0000-00004E200000}"/>
    <cellStyle name="Output 3 2 3 2" xfId="5114" xr:uid="{00000000-0005-0000-0000-00004F200000}"/>
    <cellStyle name="Output 3 2 3 3" xfId="8488" xr:uid="{00000000-0005-0000-0000-000050200000}"/>
    <cellStyle name="Output 3 2 4" xfId="3478" xr:uid="{00000000-0005-0000-0000-000051200000}"/>
    <cellStyle name="Output 3 2 4 2" xfId="5115" xr:uid="{00000000-0005-0000-0000-000052200000}"/>
    <cellStyle name="Output 3 2 4 3" xfId="8489" xr:uid="{00000000-0005-0000-0000-000053200000}"/>
    <cellStyle name="Output 3 2 5" xfId="5112" xr:uid="{00000000-0005-0000-0000-000054200000}"/>
    <cellStyle name="Output 3 2 6" xfId="8486" xr:uid="{00000000-0005-0000-0000-000055200000}"/>
    <cellStyle name="Output 3 3" xfId="3479" xr:uid="{00000000-0005-0000-0000-000056200000}"/>
    <cellStyle name="Output 3 3 2" xfId="5116" xr:uid="{00000000-0005-0000-0000-000057200000}"/>
    <cellStyle name="Output 3 3 3" xfId="8490" xr:uid="{00000000-0005-0000-0000-000058200000}"/>
    <cellStyle name="Output 3 4" xfId="3480" xr:uid="{00000000-0005-0000-0000-000059200000}"/>
    <cellStyle name="Output 3 4 2" xfId="5117" xr:uid="{00000000-0005-0000-0000-00005A200000}"/>
    <cellStyle name="Output 3 4 3" xfId="8491" xr:uid="{00000000-0005-0000-0000-00005B200000}"/>
    <cellStyle name="Output 3 5" xfId="3481" xr:uid="{00000000-0005-0000-0000-00005C200000}"/>
    <cellStyle name="Output 3 5 2" xfId="5118" xr:uid="{00000000-0005-0000-0000-00005D200000}"/>
    <cellStyle name="Output 3 5 3" xfId="8492" xr:uid="{00000000-0005-0000-0000-00005E200000}"/>
    <cellStyle name="Output 3 6" xfId="5111" xr:uid="{00000000-0005-0000-0000-00005F200000}"/>
    <cellStyle name="Output 3 7" xfId="8485" xr:uid="{00000000-0005-0000-0000-000060200000}"/>
    <cellStyle name="Output 4" xfId="3482" xr:uid="{00000000-0005-0000-0000-000061200000}"/>
    <cellStyle name="Output 4 2" xfId="3483" xr:uid="{00000000-0005-0000-0000-000062200000}"/>
    <cellStyle name="Output 4 2 2" xfId="3484" xr:uid="{00000000-0005-0000-0000-000063200000}"/>
    <cellStyle name="Output 4 2 2 2" xfId="5121" xr:uid="{00000000-0005-0000-0000-000064200000}"/>
    <cellStyle name="Output 4 2 2 3" xfId="8495" xr:uid="{00000000-0005-0000-0000-000065200000}"/>
    <cellStyle name="Output 4 2 3" xfId="3485" xr:uid="{00000000-0005-0000-0000-000066200000}"/>
    <cellStyle name="Output 4 2 3 2" xfId="5122" xr:uid="{00000000-0005-0000-0000-000067200000}"/>
    <cellStyle name="Output 4 2 3 3" xfId="8496" xr:uid="{00000000-0005-0000-0000-000068200000}"/>
    <cellStyle name="Output 4 2 4" xfId="3486" xr:uid="{00000000-0005-0000-0000-000069200000}"/>
    <cellStyle name="Output 4 2 4 2" xfId="5123" xr:uid="{00000000-0005-0000-0000-00006A200000}"/>
    <cellStyle name="Output 4 2 4 3" xfId="8497" xr:uid="{00000000-0005-0000-0000-00006B200000}"/>
    <cellStyle name="Output 4 2 5" xfId="5120" xr:uid="{00000000-0005-0000-0000-00006C200000}"/>
    <cellStyle name="Output 4 2 6" xfId="8494" xr:uid="{00000000-0005-0000-0000-00006D200000}"/>
    <cellStyle name="Output 4 3" xfId="3487" xr:uid="{00000000-0005-0000-0000-00006E200000}"/>
    <cellStyle name="Output 4 3 2" xfId="5124" xr:uid="{00000000-0005-0000-0000-00006F200000}"/>
    <cellStyle name="Output 4 3 3" xfId="8498" xr:uid="{00000000-0005-0000-0000-000070200000}"/>
    <cellStyle name="Output 4 4" xfId="3488" xr:uid="{00000000-0005-0000-0000-000071200000}"/>
    <cellStyle name="Output 4 4 2" xfId="5125" xr:uid="{00000000-0005-0000-0000-000072200000}"/>
    <cellStyle name="Output 4 4 3" xfId="8499" xr:uid="{00000000-0005-0000-0000-000073200000}"/>
    <cellStyle name="Output 4 5" xfId="3489" xr:uid="{00000000-0005-0000-0000-000074200000}"/>
    <cellStyle name="Output 4 5 2" xfId="5126" xr:uid="{00000000-0005-0000-0000-000075200000}"/>
    <cellStyle name="Output 4 5 3" xfId="8500" xr:uid="{00000000-0005-0000-0000-000076200000}"/>
    <cellStyle name="Output 4 6" xfId="5119" xr:uid="{00000000-0005-0000-0000-000077200000}"/>
    <cellStyle name="Output 4 7" xfId="8493" xr:uid="{00000000-0005-0000-0000-000078200000}"/>
    <cellStyle name="Output 5" xfId="3490" xr:uid="{00000000-0005-0000-0000-000079200000}"/>
    <cellStyle name="Output 5 2" xfId="3491" xr:uid="{00000000-0005-0000-0000-00007A200000}"/>
    <cellStyle name="Output 5 2 2" xfId="5128" xr:uid="{00000000-0005-0000-0000-00007B200000}"/>
    <cellStyle name="Output 5 2 3" xfId="8502" xr:uid="{00000000-0005-0000-0000-00007C200000}"/>
    <cellStyle name="Output 5 3" xfId="3492" xr:uid="{00000000-0005-0000-0000-00007D200000}"/>
    <cellStyle name="Output 5 3 2" xfId="5129" xr:uid="{00000000-0005-0000-0000-00007E200000}"/>
    <cellStyle name="Output 5 3 3" xfId="8503" xr:uid="{00000000-0005-0000-0000-00007F200000}"/>
    <cellStyle name="Output 5 4" xfId="3493" xr:uid="{00000000-0005-0000-0000-000080200000}"/>
    <cellStyle name="Output 5 4 2" xfId="5130" xr:uid="{00000000-0005-0000-0000-000081200000}"/>
    <cellStyle name="Output 5 4 3" xfId="8504" xr:uid="{00000000-0005-0000-0000-000082200000}"/>
    <cellStyle name="Output 5 5" xfId="5127" xr:uid="{00000000-0005-0000-0000-000083200000}"/>
    <cellStyle name="Output 5 6" xfId="8501" xr:uid="{00000000-0005-0000-0000-000084200000}"/>
    <cellStyle name="Output 6" xfId="3494" xr:uid="{00000000-0005-0000-0000-000085200000}"/>
    <cellStyle name="Output 6 2" xfId="3495" xr:uid="{00000000-0005-0000-0000-000086200000}"/>
    <cellStyle name="Output 6 2 2" xfId="5132" xr:uid="{00000000-0005-0000-0000-000087200000}"/>
    <cellStyle name="Output 6 2 3" xfId="8506" xr:uid="{00000000-0005-0000-0000-000088200000}"/>
    <cellStyle name="Output 6 3" xfId="3496" xr:uid="{00000000-0005-0000-0000-000089200000}"/>
    <cellStyle name="Output 6 3 2" xfId="5133" xr:uid="{00000000-0005-0000-0000-00008A200000}"/>
    <cellStyle name="Output 6 3 3" xfId="8507" xr:uid="{00000000-0005-0000-0000-00008B200000}"/>
    <cellStyle name="Output 6 4" xfId="3497" xr:uid="{00000000-0005-0000-0000-00008C200000}"/>
    <cellStyle name="Output 6 4 2" xfId="5134" xr:uid="{00000000-0005-0000-0000-00008D200000}"/>
    <cellStyle name="Output 6 4 3" xfId="8508" xr:uid="{00000000-0005-0000-0000-00008E200000}"/>
    <cellStyle name="Output 6 5" xfId="5131" xr:uid="{00000000-0005-0000-0000-00008F200000}"/>
    <cellStyle name="Output 6 6" xfId="8505" xr:uid="{00000000-0005-0000-0000-000090200000}"/>
    <cellStyle name="Output 7" xfId="3498" xr:uid="{00000000-0005-0000-0000-000091200000}"/>
    <cellStyle name="Output 7 2" xfId="3499" xr:uid="{00000000-0005-0000-0000-000092200000}"/>
    <cellStyle name="Output 7 2 2" xfId="5136" xr:uid="{00000000-0005-0000-0000-000093200000}"/>
    <cellStyle name="Output 7 2 3" xfId="8510" xr:uid="{00000000-0005-0000-0000-000094200000}"/>
    <cellStyle name="Output 7 3" xfId="3500" xr:uid="{00000000-0005-0000-0000-000095200000}"/>
    <cellStyle name="Output 7 3 2" xfId="5137" xr:uid="{00000000-0005-0000-0000-000096200000}"/>
    <cellStyle name="Output 7 3 3" xfId="8511" xr:uid="{00000000-0005-0000-0000-000097200000}"/>
    <cellStyle name="Output 7 4" xfId="3501" xr:uid="{00000000-0005-0000-0000-000098200000}"/>
    <cellStyle name="Output 7 4 2" xfId="5138" xr:uid="{00000000-0005-0000-0000-000099200000}"/>
    <cellStyle name="Output 7 4 3" xfId="8512" xr:uid="{00000000-0005-0000-0000-00009A200000}"/>
    <cellStyle name="Output 7 5" xfId="5135" xr:uid="{00000000-0005-0000-0000-00009B200000}"/>
    <cellStyle name="Output 7 6" xfId="8509" xr:uid="{00000000-0005-0000-0000-00009C200000}"/>
    <cellStyle name="Output 8" xfId="3502" xr:uid="{00000000-0005-0000-0000-00009D200000}"/>
    <cellStyle name="Output 8 2" xfId="3503" xr:uid="{00000000-0005-0000-0000-00009E200000}"/>
    <cellStyle name="Output 8 2 2" xfId="5140" xr:uid="{00000000-0005-0000-0000-00009F200000}"/>
    <cellStyle name="Output 8 2 3" xfId="8514" xr:uid="{00000000-0005-0000-0000-0000A0200000}"/>
    <cellStyle name="Output 8 3" xfId="3504" xr:uid="{00000000-0005-0000-0000-0000A1200000}"/>
    <cellStyle name="Output 8 3 2" xfId="5141" xr:uid="{00000000-0005-0000-0000-0000A2200000}"/>
    <cellStyle name="Output 8 3 3" xfId="8515" xr:uid="{00000000-0005-0000-0000-0000A3200000}"/>
    <cellStyle name="Output 8 4" xfId="3505" xr:uid="{00000000-0005-0000-0000-0000A4200000}"/>
    <cellStyle name="Output 8 4 2" xfId="5142" xr:uid="{00000000-0005-0000-0000-0000A5200000}"/>
    <cellStyle name="Output 8 4 3" xfId="8516" xr:uid="{00000000-0005-0000-0000-0000A6200000}"/>
    <cellStyle name="Output 8 5" xfId="5139" xr:uid="{00000000-0005-0000-0000-0000A7200000}"/>
    <cellStyle name="Output 8 6" xfId="8513" xr:uid="{00000000-0005-0000-0000-0000A8200000}"/>
    <cellStyle name="Output 9" xfId="3506" xr:uid="{00000000-0005-0000-0000-0000A9200000}"/>
    <cellStyle name="Output 9 2" xfId="3507" xr:uid="{00000000-0005-0000-0000-0000AA200000}"/>
    <cellStyle name="Output 9 2 2" xfId="5144" xr:uid="{00000000-0005-0000-0000-0000AB200000}"/>
    <cellStyle name="Output 9 2 3" xfId="8518" xr:uid="{00000000-0005-0000-0000-0000AC200000}"/>
    <cellStyle name="Output 9 3" xfId="3508" xr:uid="{00000000-0005-0000-0000-0000AD200000}"/>
    <cellStyle name="Output 9 3 2" xfId="5145" xr:uid="{00000000-0005-0000-0000-0000AE200000}"/>
    <cellStyle name="Output 9 3 3" xfId="8519" xr:uid="{00000000-0005-0000-0000-0000AF200000}"/>
    <cellStyle name="Output 9 4" xfId="3509" xr:uid="{00000000-0005-0000-0000-0000B0200000}"/>
    <cellStyle name="Output 9 4 2" xfId="5146" xr:uid="{00000000-0005-0000-0000-0000B1200000}"/>
    <cellStyle name="Output 9 4 3" xfId="8520" xr:uid="{00000000-0005-0000-0000-0000B2200000}"/>
    <cellStyle name="Output 9 5" xfId="5143" xr:uid="{00000000-0005-0000-0000-0000B3200000}"/>
    <cellStyle name="Output 9 6" xfId="8517" xr:uid="{00000000-0005-0000-0000-0000B4200000}"/>
    <cellStyle name="pequeno" xfId="768" xr:uid="{00000000-0005-0000-0000-0000B5200000}"/>
    <cellStyle name="PERCENT" xfId="769" xr:uid="{00000000-0005-0000-0000-0000B6200000}"/>
    <cellStyle name="Percent [2]" xfId="770" xr:uid="{00000000-0005-0000-0000-0000B7200000}"/>
    <cellStyle name="Percent 2" xfId="771" xr:uid="{00000000-0005-0000-0000-0000B8200000}"/>
    <cellStyle name="Percent 2 10" xfId="772" xr:uid="{00000000-0005-0000-0000-0000B9200000}"/>
    <cellStyle name="Percent 2 10 2" xfId="8786" xr:uid="{00000000-0005-0000-0000-0000BA200000}"/>
    <cellStyle name="Percent 2 11" xfId="773" xr:uid="{00000000-0005-0000-0000-0000BB200000}"/>
    <cellStyle name="Percent 2 11 2" xfId="3510" xr:uid="{00000000-0005-0000-0000-0000BC200000}"/>
    <cellStyle name="Percent 2 12" xfId="774" xr:uid="{00000000-0005-0000-0000-0000BD200000}"/>
    <cellStyle name="Percent 2 13" xfId="775" xr:uid="{00000000-0005-0000-0000-0000BE200000}"/>
    <cellStyle name="Percent 2 14" xfId="776" xr:uid="{00000000-0005-0000-0000-0000BF200000}"/>
    <cellStyle name="Percent 2 15" xfId="777" xr:uid="{00000000-0005-0000-0000-0000C0200000}"/>
    <cellStyle name="Percent 2 16" xfId="778" xr:uid="{00000000-0005-0000-0000-0000C1200000}"/>
    <cellStyle name="Percent 2 17" xfId="779" xr:uid="{00000000-0005-0000-0000-0000C2200000}"/>
    <cellStyle name="Percent 2 18" xfId="780" xr:uid="{00000000-0005-0000-0000-0000C3200000}"/>
    <cellStyle name="Percent 2 2" xfId="781" xr:uid="{00000000-0005-0000-0000-0000C4200000}"/>
    <cellStyle name="Percent 2 2 2" xfId="782" xr:uid="{00000000-0005-0000-0000-0000C5200000}"/>
    <cellStyle name="Percent 2 2 2 2" xfId="8787" xr:uid="{00000000-0005-0000-0000-0000C6200000}"/>
    <cellStyle name="Percent 2 2 2 3" xfId="3512" xr:uid="{00000000-0005-0000-0000-0000C7200000}"/>
    <cellStyle name="Percent 2 2 3" xfId="8788" xr:uid="{00000000-0005-0000-0000-0000C8200000}"/>
    <cellStyle name="Percent 2 2 4" xfId="3511" xr:uid="{00000000-0005-0000-0000-0000C9200000}"/>
    <cellStyle name="Percent 2 3" xfId="783" xr:uid="{00000000-0005-0000-0000-0000CA200000}"/>
    <cellStyle name="Percent 2 3 2" xfId="784" xr:uid="{00000000-0005-0000-0000-0000CB200000}"/>
    <cellStyle name="Percent 2 3 2 2" xfId="8789" xr:uid="{00000000-0005-0000-0000-0000CC200000}"/>
    <cellStyle name="Percent 2 3 2 3" xfId="3514" xr:uid="{00000000-0005-0000-0000-0000CD200000}"/>
    <cellStyle name="Percent 2 3 3" xfId="3513" xr:uid="{00000000-0005-0000-0000-0000CE200000}"/>
    <cellStyle name="Percent 2 4" xfId="785" xr:uid="{00000000-0005-0000-0000-0000CF200000}"/>
    <cellStyle name="Percent 2 4 2" xfId="3516" xr:uid="{00000000-0005-0000-0000-0000D0200000}"/>
    <cellStyle name="Percent 2 4 2 2" xfId="8790" xr:uid="{00000000-0005-0000-0000-0000D1200000}"/>
    <cellStyle name="Percent 2 4 3" xfId="8791" xr:uid="{00000000-0005-0000-0000-0000D2200000}"/>
    <cellStyle name="Percent 2 4 4" xfId="3515" xr:uid="{00000000-0005-0000-0000-0000D3200000}"/>
    <cellStyle name="Percent 2 5" xfId="786" xr:uid="{00000000-0005-0000-0000-0000D4200000}"/>
    <cellStyle name="Percent 2 5 2" xfId="8792" xr:uid="{00000000-0005-0000-0000-0000D5200000}"/>
    <cellStyle name="Percent 2 5 3" xfId="3517" xr:uid="{00000000-0005-0000-0000-0000D6200000}"/>
    <cellStyle name="Percent 2 6" xfId="787" xr:uid="{00000000-0005-0000-0000-0000D7200000}"/>
    <cellStyle name="Percent 2 6 2" xfId="8793" xr:uid="{00000000-0005-0000-0000-0000D8200000}"/>
    <cellStyle name="Percent 2 6 3" xfId="3518" xr:uid="{00000000-0005-0000-0000-0000D9200000}"/>
    <cellStyle name="Percent 2 7" xfId="788" xr:uid="{00000000-0005-0000-0000-0000DA200000}"/>
    <cellStyle name="Percent 2 7 2" xfId="789" xr:uid="{00000000-0005-0000-0000-0000DB200000}"/>
    <cellStyle name="Percent 2 7 2 2" xfId="790" xr:uid="{00000000-0005-0000-0000-0000DC200000}"/>
    <cellStyle name="Percent 2 7 2 3" xfId="791" xr:uid="{00000000-0005-0000-0000-0000DD200000}"/>
    <cellStyle name="Percent 2 7 2 4" xfId="792" xr:uid="{00000000-0005-0000-0000-0000DE200000}"/>
    <cellStyle name="Percent 2 7 3" xfId="793" xr:uid="{00000000-0005-0000-0000-0000DF200000}"/>
    <cellStyle name="Percent 2 7 4" xfId="794" xr:uid="{00000000-0005-0000-0000-0000E0200000}"/>
    <cellStyle name="Percent 2 8" xfId="795" xr:uid="{00000000-0005-0000-0000-0000E1200000}"/>
    <cellStyle name="Percent 2 8 2" xfId="8794" xr:uid="{00000000-0005-0000-0000-0000E2200000}"/>
    <cellStyle name="Percent 2 8 3" xfId="3519" xr:uid="{00000000-0005-0000-0000-0000E3200000}"/>
    <cellStyle name="Percent 2 9" xfId="796" xr:uid="{00000000-0005-0000-0000-0000E4200000}"/>
    <cellStyle name="Percent 2 9 2" xfId="8795" xr:uid="{00000000-0005-0000-0000-0000E5200000}"/>
    <cellStyle name="Percent 3" xfId="797" xr:uid="{00000000-0005-0000-0000-0000E6200000}"/>
    <cellStyle name="Percent 3 2" xfId="798" xr:uid="{00000000-0005-0000-0000-0000E7200000}"/>
    <cellStyle name="Percent 3 3" xfId="3520" xr:uid="{00000000-0005-0000-0000-0000E8200000}"/>
    <cellStyle name="Percent 4" xfId="799" xr:uid="{00000000-0005-0000-0000-0000E9200000}"/>
    <cellStyle name="Percent 4 2" xfId="3521" xr:uid="{00000000-0005-0000-0000-0000EA200000}"/>
    <cellStyle name="Percent 5" xfId="800" xr:uid="{00000000-0005-0000-0000-0000EB200000}"/>
    <cellStyle name="Percent 5 2" xfId="8552" xr:uid="{00000000-0005-0000-0000-0000EC200000}"/>
    <cellStyle name="Percent 5 3" xfId="3564" xr:uid="{00000000-0005-0000-0000-0000ED200000}"/>
    <cellStyle name="Percent 56" xfId="2555" xr:uid="{00000000-0005-0000-0000-0000EE200000}"/>
    <cellStyle name="Percent 6" xfId="801" xr:uid="{00000000-0005-0000-0000-0000EF200000}"/>
    <cellStyle name="Percent 6 2" xfId="8130" xr:uid="{00000000-0005-0000-0000-0000F0200000}"/>
    <cellStyle name="Percent 7" xfId="802" xr:uid="{00000000-0005-0000-0000-0000F1200000}"/>
    <cellStyle name="Percent 8" xfId="803" xr:uid="{00000000-0005-0000-0000-0000F2200000}"/>
    <cellStyle name="Percent 9" xfId="3074" xr:uid="{00000000-0005-0000-0000-0000F3200000}"/>
    <cellStyle name="Percentagem" xfId="804" builtinId="5"/>
    <cellStyle name="Percentagem 10" xfId="805" xr:uid="{00000000-0005-0000-0000-0000F5200000}"/>
    <cellStyle name="Percentagem 11" xfId="806" xr:uid="{00000000-0005-0000-0000-0000F6200000}"/>
    <cellStyle name="Percentagem 11 2" xfId="807" xr:uid="{00000000-0005-0000-0000-0000F7200000}"/>
    <cellStyle name="Percentagem 13" xfId="808" xr:uid="{00000000-0005-0000-0000-0000F8200000}"/>
    <cellStyle name="Percentagem 2" xfId="809" xr:uid="{00000000-0005-0000-0000-0000F9200000}"/>
    <cellStyle name="Percentagem 2 10" xfId="810" xr:uid="{00000000-0005-0000-0000-0000FA200000}"/>
    <cellStyle name="Percentagem 2 11" xfId="811" xr:uid="{00000000-0005-0000-0000-0000FB200000}"/>
    <cellStyle name="Percentagem 2 12" xfId="1134" xr:uid="{00000000-0005-0000-0000-0000FC200000}"/>
    <cellStyle name="Percentagem 2 2" xfId="812" xr:uid="{00000000-0005-0000-0000-0000FD200000}"/>
    <cellStyle name="Percentagem 2 2 2" xfId="1637" xr:uid="{00000000-0005-0000-0000-0000FE200000}"/>
    <cellStyle name="Percentagem 2 2 3" xfId="3522" xr:uid="{00000000-0005-0000-0000-0000FF200000}"/>
    <cellStyle name="Percentagem 2 2 4" xfId="1135" xr:uid="{00000000-0005-0000-0000-000000210000}"/>
    <cellStyle name="Percentagem 2 3" xfId="813" xr:uid="{00000000-0005-0000-0000-000001210000}"/>
    <cellStyle name="Percentagem 2 3 2" xfId="1137" xr:uid="{00000000-0005-0000-0000-000002210000}"/>
    <cellStyle name="Percentagem 2 3 2 2" xfId="1138" xr:uid="{00000000-0005-0000-0000-000003210000}"/>
    <cellStyle name="Percentagem 2 3 2 3" xfId="1139" xr:uid="{00000000-0005-0000-0000-000004210000}"/>
    <cellStyle name="Percentagem 2 3 2 4" xfId="1140" xr:uid="{00000000-0005-0000-0000-000005210000}"/>
    <cellStyle name="Percentagem 2 3 2 4 2" xfId="1141" xr:uid="{00000000-0005-0000-0000-000006210000}"/>
    <cellStyle name="Percentagem 2 3 2 4 2 2" xfId="2733" xr:uid="{00000000-0005-0000-0000-000007210000}"/>
    <cellStyle name="Percentagem 2 3 2 4 3" xfId="1142" xr:uid="{00000000-0005-0000-0000-000008210000}"/>
    <cellStyle name="Percentagem 2 3 3" xfId="1143" xr:uid="{00000000-0005-0000-0000-000009210000}"/>
    <cellStyle name="Percentagem 2 3 3 2" xfId="1144" xr:uid="{00000000-0005-0000-0000-00000A210000}"/>
    <cellStyle name="Percentagem 2 3 3 3" xfId="1145" xr:uid="{00000000-0005-0000-0000-00000B210000}"/>
    <cellStyle name="Percentagem 2 3 3 3 2" xfId="2734" xr:uid="{00000000-0005-0000-0000-00000C210000}"/>
    <cellStyle name="Percentagem 2 3 4" xfId="1146" xr:uid="{00000000-0005-0000-0000-00000D210000}"/>
    <cellStyle name="Percentagem 2 3 4 2" xfId="2735" xr:uid="{00000000-0005-0000-0000-00000E210000}"/>
    <cellStyle name="Percentagem 2 3 5" xfId="1678" xr:uid="{00000000-0005-0000-0000-00000F210000}"/>
    <cellStyle name="Percentagem 2 3 6" xfId="1136" xr:uid="{00000000-0005-0000-0000-000010210000}"/>
    <cellStyle name="Percentagem 2 4" xfId="814" xr:uid="{00000000-0005-0000-0000-000011210000}"/>
    <cellStyle name="Percentagem 2 4 2" xfId="1874" xr:uid="{00000000-0005-0000-0000-000012210000}"/>
    <cellStyle name="Percentagem 2 4 2 2" xfId="2737" xr:uid="{00000000-0005-0000-0000-000013210000}"/>
    <cellStyle name="Percentagem 2 4 2 3" xfId="7121" xr:uid="{00000000-0005-0000-0000-000014210000}"/>
    <cellStyle name="Percentagem 2 4 3" xfId="2736" xr:uid="{00000000-0005-0000-0000-000015210000}"/>
    <cellStyle name="Percentagem 2 4 3 2" xfId="3764" xr:uid="{00000000-0005-0000-0000-000016210000}"/>
    <cellStyle name="Percentagem 2 4 3 3" xfId="7923" xr:uid="{00000000-0005-0000-0000-000017210000}"/>
    <cellStyle name="Percentagem 2 4 4" xfId="3014" xr:uid="{00000000-0005-0000-0000-000018210000}"/>
    <cellStyle name="Percentagem 2 4 4 2" xfId="8070" xr:uid="{00000000-0005-0000-0000-000019210000}"/>
    <cellStyle name="Percentagem 2 4 5" xfId="3705" xr:uid="{00000000-0005-0000-0000-00001A210000}"/>
    <cellStyle name="Percentagem 2 4 6" xfId="3784" xr:uid="{00000000-0005-0000-0000-00001B210000}"/>
    <cellStyle name="Percentagem 2 4 6 2" xfId="8695" xr:uid="{00000000-0005-0000-0000-00001C210000}"/>
    <cellStyle name="Percentagem 2 4 7" xfId="2813" xr:uid="{00000000-0005-0000-0000-00001D210000}"/>
    <cellStyle name="Percentagem 2 4 8" xfId="6410" xr:uid="{00000000-0005-0000-0000-00001E210000}"/>
    <cellStyle name="Percentagem 2 4 9" xfId="1155" xr:uid="{00000000-0005-0000-0000-00001F210000}"/>
    <cellStyle name="Percentagem 2 5" xfId="815" xr:uid="{00000000-0005-0000-0000-000020210000}"/>
    <cellStyle name="Percentagem 2 5 2" xfId="2739" xr:uid="{00000000-0005-0000-0000-000021210000}"/>
    <cellStyle name="Percentagem 2 5 3" xfId="2738" xr:uid="{00000000-0005-0000-0000-000022210000}"/>
    <cellStyle name="Percentagem 2 5 3 2" xfId="7924" xr:uid="{00000000-0005-0000-0000-000023210000}"/>
    <cellStyle name="Percentagem 2 5 4" xfId="3071" xr:uid="{00000000-0005-0000-0000-000024210000}"/>
    <cellStyle name="Percentagem 2 5 4 2" xfId="8127" xr:uid="{00000000-0005-0000-0000-000025210000}"/>
    <cellStyle name="Percentagem 2 5 5" xfId="3804" xr:uid="{00000000-0005-0000-0000-000026210000}"/>
    <cellStyle name="Percentagem 2 5 5 2" xfId="8715" xr:uid="{00000000-0005-0000-0000-000027210000}"/>
    <cellStyle name="Percentagem 2 5 6" xfId="2878" xr:uid="{00000000-0005-0000-0000-000028210000}"/>
    <cellStyle name="Percentagem 2 5 7" xfId="2090" xr:uid="{00000000-0005-0000-0000-000029210000}"/>
    <cellStyle name="Percentagem 2 6" xfId="816" xr:uid="{00000000-0005-0000-0000-00002A210000}"/>
    <cellStyle name="Percentagem 2 6 2" xfId="2740" xr:uid="{00000000-0005-0000-0000-00002B210000}"/>
    <cellStyle name="Percentagem 2 6 2 2" xfId="2942" xr:uid="{00000000-0005-0000-0000-00002C210000}"/>
    <cellStyle name="Percentagem 2 6 2 2 2" xfId="7998" xr:uid="{00000000-0005-0000-0000-00002D210000}"/>
    <cellStyle name="Percentagem 2 6 2 3" xfId="3037" xr:uid="{00000000-0005-0000-0000-00002E210000}"/>
    <cellStyle name="Percentagem 2 6 2 3 2" xfId="8093" xr:uid="{00000000-0005-0000-0000-00002F210000}"/>
    <cellStyle name="Percentagem 2 6 2 4" xfId="3850" xr:uid="{00000000-0005-0000-0000-000030210000}"/>
    <cellStyle name="Percentagem 2 6 2 4 2" xfId="8761" xr:uid="{00000000-0005-0000-0000-000031210000}"/>
    <cellStyle name="Percentagem 2 6 2 5" xfId="2840" xr:uid="{00000000-0005-0000-0000-000032210000}"/>
    <cellStyle name="Percentagem 2 6 2 6" xfId="7925" xr:uid="{00000000-0005-0000-0000-000033210000}"/>
    <cellStyle name="Percentagem 2 6 3" xfId="2943" xr:uid="{00000000-0005-0000-0000-000034210000}"/>
    <cellStyle name="Percentagem 2 6 3 2" xfId="7999" xr:uid="{00000000-0005-0000-0000-000035210000}"/>
    <cellStyle name="Percentagem 2 6 4" xfId="3038" xr:uid="{00000000-0005-0000-0000-000036210000}"/>
    <cellStyle name="Percentagem 2 6 4 2" xfId="8094" xr:uid="{00000000-0005-0000-0000-000037210000}"/>
    <cellStyle name="Percentagem 2 6 5" xfId="3843" xr:uid="{00000000-0005-0000-0000-000038210000}"/>
    <cellStyle name="Percentagem 2 6 5 2" xfId="8754" xr:uid="{00000000-0005-0000-0000-000039210000}"/>
    <cellStyle name="Percentagem 2 6 6" xfId="2841" xr:uid="{00000000-0005-0000-0000-00003A210000}"/>
    <cellStyle name="Percentagem 2 6 7" xfId="7779" xr:uid="{00000000-0005-0000-0000-00003B210000}"/>
    <cellStyle name="Percentagem 2 6 8" xfId="2556" xr:uid="{00000000-0005-0000-0000-00003C210000}"/>
    <cellStyle name="Percentagem 2 7" xfId="817" xr:uid="{00000000-0005-0000-0000-00003D210000}"/>
    <cellStyle name="Percentagem 2 7 2" xfId="2763" xr:uid="{00000000-0005-0000-0000-00003E210000}"/>
    <cellStyle name="Percentagem 2 7 3" xfId="7361" xr:uid="{00000000-0005-0000-0000-00003F210000}"/>
    <cellStyle name="Percentagem 2 7 4" xfId="2118" xr:uid="{00000000-0005-0000-0000-000040210000}"/>
    <cellStyle name="Percentagem 2 8" xfId="818" xr:uid="{00000000-0005-0000-0000-000041210000}"/>
    <cellStyle name="Percentagem 2 9" xfId="819" xr:uid="{00000000-0005-0000-0000-000042210000}"/>
    <cellStyle name="Percentagem 3" xfId="820" xr:uid="{00000000-0005-0000-0000-000043210000}"/>
    <cellStyle name="Percentagem 3 2" xfId="821" xr:uid="{00000000-0005-0000-0000-000044210000}"/>
    <cellStyle name="Percentagem 3 2 2" xfId="2741" xr:uid="{00000000-0005-0000-0000-000045210000}"/>
    <cellStyle name="Percentagem 3 2 3" xfId="8796" xr:uid="{00000000-0005-0000-0000-000046210000}"/>
    <cellStyle name="Percentagem 3 2 4" xfId="1148" xr:uid="{00000000-0005-0000-0000-000047210000}"/>
    <cellStyle name="Percentagem 3 3" xfId="2401" xr:uid="{00000000-0005-0000-0000-000048210000}"/>
    <cellStyle name="Percentagem 3 3 2" xfId="2742" xr:uid="{00000000-0005-0000-0000-000049210000}"/>
    <cellStyle name="Percentagem 3 3 3" xfId="7631" xr:uid="{00000000-0005-0000-0000-00004A210000}"/>
    <cellStyle name="Percentagem 3 4" xfId="2764" xr:uid="{00000000-0005-0000-0000-00004B210000}"/>
    <cellStyle name="Percentagem 3 4 2" xfId="7940" xr:uid="{00000000-0005-0000-0000-00004C210000}"/>
    <cellStyle name="Percentagem 3 5" xfId="2759" xr:uid="{00000000-0005-0000-0000-00004D210000}"/>
    <cellStyle name="Percentagem 3 6" xfId="2755" xr:uid="{00000000-0005-0000-0000-00004E210000}"/>
    <cellStyle name="Percentagem 3 7" xfId="1147" xr:uid="{00000000-0005-0000-0000-00004F210000}"/>
    <cellStyle name="Percentagem 4" xfId="822" xr:uid="{00000000-0005-0000-0000-000050210000}"/>
    <cellStyle name="Percentagem 4 10" xfId="823" xr:uid="{00000000-0005-0000-0000-000051210000}"/>
    <cellStyle name="Percentagem 4 2" xfId="824" xr:uid="{00000000-0005-0000-0000-000052210000}"/>
    <cellStyle name="Percentagem 4 2 2" xfId="2744" xr:uid="{00000000-0005-0000-0000-000053210000}"/>
    <cellStyle name="Percentagem 4 2 2 2" xfId="2941" xr:uid="{00000000-0005-0000-0000-000054210000}"/>
    <cellStyle name="Percentagem 4 2 2 2 2" xfId="7997" xr:uid="{00000000-0005-0000-0000-000055210000}"/>
    <cellStyle name="Percentagem 4 2 2 3" xfId="3034" xr:uid="{00000000-0005-0000-0000-000056210000}"/>
    <cellStyle name="Percentagem 4 2 2 3 2" xfId="8090" xr:uid="{00000000-0005-0000-0000-000057210000}"/>
    <cellStyle name="Percentagem 4 2 2 4" xfId="3774" xr:uid="{00000000-0005-0000-0000-000058210000}"/>
    <cellStyle name="Percentagem 4 2 2 4 2" xfId="8685" xr:uid="{00000000-0005-0000-0000-000059210000}"/>
    <cellStyle name="Percentagem 4 2 2 5" xfId="2836" xr:uid="{00000000-0005-0000-0000-00005A210000}"/>
    <cellStyle name="Percentagem 4 2 2 6" xfId="7927" xr:uid="{00000000-0005-0000-0000-00005B210000}"/>
    <cellStyle name="Percentagem 4 2 3" xfId="2743" xr:uid="{00000000-0005-0000-0000-00005C210000}"/>
    <cellStyle name="Percentagem 4 2 3 2" xfId="7926" xr:uid="{00000000-0005-0000-0000-00005D210000}"/>
    <cellStyle name="Percentagem 4 2 4" xfId="3035" xr:uid="{00000000-0005-0000-0000-00005E210000}"/>
    <cellStyle name="Percentagem 4 2 4 2" xfId="8091" xr:uid="{00000000-0005-0000-0000-00005F210000}"/>
    <cellStyle name="Percentagem 4 2 5" xfId="3742" xr:uid="{00000000-0005-0000-0000-000060210000}"/>
    <cellStyle name="Percentagem 4 2 5 2" xfId="8656" xr:uid="{00000000-0005-0000-0000-000061210000}"/>
    <cellStyle name="Percentagem 4 2 6" xfId="2837" xr:uid="{00000000-0005-0000-0000-000062210000}"/>
    <cellStyle name="Percentagem 4 2 7" xfId="7519" xr:uid="{00000000-0005-0000-0000-000063210000}"/>
    <cellStyle name="Percentagem 4 2 8" xfId="2286" xr:uid="{00000000-0005-0000-0000-000064210000}"/>
    <cellStyle name="Percentagem 4 3" xfId="825" xr:uid="{00000000-0005-0000-0000-000065210000}"/>
    <cellStyle name="Percentagem 4 3 2" xfId="2940" xr:uid="{00000000-0005-0000-0000-000066210000}"/>
    <cellStyle name="Percentagem 4 3 2 2" xfId="7996" xr:uid="{00000000-0005-0000-0000-000067210000}"/>
    <cellStyle name="Percentagem 4 3 3" xfId="3033" xr:uid="{00000000-0005-0000-0000-000068210000}"/>
    <cellStyle name="Percentagem 4 3 3 2" xfId="8089" xr:uid="{00000000-0005-0000-0000-000069210000}"/>
    <cellStyle name="Percentagem 4 3 4" xfId="3830" xr:uid="{00000000-0005-0000-0000-00006A210000}"/>
    <cellStyle name="Percentagem 4 3 4 2" xfId="8741" xr:uid="{00000000-0005-0000-0000-00006B210000}"/>
    <cellStyle name="Percentagem 4 3 5" xfId="2835" xr:uid="{00000000-0005-0000-0000-00006C210000}"/>
    <cellStyle name="Percentagem 4 3 6" xfId="7928" xr:uid="{00000000-0005-0000-0000-00006D210000}"/>
    <cellStyle name="Percentagem 4 3 7" xfId="2745" xr:uid="{00000000-0005-0000-0000-00006E210000}"/>
    <cellStyle name="Percentagem 4 4" xfId="826" xr:uid="{00000000-0005-0000-0000-00006F210000}"/>
    <cellStyle name="Percentagem 4 5" xfId="827" xr:uid="{00000000-0005-0000-0000-000070210000}"/>
    <cellStyle name="Percentagem 4 5 2" xfId="7830" xr:uid="{00000000-0005-0000-0000-000071210000}"/>
    <cellStyle name="Percentagem 4 5 3" xfId="2613" xr:uid="{00000000-0005-0000-0000-000072210000}"/>
    <cellStyle name="Percentagem 4 6" xfId="828" xr:uid="{00000000-0005-0000-0000-000073210000}"/>
    <cellStyle name="Percentagem 4 6 2" xfId="8092" xr:uid="{00000000-0005-0000-0000-000074210000}"/>
    <cellStyle name="Percentagem 4 6 3" xfId="3036" xr:uid="{00000000-0005-0000-0000-000075210000}"/>
    <cellStyle name="Percentagem 4 7" xfId="829" xr:uid="{00000000-0005-0000-0000-000076210000}"/>
    <cellStyle name="Percentagem 4 7 2" xfId="8678" xr:uid="{00000000-0005-0000-0000-000077210000}"/>
    <cellStyle name="Percentagem 4 7 3" xfId="3766" xr:uid="{00000000-0005-0000-0000-000078210000}"/>
    <cellStyle name="Percentagem 4 8" xfId="830" xr:uid="{00000000-0005-0000-0000-000079210000}"/>
    <cellStyle name="Percentagem 4 8 2" xfId="2838" xr:uid="{00000000-0005-0000-0000-00007A210000}"/>
    <cellStyle name="Percentagem 4 9" xfId="831" xr:uid="{00000000-0005-0000-0000-00007B210000}"/>
    <cellStyle name="Percentagem 5" xfId="832" xr:uid="{00000000-0005-0000-0000-00007C210000}"/>
    <cellStyle name="Percentagem 5 10" xfId="833" xr:uid="{00000000-0005-0000-0000-00007D210000}"/>
    <cellStyle name="Percentagem 5 11" xfId="834" xr:uid="{00000000-0005-0000-0000-00007E210000}"/>
    <cellStyle name="Percentagem 5 12" xfId="835" xr:uid="{00000000-0005-0000-0000-00007F210000}"/>
    <cellStyle name="Percentagem 5 13" xfId="2659" xr:uid="{00000000-0005-0000-0000-000080210000}"/>
    <cellStyle name="Percentagem 5 2" xfId="836" xr:uid="{00000000-0005-0000-0000-000081210000}"/>
    <cellStyle name="Percentagem 5 2 2" xfId="2939" xr:uid="{00000000-0005-0000-0000-000082210000}"/>
    <cellStyle name="Percentagem 5 2 2 2" xfId="7995" xr:uid="{00000000-0005-0000-0000-000083210000}"/>
    <cellStyle name="Percentagem 5 2 3" xfId="3032" xr:uid="{00000000-0005-0000-0000-000084210000}"/>
    <cellStyle name="Percentagem 5 2 3 2" xfId="8088" xr:uid="{00000000-0005-0000-0000-000085210000}"/>
    <cellStyle name="Percentagem 5 2 4" xfId="3723" xr:uid="{00000000-0005-0000-0000-000086210000}"/>
    <cellStyle name="Percentagem 5 2 4 2" xfId="8637" xr:uid="{00000000-0005-0000-0000-000087210000}"/>
    <cellStyle name="Percentagem 5 2 5" xfId="2834" xr:uid="{00000000-0005-0000-0000-000088210000}"/>
    <cellStyle name="Percentagem 5 2 6" xfId="7929" xr:uid="{00000000-0005-0000-0000-000089210000}"/>
    <cellStyle name="Percentagem 5 3" xfId="837" xr:uid="{00000000-0005-0000-0000-00008A210000}"/>
    <cellStyle name="Percentagem 5 3 2" xfId="3523" xr:uid="{00000000-0005-0000-0000-00008B210000}"/>
    <cellStyle name="Percentagem 5 3 3" xfId="7829" xr:uid="{00000000-0005-0000-0000-00008C210000}"/>
    <cellStyle name="Percentagem 5 3 4" xfId="2612" xr:uid="{00000000-0005-0000-0000-00008D210000}"/>
    <cellStyle name="Percentagem 5 4" xfId="838" xr:uid="{00000000-0005-0000-0000-00008E210000}"/>
    <cellStyle name="Percentagem 5 4 2" xfId="2756" xr:uid="{00000000-0005-0000-0000-00008F210000}"/>
    <cellStyle name="Percentagem 5 5" xfId="839" xr:uid="{00000000-0005-0000-0000-000090210000}"/>
    <cellStyle name="Percentagem 5 5 2" xfId="7869" xr:uid="{00000000-0005-0000-0000-000091210000}"/>
    <cellStyle name="Percentagem 5 6" xfId="840" xr:uid="{00000000-0005-0000-0000-000092210000}"/>
    <cellStyle name="Percentagem 5 7" xfId="841" xr:uid="{00000000-0005-0000-0000-000093210000}"/>
    <cellStyle name="Percentagem 5 8" xfId="842" xr:uid="{00000000-0005-0000-0000-000094210000}"/>
    <cellStyle name="Percentagem 5 9" xfId="843" xr:uid="{00000000-0005-0000-0000-000095210000}"/>
    <cellStyle name="Percentagem 6" xfId="844" xr:uid="{00000000-0005-0000-0000-000096210000}"/>
    <cellStyle name="Percentagem 6 10" xfId="7842" xr:uid="{00000000-0005-0000-0000-000097210000}"/>
    <cellStyle name="Percentagem 6 11" xfId="2625" xr:uid="{00000000-0005-0000-0000-000098210000}"/>
    <cellStyle name="Percentagem 6 2" xfId="845" xr:uid="{00000000-0005-0000-0000-000099210000}"/>
    <cellStyle name="Percentagem 6 2 2" xfId="2747" xr:uid="{00000000-0005-0000-0000-00009A210000}"/>
    <cellStyle name="Percentagem 6 2 2 2" xfId="2936" xr:uid="{00000000-0005-0000-0000-00009B210000}"/>
    <cellStyle name="Percentagem 6 2 2 2 2" xfId="7992" xr:uid="{00000000-0005-0000-0000-00009C210000}"/>
    <cellStyle name="Percentagem 6 2 2 3" xfId="3029" xr:uid="{00000000-0005-0000-0000-00009D210000}"/>
    <cellStyle name="Percentagem 6 2 2 3 2" xfId="8085" xr:uid="{00000000-0005-0000-0000-00009E210000}"/>
    <cellStyle name="Percentagem 6 2 2 4" xfId="3831" xr:uid="{00000000-0005-0000-0000-00009F210000}"/>
    <cellStyle name="Percentagem 6 2 2 4 2" xfId="8742" xr:uid="{00000000-0005-0000-0000-0000A0210000}"/>
    <cellStyle name="Percentagem 6 2 2 5" xfId="2831" xr:uid="{00000000-0005-0000-0000-0000A1210000}"/>
    <cellStyle name="Percentagem 6 2 2 6" xfId="7931" xr:uid="{00000000-0005-0000-0000-0000A2210000}"/>
    <cellStyle name="Percentagem 6 2 3" xfId="2937" xr:uid="{00000000-0005-0000-0000-0000A3210000}"/>
    <cellStyle name="Percentagem 6 2 3 2" xfId="7993" xr:uid="{00000000-0005-0000-0000-0000A4210000}"/>
    <cellStyle name="Percentagem 6 2 4" xfId="3030" xr:uid="{00000000-0005-0000-0000-0000A5210000}"/>
    <cellStyle name="Percentagem 6 2 4 2" xfId="8086" xr:uid="{00000000-0005-0000-0000-0000A6210000}"/>
    <cellStyle name="Percentagem 6 2 5" xfId="3741" xr:uid="{00000000-0005-0000-0000-0000A7210000}"/>
    <cellStyle name="Percentagem 6 2 5 2" xfId="8655" xr:uid="{00000000-0005-0000-0000-0000A8210000}"/>
    <cellStyle name="Percentagem 6 2 6" xfId="2832" xr:uid="{00000000-0005-0000-0000-0000A9210000}"/>
    <cellStyle name="Percentagem 6 2 7" xfId="7930" xr:uid="{00000000-0005-0000-0000-0000AA210000}"/>
    <cellStyle name="Percentagem 6 2 8" xfId="2746" xr:uid="{00000000-0005-0000-0000-0000AB210000}"/>
    <cellStyle name="Percentagem 6 3" xfId="2748" xr:uid="{00000000-0005-0000-0000-0000AC210000}"/>
    <cellStyle name="Percentagem 6 3 2" xfId="2935" xr:uid="{00000000-0005-0000-0000-0000AD210000}"/>
    <cellStyle name="Percentagem 6 3 2 2" xfId="7991" xr:uid="{00000000-0005-0000-0000-0000AE210000}"/>
    <cellStyle name="Percentagem 6 3 3" xfId="3028" xr:uid="{00000000-0005-0000-0000-0000AF210000}"/>
    <cellStyle name="Percentagem 6 3 3 2" xfId="8084" xr:uid="{00000000-0005-0000-0000-0000B0210000}"/>
    <cellStyle name="Percentagem 6 3 4" xfId="3816" xr:uid="{00000000-0005-0000-0000-0000B1210000}"/>
    <cellStyle name="Percentagem 6 3 4 2" xfId="8727" xr:uid="{00000000-0005-0000-0000-0000B2210000}"/>
    <cellStyle name="Percentagem 6 3 5" xfId="2830" xr:uid="{00000000-0005-0000-0000-0000B3210000}"/>
    <cellStyle name="Percentagem 6 3 6" xfId="7932" xr:uid="{00000000-0005-0000-0000-0000B4210000}"/>
    <cellStyle name="Percentagem 6 4" xfId="2938" xr:uid="{00000000-0005-0000-0000-0000B5210000}"/>
    <cellStyle name="Percentagem 6 4 2" xfId="7994" xr:uid="{00000000-0005-0000-0000-0000B6210000}"/>
    <cellStyle name="Percentagem 6 5" xfId="3031" xr:uid="{00000000-0005-0000-0000-0000B7210000}"/>
    <cellStyle name="Percentagem 6 5 2" xfId="8087" xr:uid="{00000000-0005-0000-0000-0000B8210000}"/>
    <cellStyle name="Percentagem 6 6" xfId="3524" xr:uid="{00000000-0005-0000-0000-0000B9210000}"/>
    <cellStyle name="Percentagem 6 7" xfId="3840" xr:uid="{00000000-0005-0000-0000-0000BA210000}"/>
    <cellStyle name="Percentagem 6 7 2" xfId="8751" xr:uid="{00000000-0005-0000-0000-0000BB210000}"/>
    <cellStyle name="Percentagem 6 8" xfId="2833" xr:uid="{00000000-0005-0000-0000-0000BC210000}"/>
    <cellStyle name="Percentagem 6 9" xfId="2880" xr:uid="{00000000-0005-0000-0000-0000BD210000}"/>
    <cellStyle name="Percentagem 7" xfId="846" xr:uid="{00000000-0005-0000-0000-0000BE210000}"/>
    <cellStyle name="Percentagem 7 2" xfId="2749" xr:uid="{00000000-0005-0000-0000-0000BF210000}"/>
    <cellStyle name="Percentagem 7 2 2" xfId="2933" xr:uid="{00000000-0005-0000-0000-0000C0210000}"/>
    <cellStyle name="Percentagem 7 2 2 2" xfId="7989" xr:uid="{00000000-0005-0000-0000-0000C1210000}"/>
    <cellStyle name="Percentagem 7 2 3" xfId="3026" xr:uid="{00000000-0005-0000-0000-0000C2210000}"/>
    <cellStyle name="Percentagem 7 2 3 2" xfId="8082" xr:uid="{00000000-0005-0000-0000-0000C3210000}"/>
    <cellStyle name="Percentagem 7 2 4" xfId="3728" xr:uid="{00000000-0005-0000-0000-0000C4210000}"/>
    <cellStyle name="Percentagem 7 2 4 2" xfId="8642" xr:uid="{00000000-0005-0000-0000-0000C5210000}"/>
    <cellStyle name="Percentagem 7 2 5" xfId="2828" xr:uid="{00000000-0005-0000-0000-0000C6210000}"/>
    <cellStyle name="Percentagem 7 2 6" xfId="7934" xr:uid="{00000000-0005-0000-0000-0000C7210000}"/>
    <cellStyle name="Percentagem 7 3" xfId="2934" xr:uid="{00000000-0005-0000-0000-0000C8210000}"/>
    <cellStyle name="Percentagem 7 3 2" xfId="7990" xr:uid="{00000000-0005-0000-0000-0000C9210000}"/>
    <cellStyle name="Percentagem 7 4" xfId="3027" xr:uid="{00000000-0005-0000-0000-0000CA210000}"/>
    <cellStyle name="Percentagem 7 4 2" xfId="8083" xr:uid="{00000000-0005-0000-0000-0000CB210000}"/>
    <cellStyle name="Percentagem 7 5" xfId="3787" xr:uid="{00000000-0005-0000-0000-0000CC210000}"/>
    <cellStyle name="Percentagem 7 5 2" xfId="8698" xr:uid="{00000000-0005-0000-0000-0000CD210000}"/>
    <cellStyle name="Percentagem 7 6" xfId="2829" xr:uid="{00000000-0005-0000-0000-0000CE210000}"/>
    <cellStyle name="Percentagem 7 7" xfId="7933" xr:uid="{00000000-0005-0000-0000-0000CF210000}"/>
    <cellStyle name="Percentagem 8" xfId="847" xr:uid="{00000000-0005-0000-0000-0000D0210000}"/>
    <cellStyle name="Percentagem 8 2" xfId="2932" xr:uid="{00000000-0005-0000-0000-0000D1210000}"/>
    <cellStyle name="Percentagem 8 2 2" xfId="7988" xr:uid="{00000000-0005-0000-0000-0000D2210000}"/>
    <cellStyle name="Percentagem 8 3" xfId="3025" xr:uid="{00000000-0005-0000-0000-0000D3210000}"/>
    <cellStyle name="Percentagem 8 3 2" xfId="8081" xr:uid="{00000000-0005-0000-0000-0000D4210000}"/>
    <cellStyle name="Percentagem 8 4" xfId="3807" xr:uid="{00000000-0005-0000-0000-0000D5210000}"/>
    <cellStyle name="Percentagem 8 4 2" xfId="8718" xr:uid="{00000000-0005-0000-0000-0000D6210000}"/>
    <cellStyle name="Percentagem 8 5" xfId="2827" xr:uid="{00000000-0005-0000-0000-0000D7210000}"/>
    <cellStyle name="Percentagem 8 6" xfId="7935" xr:uid="{00000000-0005-0000-0000-0000D8210000}"/>
    <cellStyle name="Percentagem 9" xfId="848" xr:uid="{00000000-0005-0000-0000-0000D9210000}"/>
    <cellStyle name="Percentagem 9 2" xfId="849" xr:uid="{00000000-0005-0000-0000-0000DA210000}"/>
    <cellStyle name="PercentSales" xfId="850" xr:uid="{00000000-0005-0000-0000-0000DB210000}"/>
    <cellStyle name="Ratio" xfId="851" xr:uid="{00000000-0005-0000-0000-0000DC210000}"/>
    <cellStyle name="Red font" xfId="852" xr:uid="{00000000-0005-0000-0000-0000DD210000}"/>
    <cellStyle name="Result" xfId="2662" xr:uid="{00000000-0005-0000-0000-0000DE210000}"/>
    <cellStyle name="Result 2" xfId="8875" xr:uid="{00000000-0005-0000-0000-0000DF210000}"/>
    <cellStyle name="Result2" xfId="2495" xr:uid="{00000000-0005-0000-0000-0000E0210000}"/>
    <cellStyle name="Result2 2" xfId="8873" xr:uid="{00000000-0005-0000-0000-0000E1210000}"/>
    <cellStyle name="RInfo" xfId="853" xr:uid="{00000000-0005-0000-0000-0000E2210000}"/>
    <cellStyle name="Saída 2" xfId="854" xr:uid="{00000000-0005-0000-0000-0000E3210000}"/>
    <cellStyle name="Saída 2 2" xfId="6288" xr:uid="{00000000-0005-0000-0000-0000E4210000}"/>
    <cellStyle name="Saída 3" xfId="855" xr:uid="{00000000-0005-0000-0000-0000E5210000}"/>
    <cellStyle name="Saída 3 2" xfId="1006" xr:uid="{00000000-0005-0000-0000-0000E6210000}"/>
    <cellStyle name="Saída 4" xfId="856" xr:uid="{00000000-0005-0000-0000-0000E7210000}"/>
    <cellStyle name="SAPBEXaggData" xfId="6232" xr:uid="{00000000-0005-0000-0000-0000E8210000}"/>
    <cellStyle name="SAPBEXaggData 2" xfId="8797" xr:uid="{00000000-0005-0000-0000-0000E9210000}"/>
    <cellStyle name="SAPBEXaggData 2 2" xfId="8798" xr:uid="{00000000-0005-0000-0000-0000EA210000}"/>
    <cellStyle name="SAPBEXaggDataEmph" xfId="6233" xr:uid="{00000000-0005-0000-0000-0000EB210000}"/>
    <cellStyle name="SAPBEXaggDataEmph 2" xfId="8799" xr:uid="{00000000-0005-0000-0000-0000EC210000}"/>
    <cellStyle name="SAPBEXaggDataEmph 2 2" xfId="8800" xr:uid="{00000000-0005-0000-0000-0000ED210000}"/>
    <cellStyle name="SAPBEXaggItem" xfId="6234" xr:uid="{00000000-0005-0000-0000-0000EE210000}"/>
    <cellStyle name="SAPBEXaggItem 2" xfId="8801" xr:uid="{00000000-0005-0000-0000-0000EF210000}"/>
    <cellStyle name="SAPBEXaggItem 2 2" xfId="8802" xr:uid="{00000000-0005-0000-0000-0000F0210000}"/>
    <cellStyle name="SAPBEXaggItemX" xfId="6235" xr:uid="{00000000-0005-0000-0000-0000F1210000}"/>
    <cellStyle name="SAPBEXaggItemX 2" xfId="8803" xr:uid="{00000000-0005-0000-0000-0000F2210000}"/>
    <cellStyle name="SAPBEXaggItemX 2 2" xfId="8804" xr:uid="{00000000-0005-0000-0000-0000F3210000}"/>
    <cellStyle name="SAPBEXchaText" xfId="6236" xr:uid="{00000000-0005-0000-0000-0000F4210000}"/>
    <cellStyle name="SAPBEXchaText 2" xfId="8805" xr:uid="{00000000-0005-0000-0000-0000F5210000}"/>
    <cellStyle name="SAPBEXchaText 2 2" xfId="8806" xr:uid="{00000000-0005-0000-0000-0000F6210000}"/>
    <cellStyle name="SAPBEXexcBad7" xfId="6237" xr:uid="{00000000-0005-0000-0000-0000F7210000}"/>
    <cellStyle name="SAPBEXexcBad7 2" xfId="8807" xr:uid="{00000000-0005-0000-0000-0000F8210000}"/>
    <cellStyle name="SAPBEXexcBad7 2 2" xfId="8808" xr:uid="{00000000-0005-0000-0000-0000F9210000}"/>
    <cellStyle name="SAPBEXexcBad8" xfId="6238" xr:uid="{00000000-0005-0000-0000-0000FA210000}"/>
    <cellStyle name="SAPBEXexcBad8 2" xfId="8809" xr:uid="{00000000-0005-0000-0000-0000FB210000}"/>
    <cellStyle name="SAPBEXexcBad8 2 2" xfId="8810" xr:uid="{00000000-0005-0000-0000-0000FC210000}"/>
    <cellStyle name="SAPBEXexcBad9" xfId="6239" xr:uid="{00000000-0005-0000-0000-0000FD210000}"/>
    <cellStyle name="SAPBEXexcBad9 2" xfId="8811" xr:uid="{00000000-0005-0000-0000-0000FE210000}"/>
    <cellStyle name="SAPBEXexcBad9 2 2" xfId="8812" xr:uid="{00000000-0005-0000-0000-0000FF210000}"/>
    <cellStyle name="SAPBEXexcCritical4" xfId="6240" xr:uid="{00000000-0005-0000-0000-000000220000}"/>
    <cellStyle name="SAPBEXexcCritical4 2" xfId="8813" xr:uid="{00000000-0005-0000-0000-000001220000}"/>
    <cellStyle name="SAPBEXexcCritical4 2 2" xfId="8814" xr:uid="{00000000-0005-0000-0000-000002220000}"/>
    <cellStyle name="SAPBEXexcCritical5" xfId="6241" xr:uid="{00000000-0005-0000-0000-000003220000}"/>
    <cellStyle name="SAPBEXexcCritical5 2" xfId="8815" xr:uid="{00000000-0005-0000-0000-000004220000}"/>
    <cellStyle name="SAPBEXexcCritical5 2 2" xfId="8816" xr:uid="{00000000-0005-0000-0000-000005220000}"/>
    <cellStyle name="SAPBEXexcCritical6" xfId="6242" xr:uid="{00000000-0005-0000-0000-000006220000}"/>
    <cellStyle name="SAPBEXexcCritical6 2" xfId="8817" xr:uid="{00000000-0005-0000-0000-000007220000}"/>
    <cellStyle name="SAPBEXexcCritical6 2 2" xfId="8818" xr:uid="{00000000-0005-0000-0000-000008220000}"/>
    <cellStyle name="SAPBEXexcGood1" xfId="6243" xr:uid="{00000000-0005-0000-0000-000009220000}"/>
    <cellStyle name="SAPBEXexcGood1 2" xfId="8819" xr:uid="{00000000-0005-0000-0000-00000A220000}"/>
    <cellStyle name="SAPBEXexcGood1 2 2" xfId="8820" xr:uid="{00000000-0005-0000-0000-00000B220000}"/>
    <cellStyle name="SAPBEXexcGood2" xfId="6244" xr:uid="{00000000-0005-0000-0000-00000C220000}"/>
    <cellStyle name="SAPBEXexcGood2 2" xfId="8821" xr:uid="{00000000-0005-0000-0000-00000D220000}"/>
    <cellStyle name="SAPBEXexcGood2 2 2" xfId="8822" xr:uid="{00000000-0005-0000-0000-00000E220000}"/>
    <cellStyle name="SAPBEXexcGood3" xfId="6245" xr:uid="{00000000-0005-0000-0000-00000F220000}"/>
    <cellStyle name="SAPBEXexcGood3 2" xfId="8823" xr:uid="{00000000-0005-0000-0000-000010220000}"/>
    <cellStyle name="SAPBEXexcGood3 2 2" xfId="8824" xr:uid="{00000000-0005-0000-0000-000011220000}"/>
    <cellStyle name="SAPBEXfilterDrill" xfId="6246" xr:uid="{00000000-0005-0000-0000-000012220000}"/>
    <cellStyle name="SAPBEXfilterDrill 2" xfId="8825" xr:uid="{00000000-0005-0000-0000-000013220000}"/>
    <cellStyle name="SAPBEXfilterDrill 2 2" xfId="8826" xr:uid="{00000000-0005-0000-0000-000014220000}"/>
    <cellStyle name="SAPBEXfilterItem" xfId="6247" xr:uid="{00000000-0005-0000-0000-000015220000}"/>
    <cellStyle name="SAPBEXfilterItem 2" xfId="8827" xr:uid="{00000000-0005-0000-0000-000016220000}"/>
    <cellStyle name="SAPBEXfilterText" xfId="6248" xr:uid="{00000000-0005-0000-0000-000017220000}"/>
    <cellStyle name="SAPBEXfilterText 2" xfId="8828" xr:uid="{00000000-0005-0000-0000-000018220000}"/>
    <cellStyle name="SAPBEXformats" xfId="6249" xr:uid="{00000000-0005-0000-0000-000019220000}"/>
    <cellStyle name="SAPBEXformats 2" xfId="8829" xr:uid="{00000000-0005-0000-0000-00001A220000}"/>
    <cellStyle name="SAPBEXformats 2 2" xfId="8830" xr:uid="{00000000-0005-0000-0000-00001B220000}"/>
    <cellStyle name="SAPBEXheaderItem" xfId="6250" xr:uid="{00000000-0005-0000-0000-00001C220000}"/>
    <cellStyle name="SAPBEXheaderItem 2" xfId="8831" xr:uid="{00000000-0005-0000-0000-00001D220000}"/>
    <cellStyle name="SAPBEXheaderItem 2 2" xfId="8832" xr:uid="{00000000-0005-0000-0000-00001E220000}"/>
    <cellStyle name="SAPBEXheaderText" xfId="6251" xr:uid="{00000000-0005-0000-0000-00001F220000}"/>
    <cellStyle name="SAPBEXheaderText 2" xfId="8833" xr:uid="{00000000-0005-0000-0000-000020220000}"/>
    <cellStyle name="SAPBEXheaderText 2 2" xfId="8834" xr:uid="{00000000-0005-0000-0000-000021220000}"/>
    <cellStyle name="SAPBEXHLevel0" xfId="989" xr:uid="{00000000-0005-0000-0000-000022220000}"/>
    <cellStyle name="SAPBEXHLevel0 2" xfId="8835" xr:uid="{00000000-0005-0000-0000-000023220000}"/>
    <cellStyle name="SAPBEXHLevel0 2 2" xfId="8836" xr:uid="{00000000-0005-0000-0000-000024220000}"/>
    <cellStyle name="SAPBEXHLevel0 2 3" xfId="8837" xr:uid="{00000000-0005-0000-0000-000025220000}"/>
    <cellStyle name="SAPBEXHLevel0X" xfId="6252" xr:uid="{00000000-0005-0000-0000-000026220000}"/>
    <cellStyle name="SAPBEXHLevel0X 2" xfId="8838" xr:uid="{00000000-0005-0000-0000-000027220000}"/>
    <cellStyle name="SAPBEXHLevel0X 2 2" xfId="8839" xr:uid="{00000000-0005-0000-0000-000028220000}"/>
    <cellStyle name="SAPBEXHLevel1" xfId="981" xr:uid="{00000000-0005-0000-0000-000029220000}"/>
    <cellStyle name="SAPBEXHLevel1 2" xfId="8840" xr:uid="{00000000-0005-0000-0000-00002A220000}"/>
    <cellStyle name="SAPBEXHLevel1 2 2" xfId="8841" xr:uid="{00000000-0005-0000-0000-00002B220000}"/>
    <cellStyle name="SAPBEXHLevel1 2 3" xfId="8842" xr:uid="{00000000-0005-0000-0000-00002C220000}"/>
    <cellStyle name="SAPBEXHLevel1X" xfId="1163" xr:uid="{00000000-0005-0000-0000-00002D220000}"/>
    <cellStyle name="SAPBEXHLevel1X 2" xfId="4488" xr:uid="{00000000-0005-0000-0000-00002E220000}"/>
    <cellStyle name="SAPBEXHLevel1X 3" xfId="6417" xr:uid="{00000000-0005-0000-0000-00002F220000}"/>
    <cellStyle name="SAPBEXHLevel2" xfId="6253" xr:uid="{00000000-0005-0000-0000-000030220000}"/>
    <cellStyle name="SAPBEXHLevel2 2" xfId="8843" xr:uid="{00000000-0005-0000-0000-000031220000}"/>
    <cellStyle name="SAPBEXHLevel2 2 2" xfId="8844" xr:uid="{00000000-0005-0000-0000-000032220000}"/>
    <cellStyle name="SAPBEXHLevel2X" xfId="1164" xr:uid="{00000000-0005-0000-0000-000033220000}"/>
    <cellStyle name="SAPBEXHLevel2X 2" xfId="4489" xr:uid="{00000000-0005-0000-0000-000034220000}"/>
    <cellStyle name="SAPBEXHLevel2X 3" xfId="6418" xr:uid="{00000000-0005-0000-0000-000035220000}"/>
    <cellStyle name="SAPBEXHLevel3" xfId="6254" xr:uid="{00000000-0005-0000-0000-000036220000}"/>
    <cellStyle name="SAPBEXHLevel3 2" xfId="8845" xr:uid="{00000000-0005-0000-0000-000037220000}"/>
    <cellStyle name="SAPBEXHLevel3 2 2" xfId="8846" xr:uid="{00000000-0005-0000-0000-000038220000}"/>
    <cellStyle name="SAPBEXHLevel3X" xfId="6255" xr:uid="{00000000-0005-0000-0000-000039220000}"/>
    <cellStyle name="SAPBEXHLevel3X 2" xfId="8847" xr:uid="{00000000-0005-0000-0000-00003A220000}"/>
    <cellStyle name="SAPBEXHLevel3X 2 2" xfId="8848" xr:uid="{00000000-0005-0000-0000-00003B220000}"/>
    <cellStyle name="SAPBEXresData" xfId="6256" xr:uid="{00000000-0005-0000-0000-00003C220000}"/>
    <cellStyle name="SAPBEXresData 2" xfId="8849" xr:uid="{00000000-0005-0000-0000-00003D220000}"/>
    <cellStyle name="SAPBEXresData 2 2" xfId="8850" xr:uid="{00000000-0005-0000-0000-00003E220000}"/>
    <cellStyle name="SAPBEXresDataEmph" xfId="6257" xr:uid="{00000000-0005-0000-0000-00003F220000}"/>
    <cellStyle name="SAPBEXresDataEmph 2" xfId="8851" xr:uid="{00000000-0005-0000-0000-000040220000}"/>
    <cellStyle name="SAPBEXresDataEmph 2 2" xfId="8852" xr:uid="{00000000-0005-0000-0000-000041220000}"/>
    <cellStyle name="SAPBEXresItem" xfId="6258" xr:uid="{00000000-0005-0000-0000-000042220000}"/>
    <cellStyle name="SAPBEXresItem 2" xfId="8853" xr:uid="{00000000-0005-0000-0000-000043220000}"/>
    <cellStyle name="SAPBEXresItem 2 2" xfId="8854" xr:uid="{00000000-0005-0000-0000-000044220000}"/>
    <cellStyle name="SAPBEXresItemX" xfId="6259" xr:uid="{00000000-0005-0000-0000-000045220000}"/>
    <cellStyle name="SAPBEXresItemX 2" xfId="8855" xr:uid="{00000000-0005-0000-0000-000046220000}"/>
    <cellStyle name="SAPBEXresItemX 2 2" xfId="8856" xr:uid="{00000000-0005-0000-0000-000047220000}"/>
    <cellStyle name="SAPBEXstdData" xfId="857" xr:uid="{00000000-0005-0000-0000-000048220000}"/>
    <cellStyle name="SAPBEXstdData 2" xfId="1369" xr:uid="{00000000-0005-0000-0000-000049220000}"/>
    <cellStyle name="SAPBEXstdData 2 2" xfId="2750" xr:uid="{00000000-0005-0000-0000-00004A220000}"/>
    <cellStyle name="SAPBEXstdData 2 2 2" xfId="3666" xr:uid="{00000000-0005-0000-0000-00004B220000}"/>
    <cellStyle name="SAPBEXstdData 2 2 3" xfId="7936" xr:uid="{00000000-0005-0000-0000-00004C220000}"/>
    <cellStyle name="SAPBEXstdData 2 3" xfId="6621" xr:uid="{00000000-0005-0000-0000-00004D220000}"/>
    <cellStyle name="SAPBEXstdData 2 4" xfId="8869" xr:uid="{00000000-0005-0000-0000-00004E220000}"/>
    <cellStyle name="SAPBEXstdData 3" xfId="3563" xr:uid="{00000000-0005-0000-0000-00004F220000}"/>
    <cellStyle name="SAPBEXstdData 3 2" xfId="8551" xr:uid="{00000000-0005-0000-0000-000050220000}"/>
    <cellStyle name="SAPBEXstdData 4" xfId="6419" xr:uid="{00000000-0005-0000-0000-000051220000}"/>
    <cellStyle name="SAPBEXstdData 5" xfId="1165" xr:uid="{00000000-0005-0000-0000-000052220000}"/>
    <cellStyle name="SAPBEXstdDataEmph" xfId="990" xr:uid="{00000000-0005-0000-0000-000053220000}"/>
    <cellStyle name="SAPBEXstdDataEmph 2" xfId="8857" xr:uid="{00000000-0005-0000-0000-000054220000}"/>
    <cellStyle name="SAPBEXstdDataEmph 2 2" xfId="8858" xr:uid="{00000000-0005-0000-0000-000055220000}"/>
    <cellStyle name="SAPBEXstdItem" xfId="6260" xr:uid="{00000000-0005-0000-0000-000056220000}"/>
    <cellStyle name="SAPBEXstdItem 2" xfId="8859" xr:uid="{00000000-0005-0000-0000-000057220000}"/>
    <cellStyle name="SAPBEXstdItem 2 2" xfId="8860" xr:uid="{00000000-0005-0000-0000-000058220000}"/>
    <cellStyle name="SAPBEXstdItemX" xfId="6261" xr:uid="{00000000-0005-0000-0000-000059220000}"/>
    <cellStyle name="SAPBEXstdItemX 2" xfId="8861" xr:uid="{00000000-0005-0000-0000-00005A220000}"/>
    <cellStyle name="SAPBEXstdItemX 2 2" xfId="8862" xr:uid="{00000000-0005-0000-0000-00005B220000}"/>
    <cellStyle name="SAPBEXtitle" xfId="6262" xr:uid="{00000000-0005-0000-0000-00005C220000}"/>
    <cellStyle name="SAPBEXtitle 2" xfId="8863" xr:uid="{00000000-0005-0000-0000-00005D220000}"/>
    <cellStyle name="SAPBEXundefined" xfId="6263" xr:uid="{00000000-0005-0000-0000-00005E220000}"/>
    <cellStyle name="SAPBEXundefined 2" xfId="8864" xr:uid="{00000000-0005-0000-0000-00005F220000}"/>
    <cellStyle name="SAPBEXundefined 2 2" xfId="8865" xr:uid="{00000000-0005-0000-0000-000060220000}"/>
    <cellStyle name="Separador de milhares [0] 2" xfId="3525" xr:uid="{00000000-0005-0000-0000-000061220000}"/>
    <cellStyle name="Sheet Title" xfId="858" xr:uid="{00000000-0005-0000-0000-000062220000}"/>
    <cellStyle name="Sheet Title 2" xfId="5148" xr:uid="{00000000-0005-0000-0000-000063220000}"/>
    <cellStyle name="Sheet Title 3" xfId="8521" xr:uid="{00000000-0005-0000-0000-000064220000}"/>
    <cellStyle name="Sheet Title 4" xfId="3526" xr:uid="{00000000-0005-0000-0000-000065220000}"/>
    <cellStyle name="sombreado" xfId="859" xr:uid="{00000000-0005-0000-0000-000066220000}"/>
    <cellStyle name="Style 1" xfId="860" xr:uid="{00000000-0005-0000-0000-000067220000}"/>
    <cellStyle name="Style 1 2" xfId="861" xr:uid="{00000000-0005-0000-0000-000068220000}"/>
    <cellStyle name="Style 1 2 2" xfId="862" xr:uid="{00000000-0005-0000-0000-000069220000}"/>
    <cellStyle name="Style 1 2 2 2" xfId="5150" xr:uid="{00000000-0005-0000-0000-00006A220000}"/>
    <cellStyle name="Style 1 2 3" xfId="863" xr:uid="{00000000-0005-0000-0000-00006B220000}"/>
    <cellStyle name="Style 1 2 3 2" xfId="8523" xr:uid="{00000000-0005-0000-0000-00006C220000}"/>
    <cellStyle name="Style 1 2 4" xfId="864" xr:uid="{00000000-0005-0000-0000-00006D220000}"/>
    <cellStyle name="Style 1 2 5" xfId="3528" xr:uid="{00000000-0005-0000-0000-00006E220000}"/>
    <cellStyle name="Style 1 3" xfId="865" xr:uid="{00000000-0005-0000-0000-00006F220000}"/>
    <cellStyle name="Style 1 3 2" xfId="5151" xr:uid="{00000000-0005-0000-0000-000070220000}"/>
    <cellStyle name="Style 1 3 3" xfId="8524" xr:uid="{00000000-0005-0000-0000-000071220000}"/>
    <cellStyle name="Style 1 3 4" xfId="3529" xr:uid="{00000000-0005-0000-0000-000072220000}"/>
    <cellStyle name="Style 1 4" xfId="866" xr:uid="{00000000-0005-0000-0000-000073220000}"/>
    <cellStyle name="Style 1 4 2" xfId="5152" xr:uid="{00000000-0005-0000-0000-000074220000}"/>
    <cellStyle name="Style 1 4 3" xfId="8525" xr:uid="{00000000-0005-0000-0000-000075220000}"/>
    <cellStyle name="Style 1 4 4" xfId="3530" xr:uid="{00000000-0005-0000-0000-000076220000}"/>
    <cellStyle name="Style 1 5" xfId="3531" xr:uid="{00000000-0005-0000-0000-000077220000}"/>
    <cellStyle name="Style 1 5 2" xfId="5153" xr:uid="{00000000-0005-0000-0000-000078220000}"/>
    <cellStyle name="Style 1 5 3" xfId="8526" xr:uid="{00000000-0005-0000-0000-000079220000}"/>
    <cellStyle name="Style 1 6" xfId="5149" xr:uid="{00000000-0005-0000-0000-00007A220000}"/>
    <cellStyle name="Style 1 7" xfId="8522" xr:uid="{00000000-0005-0000-0000-00007B220000}"/>
    <cellStyle name="Style 1 8" xfId="3527" xr:uid="{00000000-0005-0000-0000-00007C220000}"/>
    <cellStyle name="TableStyleLight1" xfId="991" xr:uid="{00000000-0005-0000-0000-00007D220000}"/>
    <cellStyle name="TableStyleLight1 2" xfId="1043" xr:uid="{00000000-0005-0000-0000-00007E220000}"/>
    <cellStyle name="TableStyleLight1 3" xfId="2661" xr:uid="{00000000-0005-0000-0000-00007F220000}"/>
    <cellStyle name="TableStyleLight1 4" xfId="4490" xr:uid="{00000000-0005-0000-0000-000080220000}"/>
    <cellStyle name="TableStyleLight1 5" xfId="6323" xr:uid="{00000000-0005-0000-0000-000081220000}"/>
    <cellStyle name="TableStyleLight1 6" xfId="1041" xr:uid="{00000000-0005-0000-0000-000082220000}"/>
    <cellStyle name="Texto de Aviso 10" xfId="867" xr:uid="{00000000-0005-0000-0000-000083220000}"/>
    <cellStyle name="Texto de Aviso 11" xfId="868" xr:uid="{00000000-0005-0000-0000-000084220000}"/>
    <cellStyle name="Texto de Aviso 2" xfId="869" xr:uid="{00000000-0005-0000-0000-000085220000}"/>
    <cellStyle name="Texto de Aviso 2 10" xfId="870" xr:uid="{00000000-0005-0000-0000-000086220000}"/>
    <cellStyle name="Texto de Aviso 2 11" xfId="871" xr:uid="{00000000-0005-0000-0000-000087220000}"/>
    <cellStyle name="Texto de Aviso 2 12" xfId="2558" xr:uid="{00000000-0005-0000-0000-000088220000}"/>
    <cellStyle name="Texto de Aviso 2 2" xfId="872" xr:uid="{00000000-0005-0000-0000-000089220000}"/>
    <cellStyle name="Texto de Aviso 2 2 2" xfId="4491" xr:uid="{00000000-0005-0000-0000-00008A220000}"/>
    <cellStyle name="Texto de Aviso 2 3" xfId="873" xr:uid="{00000000-0005-0000-0000-00008B220000}"/>
    <cellStyle name="Texto de Aviso 2 3 2" xfId="7781" xr:uid="{00000000-0005-0000-0000-00008C220000}"/>
    <cellStyle name="Texto de Aviso 2 4" xfId="874" xr:uid="{00000000-0005-0000-0000-00008D220000}"/>
    <cellStyle name="Texto de Aviso 2 5" xfId="875" xr:uid="{00000000-0005-0000-0000-00008E220000}"/>
    <cellStyle name="Texto de Aviso 2 6" xfId="876" xr:uid="{00000000-0005-0000-0000-00008F220000}"/>
    <cellStyle name="Texto de Aviso 2 7" xfId="877" xr:uid="{00000000-0005-0000-0000-000090220000}"/>
    <cellStyle name="Texto de Aviso 2 8" xfId="878" xr:uid="{00000000-0005-0000-0000-000091220000}"/>
    <cellStyle name="Texto de Aviso 2 9" xfId="879" xr:uid="{00000000-0005-0000-0000-000092220000}"/>
    <cellStyle name="Texto de Aviso 3" xfId="880" xr:uid="{00000000-0005-0000-0000-000093220000}"/>
    <cellStyle name="Texto de Aviso 3 2" xfId="4723" xr:uid="{00000000-0005-0000-0000-000094220000}"/>
    <cellStyle name="Texto de Aviso 4" xfId="881" xr:uid="{00000000-0005-0000-0000-000095220000}"/>
    <cellStyle name="Texto de Aviso 4 2" xfId="6292" xr:uid="{00000000-0005-0000-0000-000096220000}"/>
    <cellStyle name="Texto de Aviso 5" xfId="882" xr:uid="{00000000-0005-0000-0000-000097220000}"/>
    <cellStyle name="Texto de Aviso 5 2" xfId="1010" xr:uid="{00000000-0005-0000-0000-000098220000}"/>
    <cellStyle name="Texto de Aviso 6" xfId="883" xr:uid="{00000000-0005-0000-0000-000099220000}"/>
    <cellStyle name="Texto de Aviso 7" xfId="884" xr:uid="{00000000-0005-0000-0000-00009A220000}"/>
    <cellStyle name="Texto de Aviso 8" xfId="885" xr:uid="{00000000-0005-0000-0000-00009B220000}"/>
    <cellStyle name="Texto de Aviso 9" xfId="886" xr:uid="{00000000-0005-0000-0000-00009C220000}"/>
    <cellStyle name="Texto Explicativo 2" xfId="887" xr:uid="{00000000-0005-0000-0000-00009D220000}"/>
    <cellStyle name="Texto Explicativo 2 2" xfId="6294" xr:uid="{00000000-0005-0000-0000-00009E220000}"/>
    <cellStyle name="Texto Explicativo 3" xfId="888" xr:uid="{00000000-0005-0000-0000-00009F220000}"/>
    <cellStyle name="Texto Explicativo 3 2" xfId="1012" xr:uid="{00000000-0005-0000-0000-0000A0220000}"/>
    <cellStyle name="Texto Explicativo 4" xfId="889" xr:uid="{00000000-0005-0000-0000-0000A1220000}"/>
    <cellStyle name="Title" xfId="890" xr:uid="{00000000-0005-0000-0000-0000A2220000}"/>
    <cellStyle name="Title 1" xfId="891" xr:uid="{00000000-0005-0000-0000-0000A3220000}"/>
    <cellStyle name="Title 2" xfId="1149" xr:uid="{00000000-0005-0000-0000-0000A4220000}"/>
    <cellStyle name="Title 2 2" xfId="3532" xr:uid="{00000000-0005-0000-0000-0000A5220000}"/>
    <cellStyle name="Title 2 2 2" xfId="5154" xr:uid="{00000000-0005-0000-0000-0000A6220000}"/>
    <cellStyle name="Title 2 2 3" xfId="8527" xr:uid="{00000000-0005-0000-0000-0000A7220000}"/>
    <cellStyle name="Title 2 3" xfId="4493" xr:uid="{00000000-0005-0000-0000-0000A8220000}"/>
    <cellStyle name="Title 2 4" xfId="6404" xr:uid="{00000000-0005-0000-0000-0000A9220000}"/>
    <cellStyle name="Title 3" xfId="892" xr:uid="{00000000-0005-0000-0000-0000AA220000}"/>
    <cellStyle name="Title 3 2" xfId="5155" xr:uid="{00000000-0005-0000-0000-0000AB220000}"/>
    <cellStyle name="Title 3 3" xfId="8528" xr:uid="{00000000-0005-0000-0000-0000AC220000}"/>
    <cellStyle name="Title 3 4" xfId="3533" xr:uid="{00000000-0005-0000-0000-0000AD220000}"/>
    <cellStyle name="Title 4" xfId="893" xr:uid="{00000000-0005-0000-0000-0000AE220000}"/>
    <cellStyle name="Title 4 2" xfId="5156" xr:uid="{00000000-0005-0000-0000-0000AF220000}"/>
    <cellStyle name="Title 4 3" xfId="8529" xr:uid="{00000000-0005-0000-0000-0000B0220000}"/>
    <cellStyle name="Title 4 4" xfId="3534" xr:uid="{00000000-0005-0000-0000-0000B1220000}"/>
    <cellStyle name="Title 5" xfId="3535" xr:uid="{00000000-0005-0000-0000-0000B2220000}"/>
    <cellStyle name="Title 5 2" xfId="5157" xr:uid="{00000000-0005-0000-0000-0000B3220000}"/>
    <cellStyle name="Title 5 3" xfId="8530" xr:uid="{00000000-0005-0000-0000-0000B4220000}"/>
    <cellStyle name="Title 6" xfId="3536" xr:uid="{00000000-0005-0000-0000-0000B5220000}"/>
    <cellStyle name="Title 6 2" xfId="5158" xr:uid="{00000000-0005-0000-0000-0000B6220000}"/>
    <cellStyle name="Title 6 3" xfId="8531" xr:uid="{00000000-0005-0000-0000-0000B7220000}"/>
    <cellStyle name="Title 7" xfId="4492" xr:uid="{00000000-0005-0000-0000-0000B8220000}"/>
    <cellStyle name="Title 8" xfId="7357" xr:uid="{00000000-0005-0000-0000-0000B9220000}"/>
    <cellStyle name="Title 9" xfId="2112" xr:uid="{00000000-0005-0000-0000-0000BA220000}"/>
    <cellStyle name="Titulo" xfId="894" xr:uid="{00000000-0005-0000-0000-0000BB220000}"/>
    <cellStyle name="Título 2" xfId="895" xr:uid="{00000000-0005-0000-0000-0000BC220000}"/>
    <cellStyle name="Título 2 2" xfId="4715" xr:uid="{00000000-0005-0000-0000-0000BD220000}"/>
    <cellStyle name="Título 3" xfId="896" xr:uid="{00000000-0005-0000-0000-0000BE220000}"/>
    <cellStyle name="Título 3 2" xfId="6279" xr:uid="{00000000-0005-0000-0000-0000BF220000}"/>
    <cellStyle name="Título 4" xfId="897" xr:uid="{00000000-0005-0000-0000-0000C0220000}"/>
    <cellStyle name="Título 4 2" xfId="997" xr:uid="{00000000-0005-0000-0000-0000C1220000}"/>
    <cellStyle name="Total 10" xfId="898" xr:uid="{00000000-0005-0000-0000-0000C2220000}"/>
    <cellStyle name="Total 10 2" xfId="5159" xr:uid="{00000000-0005-0000-0000-0000C3220000}"/>
    <cellStyle name="Total 10 3" xfId="8532" xr:uid="{00000000-0005-0000-0000-0000C4220000}"/>
    <cellStyle name="Total 10 4" xfId="3537" xr:uid="{00000000-0005-0000-0000-0000C5220000}"/>
    <cellStyle name="Total 11" xfId="899" xr:uid="{00000000-0005-0000-0000-0000C6220000}"/>
    <cellStyle name="Total 11 2" xfId="5160" xr:uid="{00000000-0005-0000-0000-0000C7220000}"/>
    <cellStyle name="Total 11 3" xfId="8533" xr:uid="{00000000-0005-0000-0000-0000C8220000}"/>
    <cellStyle name="Total 11 4" xfId="3538" xr:uid="{00000000-0005-0000-0000-0000C9220000}"/>
    <cellStyle name="Total 12" xfId="900" xr:uid="{00000000-0005-0000-0000-0000CA220000}"/>
    <cellStyle name="Total 12 2" xfId="5161" xr:uid="{00000000-0005-0000-0000-0000CB220000}"/>
    <cellStyle name="Total 12 3" xfId="8534" xr:uid="{00000000-0005-0000-0000-0000CC220000}"/>
    <cellStyle name="Total 12 4" xfId="3539" xr:uid="{00000000-0005-0000-0000-0000CD220000}"/>
    <cellStyle name="Total 13" xfId="901" xr:uid="{00000000-0005-0000-0000-0000CE220000}"/>
    <cellStyle name="Total 13 2" xfId="5162" xr:uid="{00000000-0005-0000-0000-0000CF220000}"/>
    <cellStyle name="Total 13 3" xfId="8535" xr:uid="{00000000-0005-0000-0000-0000D0220000}"/>
    <cellStyle name="Total 13 4" xfId="3540" xr:uid="{00000000-0005-0000-0000-0000D1220000}"/>
    <cellStyle name="Total 14" xfId="902" xr:uid="{00000000-0005-0000-0000-0000D2220000}"/>
    <cellStyle name="Total 14 2" xfId="4724" xr:uid="{00000000-0005-0000-0000-0000D3220000}"/>
    <cellStyle name="Total 15" xfId="903" xr:uid="{00000000-0005-0000-0000-0000D4220000}"/>
    <cellStyle name="Total 15 2" xfId="6295" xr:uid="{00000000-0005-0000-0000-0000D5220000}"/>
    <cellStyle name="Total 16" xfId="904" xr:uid="{00000000-0005-0000-0000-0000D6220000}"/>
    <cellStyle name="Total 16 2" xfId="1013" xr:uid="{00000000-0005-0000-0000-0000D7220000}"/>
    <cellStyle name="Total 17" xfId="905" xr:uid="{00000000-0005-0000-0000-0000D8220000}"/>
    <cellStyle name="Total 18" xfId="906" xr:uid="{00000000-0005-0000-0000-0000D9220000}"/>
    <cellStyle name="Total 2" xfId="907" xr:uid="{00000000-0005-0000-0000-0000DA220000}"/>
    <cellStyle name="Total 2 10" xfId="908" xr:uid="{00000000-0005-0000-0000-0000DB220000}"/>
    <cellStyle name="Total 2 11" xfId="909" xr:uid="{00000000-0005-0000-0000-0000DC220000}"/>
    <cellStyle name="Total 2 12" xfId="1177" xr:uid="{00000000-0005-0000-0000-0000DD220000}"/>
    <cellStyle name="Total 2 2" xfId="910" xr:uid="{00000000-0005-0000-0000-0000DE220000}"/>
    <cellStyle name="Total 2 2 2" xfId="911" xr:uid="{00000000-0005-0000-0000-0000DF220000}"/>
    <cellStyle name="Total 2 2 2 2" xfId="4495" xr:uid="{00000000-0005-0000-0000-0000E0220000}"/>
    <cellStyle name="Total 2 2 2 3" xfId="7783" xr:uid="{00000000-0005-0000-0000-0000E1220000}"/>
    <cellStyle name="Total 2 2 2 4" xfId="2560" xr:uid="{00000000-0005-0000-0000-0000E2220000}"/>
    <cellStyle name="Total 2 2 3" xfId="912" xr:uid="{00000000-0005-0000-0000-0000E3220000}"/>
    <cellStyle name="Total 2 2 3 2" xfId="5164" xr:uid="{00000000-0005-0000-0000-0000E4220000}"/>
    <cellStyle name="Total 2 2 3 3" xfId="8537" xr:uid="{00000000-0005-0000-0000-0000E5220000}"/>
    <cellStyle name="Total 2 2 3 4" xfId="3542" xr:uid="{00000000-0005-0000-0000-0000E6220000}"/>
    <cellStyle name="Total 2 2 4" xfId="4494" xr:uid="{00000000-0005-0000-0000-0000E7220000}"/>
    <cellStyle name="Total 2 2 5" xfId="7782" xr:uid="{00000000-0005-0000-0000-0000E8220000}"/>
    <cellStyle name="Total 2 2 6" xfId="2559" xr:uid="{00000000-0005-0000-0000-0000E9220000}"/>
    <cellStyle name="Total 2 3" xfId="913" xr:uid="{00000000-0005-0000-0000-0000EA220000}"/>
    <cellStyle name="Total 2 3 2" xfId="2562" xr:uid="{00000000-0005-0000-0000-0000EB220000}"/>
    <cellStyle name="Total 2 3 2 2" xfId="4497" xr:uid="{00000000-0005-0000-0000-0000EC220000}"/>
    <cellStyle name="Total 2 3 2 3" xfId="7785" xr:uid="{00000000-0005-0000-0000-0000ED220000}"/>
    <cellStyle name="Total 2 3 3" xfId="3584" xr:uid="{00000000-0005-0000-0000-0000EE220000}"/>
    <cellStyle name="Total 2 3 3 2" xfId="5196" xr:uid="{00000000-0005-0000-0000-0000EF220000}"/>
    <cellStyle name="Total 2 3 3 3" xfId="8568" xr:uid="{00000000-0005-0000-0000-0000F0220000}"/>
    <cellStyle name="Total 2 3 4" xfId="4496" xr:uid="{00000000-0005-0000-0000-0000F1220000}"/>
    <cellStyle name="Total 2 3 5" xfId="7784" xr:uid="{00000000-0005-0000-0000-0000F2220000}"/>
    <cellStyle name="Total 2 3 6" xfId="2561" xr:uid="{00000000-0005-0000-0000-0000F3220000}"/>
    <cellStyle name="Total 2 4" xfId="914" xr:uid="{00000000-0005-0000-0000-0000F4220000}"/>
    <cellStyle name="Total 2 4 2" xfId="2564" xr:uid="{00000000-0005-0000-0000-0000F5220000}"/>
    <cellStyle name="Total 2 4 2 2" xfId="4499" xr:uid="{00000000-0005-0000-0000-0000F6220000}"/>
    <cellStyle name="Total 2 4 2 3" xfId="7787" xr:uid="{00000000-0005-0000-0000-0000F7220000}"/>
    <cellStyle name="Total 2 4 3" xfId="4498" xr:uid="{00000000-0005-0000-0000-0000F8220000}"/>
    <cellStyle name="Total 2 4 4" xfId="7786" xr:uid="{00000000-0005-0000-0000-0000F9220000}"/>
    <cellStyle name="Total 2 4 5" xfId="2563" xr:uid="{00000000-0005-0000-0000-0000FA220000}"/>
    <cellStyle name="Total 2 5" xfId="915" xr:uid="{00000000-0005-0000-0000-0000FB220000}"/>
    <cellStyle name="Total 2 5 2" xfId="3541" xr:uid="{00000000-0005-0000-0000-0000FC220000}"/>
    <cellStyle name="Total 2 6" xfId="916" xr:uid="{00000000-0005-0000-0000-0000FD220000}"/>
    <cellStyle name="Total 2 6 2" xfId="5163" xr:uid="{00000000-0005-0000-0000-0000FE220000}"/>
    <cellStyle name="Total 2 7" xfId="917" xr:uid="{00000000-0005-0000-0000-0000FF220000}"/>
    <cellStyle name="Total 2 7 2" xfId="6429" xr:uid="{00000000-0005-0000-0000-000000230000}"/>
    <cellStyle name="Total 2 8" xfId="918" xr:uid="{00000000-0005-0000-0000-000001230000}"/>
    <cellStyle name="Total 2 9" xfId="919" xr:uid="{00000000-0005-0000-0000-000002230000}"/>
    <cellStyle name="Total 3" xfId="920" xr:uid="{00000000-0005-0000-0000-000003230000}"/>
    <cellStyle name="Total 3 2" xfId="2565" xr:uid="{00000000-0005-0000-0000-000004230000}"/>
    <cellStyle name="Total 3 2 2" xfId="2566" xr:uid="{00000000-0005-0000-0000-000005230000}"/>
    <cellStyle name="Total 3 2 2 2" xfId="4501" xr:uid="{00000000-0005-0000-0000-000006230000}"/>
    <cellStyle name="Total 3 2 2 3" xfId="7789" xr:uid="{00000000-0005-0000-0000-000007230000}"/>
    <cellStyle name="Total 3 2 3" xfId="4500" xr:uid="{00000000-0005-0000-0000-000008230000}"/>
    <cellStyle name="Total 3 2 4" xfId="7788" xr:uid="{00000000-0005-0000-0000-000009230000}"/>
    <cellStyle name="Total 3 3" xfId="2567" xr:uid="{00000000-0005-0000-0000-00000A230000}"/>
    <cellStyle name="Total 3 3 2" xfId="2568" xr:uid="{00000000-0005-0000-0000-00000B230000}"/>
    <cellStyle name="Total 3 3 2 2" xfId="4503" xr:uid="{00000000-0005-0000-0000-00000C230000}"/>
    <cellStyle name="Total 3 3 2 3" xfId="7791" xr:uid="{00000000-0005-0000-0000-00000D230000}"/>
    <cellStyle name="Total 3 3 3" xfId="4502" xr:uid="{00000000-0005-0000-0000-00000E230000}"/>
    <cellStyle name="Total 3 3 4" xfId="7790" xr:uid="{00000000-0005-0000-0000-00000F230000}"/>
    <cellStyle name="Total 3 4" xfId="2569" xr:uid="{00000000-0005-0000-0000-000010230000}"/>
    <cellStyle name="Total 3 4 2" xfId="2570" xr:uid="{00000000-0005-0000-0000-000011230000}"/>
    <cellStyle name="Total 3 4 2 2" xfId="4505" xr:uid="{00000000-0005-0000-0000-000012230000}"/>
    <cellStyle name="Total 3 4 2 3" xfId="7793" xr:uid="{00000000-0005-0000-0000-000013230000}"/>
    <cellStyle name="Total 3 4 3" xfId="4504" xr:uid="{00000000-0005-0000-0000-000014230000}"/>
    <cellStyle name="Total 3 4 4" xfId="7792" xr:uid="{00000000-0005-0000-0000-000015230000}"/>
    <cellStyle name="Total 3 5" xfId="5165" xr:uid="{00000000-0005-0000-0000-000016230000}"/>
    <cellStyle name="Total 3 6" xfId="8538" xr:uid="{00000000-0005-0000-0000-000017230000}"/>
    <cellStyle name="Total 3 7" xfId="3543" xr:uid="{00000000-0005-0000-0000-000018230000}"/>
    <cellStyle name="Total 4" xfId="921" xr:uid="{00000000-0005-0000-0000-000019230000}"/>
    <cellStyle name="Total 4 2" xfId="2571" xr:uid="{00000000-0005-0000-0000-00001A230000}"/>
    <cellStyle name="Total 4 2 2" xfId="2572" xr:uid="{00000000-0005-0000-0000-00001B230000}"/>
    <cellStyle name="Total 4 2 2 2" xfId="4507" xr:uid="{00000000-0005-0000-0000-00001C230000}"/>
    <cellStyle name="Total 4 2 2 3" xfId="7795" xr:uid="{00000000-0005-0000-0000-00001D230000}"/>
    <cellStyle name="Total 4 2 3" xfId="4506" xr:uid="{00000000-0005-0000-0000-00001E230000}"/>
    <cellStyle name="Total 4 2 4" xfId="7794" xr:uid="{00000000-0005-0000-0000-00001F230000}"/>
    <cellStyle name="Total 4 3" xfId="2573" xr:uid="{00000000-0005-0000-0000-000020230000}"/>
    <cellStyle name="Total 4 3 2" xfId="2574" xr:uid="{00000000-0005-0000-0000-000021230000}"/>
    <cellStyle name="Total 4 3 2 2" xfId="4509" xr:uid="{00000000-0005-0000-0000-000022230000}"/>
    <cellStyle name="Total 4 3 2 3" xfId="7797" xr:uid="{00000000-0005-0000-0000-000023230000}"/>
    <cellStyle name="Total 4 3 3" xfId="4508" xr:uid="{00000000-0005-0000-0000-000024230000}"/>
    <cellStyle name="Total 4 3 4" xfId="7796" xr:uid="{00000000-0005-0000-0000-000025230000}"/>
    <cellStyle name="Total 4 4" xfId="2575" xr:uid="{00000000-0005-0000-0000-000026230000}"/>
    <cellStyle name="Total 4 4 2" xfId="2576" xr:uid="{00000000-0005-0000-0000-000027230000}"/>
    <cellStyle name="Total 4 4 2 2" xfId="4511" xr:uid="{00000000-0005-0000-0000-000028230000}"/>
    <cellStyle name="Total 4 4 2 3" xfId="7799" xr:uid="{00000000-0005-0000-0000-000029230000}"/>
    <cellStyle name="Total 4 4 3" xfId="4510" xr:uid="{00000000-0005-0000-0000-00002A230000}"/>
    <cellStyle name="Total 4 4 4" xfId="7798" xr:uid="{00000000-0005-0000-0000-00002B230000}"/>
    <cellStyle name="Total 4 5" xfId="5166" xr:uid="{00000000-0005-0000-0000-00002C230000}"/>
    <cellStyle name="Total 4 6" xfId="8539" xr:uid="{00000000-0005-0000-0000-00002D230000}"/>
    <cellStyle name="Total 4 7" xfId="3544" xr:uid="{00000000-0005-0000-0000-00002E230000}"/>
    <cellStyle name="Total 5" xfId="922" xr:uid="{00000000-0005-0000-0000-00002F230000}"/>
    <cellStyle name="Total 5 2" xfId="5167" xr:uid="{00000000-0005-0000-0000-000030230000}"/>
    <cellStyle name="Total 5 3" xfId="8540" xr:uid="{00000000-0005-0000-0000-000031230000}"/>
    <cellStyle name="Total 5 4" xfId="3545" xr:uid="{00000000-0005-0000-0000-000032230000}"/>
    <cellStyle name="Total 6" xfId="923" xr:uid="{00000000-0005-0000-0000-000033230000}"/>
    <cellStyle name="Total 6 2" xfId="5168" xr:uid="{00000000-0005-0000-0000-000034230000}"/>
    <cellStyle name="Total 6 3" xfId="8541" xr:uid="{00000000-0005-0000-0000-000035230000}"/>
    <cellStyle name="Total 6 4" xfId="3546" xr:uid="{00000000-0005-0000-0000-000036230000}"/>
    <cellStyle name="Total 7" xfId="924" xr:uid="{00000000-0005-0000-0000-000037230000}"/>
    <cellStyle name="Total 7 2" xfId="5169" xr:uid="{00000000-0005-0000-0000-000038230000}"/>
    <cellStyle name="Total 7 3" xfId="8542" xr:uid="{00000000-0005-0000-0000-000039230000}"/>
    <cellStyle name="Total 7 4" xfId="3547" xr:uid="{00000000-0005-0000-0000-00003A230000}"/>
    <cellStyle name="Total 8" xfId="925" xr:uid="{00000000-0005-0000-0000-00003B230000}"/>
    <cellStyle name="Total 8 2" xfId="5170" xr:uid="{00000000-0005-0000-0000-00003C230000}"/>
    <cellStyle name="Total 8 3" xfId="8543" xr:uid="{00000000-0005-0000-0000-00003D230000}"/>
    <cellStyle name="Total 8 4" xfId="3548" xr:uid="{00000000-0005-0000-0000-00003E230000}"/>
    <cellStyle name="Total 9" xfId="926" xr:uid="{00000000-0005-0000-0000-00003F230000}"/>
    <cellStyle name="Total 9 2" xfId="5171" xr:uid="{00000000-0005-0000-0000-000040230000}"/>
    <cellStyle name="Total 9 3" xfId="8544" xr:uid="{00000000-0005-0000-0000-000041230000}"/>
    <cellStyle name="Total 9 4" xfId="3549" xr:uid="{00000000-0005-0000-0000-000042230000}"/>
    <cellStyle name="Verificar Célula 2" xfId="927" xr:uid="{00000000-0005-0000-0000-000043230000}"/>
    <cellStyle name="Verificar Célula 2 2" xfId="6291" xr:uid="{00000000-0005-0000-0000-000044230000}"/>
    <cellStyle name="Verificar Célula 3" xfId="928" xr:uid="{00000000-0005-0000-0000-000045230000}"/>
    <cellStyle name="Verificar Célula 3 2" xfId="1009" xr:uid="{00000000-0005-0000-0000-000046230000}"/>
    <cellStyle name="Verificar Célula 4" xfId="929" xr:uid="{00000000-0005-0000-0000-000047230000}"/>
    <cellStyle name="Vírgula" xfId="930" builtinId="3"/>
    <cellStyle name="Vírgula 10" xfId="931" xr:uid="{00000000-0005-0000-0000-000049230000}"/>
    <cellStyle name="Vírgula 10 2" xfId="932" xr:uid="{00000000-0005-0000-0000-00004A230000}"/>
    <cellStyle name="Vírgula 10 2 2" xfId="9128" xr:uid="{00000000-0005-0000-0000-00004B230000}"/>
    <cellStyle name="Vírgula 10 2 2 2" xfId="9501" xr:uid="{9FE0D70A-19F7-4BC5-98C5-9673393C93E8}"/>
    <cellStyle name="Vírgula 10 2 2 3" xfId="9837" xr:uid="{95F67B04-577F-4C9C-88AD-4F4EFC457115}"/>
    <cellStyle name="Vírgula 10 3" xfId="8969" xr:uid="{00000000-0005-0000-0000-00004C230000}"/>
    <cellStyle name="Vírgula 10 3 2" xfId="9347" xr:uid="{36D547E3-CE25-404E-806A-8E55EECD54EB}"/>
    <cellStyle name="Vírgula 10 3 3" xfId="9683" xr:uid="{C8EE7FD5-77B8-4E7F-A3D3-078C30751C5E}"/>
    <cellStyle name="Vírgula 11" xfId="933" xr:uid="{00000000-0005-0000-0000-00004D230000}"/>
    <cellStyle name="Vírgula 11 2" xfId="934" xr:uid="{00000000-0005-0000-0000-00004E230000}"/>
    <cellStyle name="Vírgula 11 3" xfId="9138" xr:uid="{00000000-0005-0000-0000-00004F230000}"/>
    <cellStyle name="Vírgula 11 3 2" xfId="9502" xr:uid="{C010F315-6E3E-4A34-951D-326F976A172B}"/>
    <cellStyle name="Vírgula 11 3 3" xfId="9838" xr:uid="{0F9F87D5-B206-4390-A77D-9B10AC659FDF}"/>
    <cellStyle name="Vírgula 12" xfId="935" xr:uid="{00000000-0005-0000-0000-000050230000}"/>
    <cellStyle name="Vírgula 12 2" xfId="936" xr:uid="{00000000-0005-0000-0000-000051230000}"/>
    <cellStyle name="Vírgula 12 2 2" xfId="9167" xr:uid="{00000000-0005-0000-0000-000052230000}"/>
    <cellStyle name="Vírgula 12 2 2 2" xfId="9507" xr:uid="{40B63FC6-DCFD-4BC6-A361-E2A02EF15E8E}"/>
    <cellStyle name="Vírgula 12 2 2 3" xfId="9843" xr:uid="{332B0235-A18F-48A3-9774-1F24934A9944}"/>
    <cellStyle name="Vírgula 12 3" xfId="983" xr:uid="{00000000-0005-0000-0000-000053230000}"/>
    <cellStyle name="Vírgula 12 3 2" xfId="9188" xr:uid="{57050B08-10DE-45BF-8CEE-63B9D65AFEA0}"/>
    <cellStyle name="Vírgula 12 3 3" xfId="9524" xr:uid="{36F3B695-91D0-4594-B8FA-DF0297BDDBAA}"/>
    <cellStyle name="Vírgula 12 4" xfId="985" xr:uid="{00000000-0005-0000-0000-000054230000}"/>
    <cellStyle name="Vírgula 12 4 2" xfId="9190" xr:uid="{442FA5E5-8DF4-40C3-B4B2-6EA7CD57DE8D}"/>
    <cellStyle name="Vírgula 12 4 3" xfId="9526" xr:uid="{0729A315-512D-4BD4-802C-24B7EAFAA9FE}"/>
    <cellStyle name="Vírgula 12 5" xfId="9164" xr:uid="{00000000-0005-0000-0000-000055230000}"/>
    <cellStyle name="Vírgula 12 5 2" xfId="9506" xr:uid="{AD30F3E3-E948-48DA-B167-27FAA2217427}"/>
    <cellStyle name="Vírgula 12 5 3" xfId="9842" xr:uid="{7A27187F-42C2-4D51-BB21-874DED4CBB25}"/>
    <cellStyle name="Vírgula 13" xfId="937" xr:uid="{00000000-0005-0000-0000-000056230000}"/>
    <cellStyle name="Vírgula 13 2" xfId="938" xr:uid="{00000000-0005-0000-0000-000057230000}"/>
    <cellStyle name="Vírgula 13 3" xfId="8876" xr:uid="{00000000-0005-0000-0000-000058230000}"/>
    <cellStyle name="Vírgula 14" xfId="984" xr:uid="{00000000-0005-0000-0000-000059230000}"/>
    <cellStyle name="Vírgula 14 2" xfId="9189" xr:uid="{B6AB9F91-AF45-4756-9B22-B9B6A04F4FC0}"/>
    <cellStyle name="Vírgula 14 3" xfId="9525" xr:uid="{83CA3629-8845-447E-A348-CDB7539852A7}"/>
    <cellStyle name="Vírgula 2" xfId="939" xr:uid="{00000000-0005-0000-0000-00005A230000}"/>
    <cellStyle name="Vírgula 2 10" xfId="940" xr:uid="{00000000-0005-0000-0000-00005B230000}"/>
    <cellStyle name="Vírgula 2 11" xfId="941" xr:uid="{00000000-0005-0000-0000-00005C230000}"/>
    <cellStyle name="Vírgula 2 12" xfId="942" xr:uid="{00000000-0005-0000-0000-00005D230000}"/>
    <cellStyle name="Vírgula 2 2" xfId="943" xr:uid="{00000000-0005-0000-0000-00005E230000}"/>
    <cellStyle name="Vírgula 2 2 2" xfId="2624" xr:uid="{00000000-0005-0000-0000-00005F230000}"/>
    <cellStyle name="Vírgula 2 2 2 2" xfId="3693" xr:uid="{00000000-0005-0000-0000-000060230000}"/>
    <cellStyle name="Vírgula 2 2 2 3" xfId="7841" xr:uid="{00000000-0005-0000-0000-000061230000}"/>
    <cellStyle name="Vírgula 2 2 3" xfId="2799" xr:uid="{00000000-0005-0000-0000-000062230000}"/>
    <cellStyle name="Vírgula 2 2 4" xfId="3550" xr:uid="{00000000-0005-0000-0000-000063230000}"/>
    <cellStyle name="Vírgula 2 2 5" xfId="3885" xr:uid="{00000000-0005-0000-0000-000064230000}"/>
    <cellStyle name="Vírgula 2 2 6" xfId="1639" xr:uid="{00000000-0005-0000-0000-000065230000}"/>
    <cellStyle name="Vírgula 2 3" xfId="944" xr:uid="{00000000-0005-0000-0000-000066230000}"/>
    <cellStyle name="Vírgula 2 3 2" xfId="8866" xr:uid="{00000000-0005-0000-0000-000067230000}"/>
    <cellStyle name="Vírgula 2 3 2 2" xfId="8961" xr:uid="{00000000-0005-0000-0000-000068230000}"/>
    <cellStyle name="Vírgula 2 3 2 2 2" xfId="9125" xr:uid="{00000000-0005-0000-0000-000069230000}"/>
    <cellStyle name="Vírgula 2 3 2 2 2 2" xfId="9498" xr:uid="{FC496CEB-C093-4696-83BD-3EE4C24B531D}"/>
    <cellStyle name="Vírgula 2 3 2 2 2 3" xfId="9834" xr:uid="{ABB804C5-B48E-4715-BBD3-99C3C078B76B}"/>
    <cellStyle name="Vírgula 2 3 2 2 3" xfId="9344" xr:uid="{4962E957-5050-475B-B99E-207038F3A28A}"/>
    <cellStyle name="Vírgula 2 3 2 2 4" xfId="9680" xr:uid="{DDA0FB33-2CA2-4ACB-AE56-18C7816ED3C9}"/>
    <cellStyle name="Vírgula 2 3 2 3" xfId="9266" xr:uid="{01505FD1-0020-47AA-B623-A528B69FF4EE}"/>
    <cellStyle name="Vírgula 2 3 2 4" xfId="9602" xr:uid="{AF07DE9B-00D0-44A4-9D40-9DCB21AA55DC}"/>
    <cellStyle name="Vírgula 2 3 3" xfId="1679" xr:uid="{00000000-0005-0000-0000-00006A230000}"/>
    <cellStyle name="Vírgula 2 4" xfId="945" xr:uid="{00000000-0005-0000-0000-00006B230000}"/>
    <cellStyle name="Vírgula 2 4 2" xfId="1554" xr:uid="{00000000-0005-0000-0000-00006C230000}"/>
    <cellStyle name="Vírgula 2 5" xfId="946" xr:uid="{00000000-0005-0000-0000-00006D230000}"/>
    <cellStyle name="Vírgula 2 5 2" xfId="2091" xr:uid="{00000000-0005-0000-0000-00006E230000}"/>
    <cellStyle name="Vírgula 2 6" xfId="947" xr:uid="{00000000-0005-0000-0000-00006F230000}"/>
    <cellStyle name="Vírgula 2 6 2" xfId="2814" xr:uid="{00000000-0005-0000-0000-000070230000}"/>
    <cellStyle name="Vírgula 2 6 3" xfId="2660" xr:uid="{00000000-0005-0000-0000-000071230000}"/>
    <cellStyle name="Vírgula 2 7" xfId="948" xr:uid="{00000000-0005-0000-0000-000072230000}"/>
    <cellStyle name="Vírgula 2 7 2" xfId="2631" xr:uid="{00000000-0005-0000-0000-000073230000}"/>
    <cellStyle name="Vírgula 2 8" xfId="949" xr:uid="{00000000-0005-0000-0000-000074230000}"/>
    <cellStyle name="Vírgula 2 9" xfId="950" xr:uid="{00000000-0005-0000-0000-000075230000}"/>
    <cellStyle name="Vírgula 3" xfId="951" xr:uid="{00000000-0005-0000-0000-000076230000}"/>
    <cellStyle name="Vírgula 3 10" xfId="7358" xr:uid="{00000000-0005-0000-0000-000077230000}"/>
    <cellStyle name="Vírgula 3 11" xfId="2114" xr:uid="{00000000-0005-0000-0000-000078230000}"/>
    <cellStyle name="Vírgula 3 12" xfId="9187" xr:uid="{F639C769-6BC8-4143-BB40-F0017D97CB05}"/>
    <cellStyle name="Vírgula 3 13" xfId="9523" xr:uid="{ADDAD12B-D074-494B-A2B9-7C276C14FD96}"/>
    <cellStyle name="Vírgula 3 2" xfId="952" xr:uid="{00000000-0005-0000-0000-000079230000}"/>
    <cellStyle name="Vírgula 3 2 2" xfId="953" xr:uid="{00000000-0005-0000-0000-00007A230000}"/>
    <cellStyle name="Vírgula 3 2 2 2" xfId="2804" xr:uid="{00000000-0005-0000-0000-00007B230000}"/>
    <cellStyle name="Vírgula 3 2 3" xfId="2797" xr:uid="{00000000-0005-0000-0000-00007C230000}"/>
    <cellStyle name="Vírgula 3 2 4" xfId="2753" xr:uid="{00000000-0005-0000-0000-00007D230000}"/>
    <cellStyle name="Vírgula 3 2 5" xfId="7840" xr:uid="{00000000-0005-0000-0000-00007E230000}"/>
    <cellStyle name="Vírgula 3 2 6" xfId="2623" xr:uid="{00000000-0005-0000-0000-00007F230000}"/>
    <cellStyle name="Vírgula 3 3" xfId="954" xr:uid="{00000000-0005-0000-0000-000080230000}"/>
    <cellStyle name="Vírgula 3 3 2" xfId="2913" xr:uid="{00000000-0005-0000-0000-000081230000}"/>
    <cellStyle name="Vírgula 3 3 3" xfId="7844" xr:uid="{00000000-0005-0000-0000-000082230000}"/>
    <cellStyle name="Vírgula 3 3 4" xfId="2627" xr:uid="{00000000-0005-0000-0000-000083230000}"/>
    <cellStyle name="Vírgula 3 4" xfId="955" xr:uid="{00000000-0005-0000-0000-000084230000}"/>
    <cellStyle name="Vírgula 3 4 2" xfId="8061" xr:uid="{00000000-0005-0000-0000-000085230000}"/>
    <cellStyle name="Vírgula 3 4 3" xfId="3005" xr:uid="{00000000-0005-0000-0000-000086230000}"/>
    <cellStyle name="Vírgula 3 5" xfId="2765" xr:uid="{00000000-0005-0000-0000-000087230000}"/>
    <cellStyle name="Vírgula 3 5 2" xfId="7941" xr:uid="{00000000-0005-0000-0000-000088230000}"/>
    <cellStyle name="Vírgula 3 6" xfId="3551" xr:uid="{00000000-0005-0000-0000-000089230000}"/>
    <cellStyle name="Vírgula 3 6 2" xfId="8922" xr:uid="{00000000-0005-0000-0000-00008A230000}"/>
    <cellStyle name="Vírgula 3 6 2 2" xfId="9086" xr:uid="{00000000-0005-0000-0000-00008B230000}"/>
    <cellStyle name="Vírgula 3 6 2 2 2" xfId="9459" xr:uid="{BE355E95-FD3F-4B84-AE11-5070AB4EC3AE}"/>
    <cellStyle name="Vírgula 3 6 2 2 3" xfId="9795" xr:uid="{9C20C434-D004-4336-8541-752EE4B8378F}"/>
    <cellStyle name="Vírgula 3 6 2 3" xfId="9305" xr:uid="{58E0CCE7-CC47-46E3-8A03-523787DEC63D}"/>
    <cellStyle name="Vírgula 3 6 2 4" xfId="9641" xr:uid="{641EFBFB-B979-4D1F-94AC-AA2E0BF5937B}"/>
    <cellStyle name="Vírgula 3 6 3" xfId="9227" xr:uid="{D0D01037-C291-4CE5-9AA3-5BE32C54568C}"/>
    <cellStyle name="Vírgula 3 6 4" xfId="9563" xr:uid="{8F1DE870-8F4F-4AA7-A7D1-17D21E677F81}"/>
    <cellStyle name="Vírgula 3 7" xfId="3783" xr:uid="{00000000-0005-0000-0000-00008C230000}"/>
    <cellStyle name="Vírgula 3 7 2" xfId="8694" xr:uid="{00000000-0005-0000-0000-00008D230000}"/>
    <cellStyle name="Vírgula 3 8" xfId="2760" xr:uid="{00000000-0005-0000-0000-00008E230000}"/>
    <cellStyle name="Vírgula 3 9" xfId="2798" xr:uid="{00000000-0005-0000-0000-00008F230000}"/>
    <cellStyle name="Vírgula 4" xfId="956" xr:uid="{00000000-0005-0000-0000-000090230000}"/>
    <cellStyle name="Vírgula 4 2" xfId="957" xr:uid="{00000000-0005-0000-0000-000091230000}"/>
    <cellStyle name="Vírgula 4 2 2" xfId="2928" xr:uid="{00000000-0005-0000-0000-000092230000}"/>
    <cellStyle name="Vírgula 4 2 3" xfId="7843" xr:uid="{00000000-0005-0000-0000-000093230000}"/>
    <cellStyle name="Vírgula 4 2 4" xfId="2626" xr:uid="{00000000-0005-0000-0000-000094230000}"/>
    <cellStyle name="Vírgula 4 3" xfId="958" xr:uid="{00000000-0005-0000-0000-000095230000}"/>
    <cellStyle name="Vírgula 4 3 2" xfId="8077" xr:uid="{00000000-0005-0000-0000-000096230000}"/>
    <cellStyle name="Vírgula 4 3 3" xfId="3021" xr:uid="{00000000-0005-0000-0000-000097230000}"/>
    <cellStyle name="Vírgula 4 4" xfId="3552" xr:uid="{00000000-0005-0000-0000-000098230000}"/>
    <cellStyle name="Vírgula 4 5" xfId="3824" xr:uid="{00000000-0005-0000-0000-000099230000}"/>
    <cellStyle name="Vírgula 4 5 2" xfId="8735" xr:uid="{00000000-0005-0000-0000-00009A230000}"/>
    <cellStyle name="Vírgula 4 6" xfId="2822" xr:uid="{00000000-0005-0000-0000-00009B230000}"/>
    <cellStyle name="Vírgula 4 7" xfId="2842" xr:uid="{00000000-0005-0000-0000-00009C230000}"/>
    <cellStyle name="Vírgula 4 8" xfId="7520" xr:uid="{00000000-0005-0000-0000-00009D230000}"/>
    <cellStyle name="Vírgula 4 9" xfId="2287" xr:uid="{00000000-0005-0000-0000-00009E230000}"/>
    <cellStyle name="Vírgula 5" xfId="959" xr:uid="{00000000-0005-0000-0000-00009F230000}"/>
    <cellStyle name="Vírgula 5 2" xfId="960" xr:uid="{00000000-0005-0000-0000-0000A0230000}"/>
    <cellStyle name="Vírgula 5 2 2" xfId="961" xr:uid="{00000000-0005-0000-0000-0000A1230000}"/>
    <cellStyle name="Vírgula 5 2 2 2" xfId="8755" xr:uid="{00000000-0005-0000-0000-0000A2230000}"/>
    <cellStyle name="Vírgula 5 2 3" xfId="3844" xr:uid="{00000000-0005-0000-0000-0000A3230000}"/>
    <cellStyle name="Vírgula 5 3" xfId="962" xr:uid="{00000000-0005-0000-0000-0000A4230000}"/>
    <cellStyle name="Vírgula 5 4" xfId="3553" xr:uid="{00000000-0005-0000-0000-0000A5230000}"/>
    <cellStyle name="Vírgula 6" xfId="963" xr:uid="{00000000-0005-0000-0000-0000A6230000}"/>
    <cellStyle name="Vírgula 6 2" xfId="964" xr:uid="{00000000-0005-0000-0000-0000A7230000}"/>
    <cellStyle name="Vírgula 6 2 2" xfId="965" xr:uid="{00000000-0005-0000-0000-0000A8230000}"/>
    <cellStyle name="Vírgula 6 2 3" xfId="8867" xr:uid="{00000000-0005-0000-0000-0000A9230000}"/>
    <cellStyle name="Vírgula 6 3" xfId="966" xr:uid="{00000000-0005-0000-0000-0000AA230000}"/>
    <cellStyle name="Vírgula 6 3 2" xfId="967" xr:uid="{00000000-0005-0000-0000-0000AB230000}"/>
    <cellStyle name="Vírgula 6 4" xfId="968" xr:uid="{00000000-0005-0000-0000-0000AC230000}"/>
    <cellStyle name="Vírgula 6 5" xfId="969" xr:uid="{00000000-0005-0000-0000-0000AD230000}"/>
    <cellStyle name="Vírgula 6 6" xfId="3554" xr:uid="{00000000-0005-0000-0000-0000AE230000}"/>
    <cellStyle name="Vírgula 7" xfId="970" xr:uid="{00000000-0005-0000-0000-0000AF230000}"/>
    <cellStyle name="Vírgula 7 2" xfId="971" xr:uid="{00000000-0005-0000-0000-0000B0230000}"/>
    <cellStyle name="Vírgula 8" xfId="972" xr:uid="{00000000-0005-0000-0000-0000B1230000}"/>
    <cellStyle name="Vírgula 8 2" xfId="973" xr:uid="{00000000-0005-0000-0000-0000B2230000}"/>
    <cellStyle name="Vírgula 8 2 2" xfId="974" xr:uid="{00000000-0005-0000-0000-0000B3230000}"/>
    <cellStyle name="Vírgula 8 2 2 2" xfId="9087" xr:uid="{00000000-0005-0000-0000-0000B4230000}"/>
    <cellStyle name="Vírgula 8 2 2 2 2" xfId="9460" xr:uid="{590482E2-8854-44D9-B42E-8513503F90AF}"/>
    <cellStyle name="Vírgula 8 2 2 2 3" xfId="9796" xr:uid="{7F52CB86-F743-4DB9-A626-6F6DFC699514}"/>
    <cellStyle name="Vírgula 8 2 3" xfId="8923" xr:uid="{00000000-0005-0000-0000-0000B5230000}"/>
    <cellStyle name="Vírgula 8 2 3 2" xfId="9306" xr:uid="{3FCE1414-D06C-451E-8F61-6EF1E0C7128A}"/>
    <cellStyle name="Vírgula 8 2 3 3" xfId="9642" xr:uid="{DE913D83-38D2-4D2C-8592-AB42879D845E}"/>
    <cellStyle name="Vírgula 8 3" xfId="975" xr:uid="{00000000-0005-0000-0000-0000B6230000}"/>
    <cellStyle name="Vírgula 8 4" xfId="3555" xr:uid="{00000000-0005-0000-0000-0000B7230000}"/>
    <cellStyle name="Vírgula 8 4 2" xfId="9228" xr:uid="{73268B66-4201-4D83-BE6A-873F3602631B}"/>
    <cellStyle name="Vírgula 8 4 3" xfId="9564" xr:uid="{8540668A-DB72-4CAC-B150-472866A6F7B8}"/>
    <cellStyle name="Vírgula 9" xfId="976" xr:uid="{00000000-0005-0000-0000-0000B8230000}"/>
    <cellStyle name="Vírgula 9 2" xfId="977" xr:uid="{00000000-0005-0000-0000-0000B9230000}"/>
    <cellStyle name="Vírgula 9 2 2" xfId="9126" xr:uid="{00000000-0005-0000-0000-0000BA230000}"/>
    <cellStyle name="Vírgula 9 2 2 2" xfId="9499" xr:uid="{6E1C56F2-17AA-4817-B87A-748E4D5932DD}"/>
    <cellStyle name="Vírgula 9 2 2 3" xfId="9835" xr:uid="{BCAFF664-5D07-460A-9CEF-A6B7F234CC7B}"/>
    <cellStyle name="Vírgula 9 2 3" xfId="8963" xr:uid="{00000000-0005-0000-0000-0000BB230000}"/>
    <cellStyle name="Vírgula 9 2 3 2" xfId="9345" xr:uid="{4E1DCFEA-BF74-4245-B543-FEF408C38881}"/>
    <cellStyle name="Vírgula 9 2 3 3" xfId="9681" xr:uid="{18380F24-AE6B-44FB-9F56-C3A7A57DE28E}"/>
    <cellStyle name="Vírgula 9 3" xfId="9048" xr:uid="{00000000-0005-0000-0000-0000BC230000}"/>
    <cellStyle name="Vírgula 9 3 2" xfId="9421" xr:uid="{98AFBC48-9F25-419E-99EB-D9D26CA0B452}"/>
    <cellStyle name="Vírgula 9 3 3" xfId="9757" xr:uid="{E32E0877-0671-493C-9FC6-0D87ECDF8899}"/>
    <cellStyle name="Vírgula 9 4" xfId="8878" xr:uid="{00000000-0005-0000-0000-0000BD230000}"/>
    <cellStyle name="Vírgula 9 4 2" xfId="9267" xr:uid="{BA269775-531C-4138-8E77-2045A24383C9}"/>
    <cellStyle name="Vírgula 9 4 3" xfId="9603" xr:uid="{6C201426-9FCA-4470-841C-F54BEAFFC79D}"/>
    <cellStyle name="Warning Text" xfId="978" xr:uid="{00000000-0005-0000-0000-0000BE230000}"/>
    <cellStyle name="Warning Text 2" xfId="1150" xr:uid="{00000000-0005-0000-0000-0000BF230000}"/>
    <cellStyle name="Warning Text 2 2" xfId="3582" xr:uid="{00000000-0005-0000-0000-0000C0230000}"/>
    <cellStyle name="Warning Text 2 2 2" xfId="5194" xr:uid="{00000000-0005-0000-0000-0000C1230000}"/>
    <cellStyle name="Warning Text 2 2 3" xfId="8566" xr:uid="{00000000-0005-0000-0000-0000C2230000}"/>
    <cellStyle name="Warning Text 2 3" xfId="3557" xr:uid="{00000000-0005-0000-0000-0000C3230000}"/>
    <cellStyle name="Warning Text 2 3 2" xfId="5173" xr:uid="{00000000-0005-0000-0000-0000C4230000}"/>
    <cellStyle name="Warning Text 2 3 3" xfId="8546" xr:uid="{00000000-0005-0000-0000-0000C5230000}"/>
    <cellStyle name="Warning Text 2 4" xfId="4513" xr:uid="{00000000-0005-0000-0000-0000C6230000}"/>
    <cellStyle name="Warning Text 2 5" xfId="6405" xr:uid="{00000000-0005-0000-0000-0000C7230000}"/>
    <cellStyle name="Warning Text 3" xfId="3558" xr:uid="{00000000-0005-0000-0000-0000C8230000}"/>
    <cellStyle name="Warning Text 3 2" xfId="5174" xr:uid="{00000000-0005-0000-0000-0000C9230000}"/>
    <cellStyle name="Warning Text 3 3" xfId="8547" xr:uid="{00000000-0005-0000-0000-0000CA230000}"/>
    <cellStyle name="Warning Text 4" xfId="3559" xr:uid="{00000000-0005-0000-0000-0000CB230000}"/>
    <cellStyle name="Warning Text 4 2" xfId="5175" xr:uid="{00000000-0005-0000-0000-0000CC230000}"/>
    <cellStyle name="Warning Text 4 3" xfId="8548" xr:uid="{00000000-0005-0000-0000-0000CD230000}"/>
    <cellStyle name="Warning Text 5" xfId="3560" xr:uid="{00000000-0005-0000-0000-0000CE230000}"/>
    <cellStyle name="Warning Text 5 2" xfId="5176" xr:uid="{00000000-0005-0000-0000-0000CF230000}"/>
    <cellStyle name="Warning Text 5 3" xfId="8549" xr:uid="{00000000-0005-0000-0000-0000D0230000}"/>
    <cellStyle name="Warning Text 6" xfId="3556" xr:uid="{00000000-0005-0000-0000-0000D1230000}"/>
    <cellStyle name="Warning Text 6 2" xfId="5172" xr:uid="{00000000-0005-0000-0000-0000D2230000}"/>
    <cellStyle name="Warning Text 6 3" xfId="8545" xr:uid="{00000000-0005-0000-0000-0000D3230000}"/>
    <cellStyle name="Warning Text 7" xfId="4512" xr:uid="{00000000-0005-0000-0000-0000D4230000}"/>
    <cellStyle name="Warning Text 8" xfId="2113" xr:uid="{00000000-0005-0000-0000-0000D5230000}"/>
  </cellStyles>
  <dxfs count="84">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rgb="FFFFFFFF"/>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fill>
        <patternFill>
          <bgColor theme="0"/>
        </patternFill>
      </fill>
    </dxf>
    <dxf>
      <font>
        <color theme="0"/>
      </font>
      <fill>
        <patternFill>
          <bgColor theme="0"/>
        </patternFill>
      </fill>
    </dxf>
    <dxf>
      <font>
        <color theme="0"/>
      </font>
      <fill>
        <patternFill>
          <bgColor theme="0"/>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ill>
        <patternFill patternType="solid">
          <fgColor rgb="FFDCE6F1"/>
          <bgColor rgb="FFDCE6F1"/>
        </patternFill>
      </fill>
      <border>
        <bottom style="thin">
          <color rgb="FF95B3D7"/>
        </bottom>
      </border>
    </dxf>
    <dxf>
      <fill>
        <patternFill patternType="solid">
          <fgColor rgb="FFDCE6F1"/>
          <bgColor rgb="FFDCE6F1"/>
        </patternFill>
      </fill>
      <border>
        <bottom style="thin">
          <color rgb="FF95B3D7"/>
        </bottom>
      </border>
    </dxf>
    <dxf>
      <font>
        <b/>
        <color rgb="FF000000"/>
      </font>
    </dxf>
    <dxf>
      <font>
        <b/>
        <color rgb="FF000000"/>
      </font>
      <border>
        <bottom style="thin">
          <color rgb="FF95B3D7"/>
        </bottom>
      </border>
    </dxf>
    <dxf>
      <font>
        <b/>
        <color rgb="FF000000"/>
      </font>
    </dxf>
    <dxf>
      <font>
        <b/>
        <color rgb="FF000000"/>
      </font>
      <border>
        <top style="thin">
          <color rgb="FF4F81BD"/>
        </top>
        <bottom style="thin">
          <color rgb="FF4F81BD"/>
        </bottom>
      </border>
    </dxf>
    <dxf>
      <fill>
        <patternFill patternType="solid">
          <fgColor rgb="FFD9D9D9"/>
          <bgColor rgb="FFD9D9D9"/>
        </patternFill>
      </fill>
    </dxf>
    <dxf>
      <fill>
        <patternFill patternType="solid">
          <fgColor rgb="FFD9D9D9"/>
          <bgColor rgb="FFD9D9D9"/>
        </patternFill>
      </fill>
      <border>
        <left style="thin">
          <color rgb="FFBFBFBF"/>
        </left>
        <right style="thin">
          <color rgb="FFBFBFBF"/>
        </right>
      </border>
    </dxf>
    <dxf>
      <fill>
        <patternFill patternType="solid">
          <fgColor rgb="FFD9D9D9"/>
          <bgColor rgb="FFD9D9D9"/>
        </patternFill>
      </fill>
    </dxf>
    <dxf>
      <font>
        <b/>
        <color rgb="FF000000"/>
      </font>
      <fill>
        <patternFill patternType="solid">
          <fgColor rgb="FFDCE6F1"/>
          <bgColor rgb="FFDCE6F1"/>
        </patternFill>
      </fill>
      <border>
        <top style="thin">
          <color rgb="FF95B3D7"/>
        </top>
      </border>
    </dxf>
    <dxf>
      <font>
        <b/>
        <color rgb="FF000000"/>
      </font>
      <fill>
        <patternFill patternType="solid">
          <fgColor rgb="FFDCE6F1"/>
          <bgColor rgb="FFDCE6F1"/>
        </patternFill>
      </fill>
      <border>
        <bottom style="thin">
          <color rgb="FF95B3D7"/>
        </bottom>
      </border>
    </dxf>
  </dxfs>
  <tableStyles count="1" defaultTableStyle="TableStyleMedium2" defaultPivotStyle="PivotStyleLight16">
    <tableStyle name="PivotStyleLight16 2" table="0" count="11" xr9:uid="{00000000-0011-0000-FFFF-FFFF00000000}">
      <tableStyleElement type="headerRow" dxfId="83"/>
      <tableStyleElement type="totalRow" dxfId="82"/>
      <tableStyleElement type="firstRowStripe" dxfId="81"/>
      <tableStyleElement type="firstColumnStripe" dxfId="80"/>
      <tableStyleElement type="firstSubtotalColumn" dxfId="79"/>
      <tableStyleElement type="firstSubtotalRow" dxfId="78"/>
      <tableStyleElement type="secondSubtotalRow" dxfId="77"/>
      <tableStyleElement type="firstRowSubheading" dxfId="76"/>
      <tableStyleElement type="secondRowSubheading" dxfId="75"/>
      <tableStyleElement type="pageFieldLabels" dxfId="74"/>
      <tableStyleElement type="pageFieldValues" dxfId="73"/>
    </tableStyle>
  </tableStyles>
  <colors>
    <mruColors>
      <color rgb="FFFFFFFF"/>
      <color rgb="FFCCCCCC"/>
      <color rgb="FF00527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ctrlProps/ctrlProp1.xml><?xml version="1.0" encoding="utf-8"?>
<formControlPr xmlns="http://schemas.microsoft.com/office/spreadsheetml/2009/9/main" objectType="Drop" dropLines="5" dropStyle="combo" dx="22" fmlaLink="$Z$1" fmlaRange="$Y$1:$Y$2" sel="1" val="0"/>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18.xml.rels><?xml version="1.0" encoding="UTF-8" standalone="yes"?>
<Relationships xmlns="http://schemas.openxmlformats.org/package/2006/relationships"><Relationship Id="rId3" Type="http://schemas.openxmlformats.org/officeDocument/2006/relationships/hyperlink" Target="#Indice_index!A1"/><Relationship Id="rId2" Type="http://schemas.openxmlformats.org/officeDocument/2006/relationships/image" Target="../media/image8.png"/><Relationship Id="rId1" Type="http://schemas.openxmlformats.org/officeDocument/2006/relationships/image" Target="../media/image7.png"/></Relationships>
</file>

<file path=xl/drawings/_rels/drawing1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2" Type="http://schemas.openxmlformats.org/officeDocument/2006/relationships/image" Target="../media/image5.jpeg"/><Relationship Id="rId1" Type="http://schemas.openxmlformats.org/officeDocument/2006/relationships/image" Target="../media/image4.png"/></Relationships>
</file>

<file path=xl/drawings/_rels/drawing20.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1.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2.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3.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2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3.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hyperlink" Target="#Indice_index!A1"/></Relationships>
</file>

<file path=xl/drawings/_rels/drawing4.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5.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6.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_rels/drawing9.xml.rels><?xml version="1.0" encoding="UTF-8" standalone="yes"?>
<Relationships xmlns="http://schemas.openxmlformats.org/package/2006/relationships"><Relationship Id="rId2" Type="http://schemas.openxmlformats.org/officeDocument/2006/relationships/hyperlink" Target="#Indice_index!A1"/><Relationship Id="rId1" Type="http://schemas.openxmlformats.org/officeDocument/2006/relationships/image" Target="../media/image7.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39</xdr:row>
      <xdr:rowOff>161925</xdr:rowOff>
    </xdr:to>
    <xdr:grpSp>
      <xdr:nvGrpSpPr>
        <xdr:cNvPr id="2" name="Agrupar 1">
          <a:extLst>
            <a:ext uri="{FF2B5EF4-FFF2-40B4-BE49-F238E27FC236}">
              <a16:creationId xmlns:a16="http://schemas.microsoft.com/office/drawing/2014/main" id="{00000000-0008-0000-0000-000002000000}"/>
            </a:ext>
          </a:extLst>
        </xdr:cNvPr>
        <xdr:cNvGrpSpPr/>
      </xdr:nvGrpSpPr>
      <xdr:grpSpPr>
        <a:xfrm>
          <a:off x="0" y="0"/>
          <a:ext cx="5600700" cy="8001000"/>
          <a:chOff x="0" y="0"/>
          <a:chExt cx="5600700" cy="7711350"/>
        </a:xfrm>
      </xdr:grpSpPr>
      <xdr:pic>
        <xdr:nvPicPr>
          <xdr:cNvPr id="3" name="Imagem 2">
            <a:extLst>
              <a:ext uri="{FF2B5EF4-FFF2-40B4-BE49-F238E27FC236}">
                <a16:creationId xmlns:a16="http://schemas.microsoft.com/office/drawing/2014/main" id="{00000000-0008-0000-0000-000003000000}"/>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b="16607"/>
          <a:stretch/>
        </xdr:blipFill>
        <xdr:spPr>
          <a:xfrm>
            <a:off x="0" y="0"/>
            <a:ext cx="5600700" cy="6444485"/>
          </a:xfrm>
          <a:prstGeom prst="rect">
            <a:avLst/>
          </a:prstGeom>
        </xdr:spPr>
      </xdr:pic>
      <xdr:pic>
        <xdr:nvPicPr>
          <xdr:cNvPr id="4" name="Imagem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3661435" y="6991350"/>
            <a:ext cx="1475212" cy="720000"/>
          </a:xfrm>
          <a:prstGeom prst="rect">
            <a:avLst/>
          </a:prstGeom>
        </xdr:spPr>
      </xdr:pic>
      <xdr:pic>
        <xdr:nvPicPr>
          <xdr:cNvPr id="5" name="Imagem 4" descr="Uma imagem com texto, Tipo de letra, logótipo, Gráficos&#10;&#10;Os conteúdos gerados por IA poderão estar incorretos.">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42900" y="6924674"/>
            <a:ext cx="1860942" cy="720000"/>
          </a:xfrm>
          <a:prstGeom prst="rect">
            <a:avLst/>
          </a:prstGeom>
        </xdr:spPr>
      </xdr:pic>
    </xdr:grpSp>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9458" name="Imagem 2">
          <a:extLst>
            <a:ext uri="{FF2B5EF4-FFF2-40B4-BE49-F238E27FC236}">
              <a16:creationId xmlns:a16="http://schemas.microsoft.com/office/drawing/2014/main" id="{00000000-0008-0000-0900-0000024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257175</xdr:colOff>
      <xdr:row>2</xdr:row>
      <xdr:rowOff>0</xdr:rowOff>
    </xdr:from>
    <xdr:to>
      <xdr:col>6</xdr:col>
      <xdr:colOff>242365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9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0482" name="Imagem 2">
          <a:extLst>
            <a:ext uri="{FF2B5EF4-FFF2-40B4-BE49-F238E27FC236}">
              <a16:creationId xmlns:a16="http://schemas.microsoft.com/office/drawing/2014/main" id="{00000000-0008-0000-0A00-0000025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2</xdr:row>
      <xdr:rowOff>0</xdr:rowOff>
    </xdr:from>
    <xdr:to>
      <xdr:col>6</xdr:col>
      <xdr:colOff>204265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130175</xdr:rowOff>
    </xdr:to>
    <xdr:pic>
      <xdr:nvPicPr>
        <xdr:cNvPr id="21506" name="Imagem 2">
          <a:extLst>
            <a:ext uri="{FF2B5EF4-FFF2-40B4-BE49-F238E27FC236}">
              <a16:creationId xmlns:a16="http://schemas.microsoft.com/office/drawing/2014/main" id="{00000000-0008-0000-0B00-0000025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323850</xdr:colOff>
      <xdr:row>1</xdr:row>
      <xdr:rowOff>180975</xdr:rowOff>
    </xdr:from>
    <xdr:to>
      <xdr:col>6</xdr:col>
      <xdr:colOff>309040</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B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2530" name="Imagem 2">
          <a:extLst>
            <a:ext uri="{FF2B5EF4-FFF2-40B4-BE49-F238E27FC236}">
              <a16:creationId xmlns:a16="http://schemas.microsoft.com/office/drawing/2014/main" id="{00000000-0008-0000-0C00-0000025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381000</xdr:colOff>
      <xdr:row>2</xdr:row>
      <xdr:rowOff>0</xdr:rowOff>
    </xdr:from>
    <xdr:to>
      <xdr:col>4</xdr:col>
      <xdr:colOff>366190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C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3554" name="Imagem 2">
          <a:extLst>
            <a:ext uri="{FF2B5EF4-FFF2-40B4-BE49-F238E27FC236}">
              <a16:creationId xmlns:a16="http://schemas.microsoft.com/office/drawing/2014/main" id="{00000000-0008-0000-0D00-0000025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285750</xdr:colOff>
      <xdr:row>2</xdr:row>
      <xdr:rowOff>0</xdr:rowOff>
    </xdr:from>
    <xdr:to>
      <xdr:col>6</xdr:col>
      <xdr:colOff>270940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D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24578" name="Imagem 2">
          <a:extLst>
            <a:ext uri="{FF2B5EF4-FFF2-40B4-BE49-F238E27FC236}">
              <a16:creationId xmlns:a16="http://schemas.microsoft.com/office/drawing/2014/main" id="{00000000-0008-0000-0E00-0000026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66675</xdr:colOff>
      <xdr:row>1</xdr:row>
      <xdr:rowOff>180975</xdr:rowOff>
    </xdr:from>
    <xdr:to>
      <xdr:col>7</xdr:col>
      <xdr:colOff>318565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E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25602" name="Imagem 2">
          <a:extLst>
            <a:ext uri="{FF2B5EF4-FFF2-40B4-BE49-F238E27FC236}">
              <a16:creationId xmlns:a16="http://schemas.microsoft.com/office/drawing/2014/main" id="{00000000-0008-0000-0F00-0000026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9525</xdr:colOff>
      <xdr:row>2</xdr:row>
      <xdr:rowOff>0</xdr:rowOff>
    </xdr:from>
    <xdr:to>
      <xdr:col>6</xdr:col>
      <xdr:colOff>109015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F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0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0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6" name="Imagem 5">
          <a:extLst>
            <a:ext uri="{FF2B5EF4-FFF2-40B4-BE49-F238E27FC236}">
              <a16:creationId xmlns:a16="http://schemas.microsoft.com/office/drawing/2014/main" id="{00000000-0008-0000-1000-000006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381000</xdr:colOff>
      <xdr:row>1</xdr:row>
      <xdr:rowOff>180975</xdr:rowOff>
    </xdr:from>
    <xdr:to>
      <xdr:col>6</xdr:col>
      <xdr:colOff>385240</xdr:colOff>
      <xdr:row>4</xdr:row>
      <xdr:rowOff>149475</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1000-000007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114300</xdr:rowOff>
    </xdr:to>
    <xdr:pic>
      <xdr:nvPicPr>
        <xdr:cNvPr id="3" name="Imagem 2">
          <a:extLst>
            <a:ext uri="{FF2B5EF4-FFF2-40B4-BE49-F238E27FC236}">
              <a16:creationId xmlns:a16="http://schemas.microsoft.com/office/drawing/2014/main" id="{00000000-0008-0000-11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7" name="Imagem 6">
          <a:extLst>
            <a:ext uri="{FF2B5EF4-FFF2-40B4-BE49-F238E27FC236}">
              <a16:creationId xmlns:a16="http://schemas.microsoft.com/office/drawing/2014/main" id="{00000000-0008-0000-1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121920</xdr:rowOff>
    </xdr:to>
    <xdr:pic>
      <xdr:nvPicPr>
        <xdr:cNvPr id="2" name="Imagem 2">
          <a:extLst>
            <a:ext uri="{FF2B5EF4-FFF2-40B4-BE49-F238E27FC236}">
              <a16:creationId xmlns:a16="http://schemas.microsoft.com/office/drawing/2014/main" id="{00000000-0008-0000-1100-000002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571500</xdr:colOff>
      <xdr:row>1</xdr:row>
      <xdr:rowOff>180975</xdr:rowOff>
    </xdr:from>
    <xdr:to>
      <xdr:col>5</xdr:col>
      <xdr:colOff>537640</xdr:colOff>
      <xdr:row>4</xdr:row>
      <xdr:rowOff>149475</xdr:rowOff>
    </xdr:to>
    <xdr:sp macro="" textlink="">
      <xdr:nvSpPr>
        <xdr:cNvPr id="5" name="Seta para a esquerda 4" descr="Índice" title="Índice">
          <a:hlinkClick xmlns:r="http://schemas.openxmlformats.org/officeDocument/2006/relationships" r:id="rId3"/>
          <a:extLst>
            <a:ext uri="{FF2B5EF4-FFF2-40B4-BE49-F238E27FC236}">
              <a16:creationId xmlns:a16="http://schemas.microsoft.com/office/drawing/2014/main" id="{00000000-0008-0000-11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97155</xdr:rowOff>
    </xdr:to>
    <xdr:pic>
      <xdr:nvPicPr>
        <xdr:cNvPr id="3" name="Imagem 2">
          <a:extLst>
            <a:ext uri="{FF2B5EF4-FFF2-40B4-BE49-F238E27FC236}">
              <a16:creationId xmlns:a16="http://schemas.microsoft.com/office/drawing/2014/main" id="{00000000-0008-0000-12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5" name="Imagem 2">
          <a:extLst>
            <a:ext uri="{FF2B5EF4-FFF2-40B4-BE49-F238E27FC236}">
              <a16:creationId xmlns:a16="http://schemas.microsoft.com/office/drawing/2014/main" id="{00000000-0008-0000-12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129540</xdr:rowOff>
    </xdr:to>
    <xdr:pic>
      <xdr:nvPicPr>
        <xdr:cNvPr id="7" name="Imagem 6">
          <a:extLst>
            <a:ext uri="{FF2B5EF4-FFF2-40B4-BE49-F238E27FC236}">
              <a16:creationId xmlns:a16="http://schemas.microsoft.com/office/drawing/2014/main" id="{00000000-0008-0000-1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096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12" name="Imagem 11">
          <a:extLst>
            <a:ext uri="{FF2B5EF4-FFF2-40B4-BE49-F238E27FC236}">
              <a16:creationId xmlns:a16="http://schemas.microsoft.com/office/drawing/2014/main" id="{00000000-0008-0000-12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14" name="Imagem 2">
          <a:extLst>
            <a:ext uri="{FF2B5EF4-FFF2-40B4-BE49-F238E27FC236}">
              <a16:creationId xmlns:a16="http://schemas.microsoft.com/office/drawing/2014/main" id="{00000000-0008-0000-1200-00000E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2400300</xdr:colOff>
      <xdr:row>3</xdr:row>
      <xdr:rowOff>133350</xdr:rowOff>
    </xdr:to>
    <xdr:pic>
      <xdr:nvPicPr>
        <xdr:cNvPr id="8" name="Imagem 2">
          <a:extLst>
            <a:ext uri="{FF2B5EF4-FFF2-40B4-BE49-F238E27FC236}">
              <a16:creationId xmlns:a16="http://schemas.microsoft.com/office/drawing/2014/main" id="{00000000-0008-0000-12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66675</xdr:colOff>
      <xdr:row>1</xdr:row>
      <xdr:rowOff>180975</xdr:rowOff>
    </xdr:from>
    <xdr:to>
      <xdr:col>6</xdr:col>
      <xdr:colOff>32815</xdr:colOff>
      <xdr:row>4</xdr:row>
      <xdr:rowOff>149475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2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257175</xdr:colOff>
      <xdr:row>1</xdr:row>
      <xdr:rowOff>19050</xdr:rowOff>
    </xdr:from>
    <xdr:to>
      <xdr:col>2</xdr:col>
      <xdr:colOff>5419725</xdr:colOff>
      <xdr:row>3</xdr:row>
      <xdr:rowOff>361950</xdr:rowOff>
    </xdr:to>
    <xdr:pic>
      <xdr:nvPicPr>
        <xdr:cNvPr id="12" name="Imagem 3">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238125" y="209550"/>
          <a:ext cx="5657850" cy="1133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9525</xdr:colOff>
      <xdr:row>0</xdr:row>
      <xdr:rowOff>47625</xdr:rowOff>
    </xdr:from>
    <xdr:to>
      <xdr:col>3</xdr:col>
      <xdr:colOff>0</xdr:colOff>
      <xdr:row>4</xdr:row>
      <xdr:rowOff>19050</xdr:rowOff>
    </xdr:to>
    <xdr:sp macro="" textlink="">
      <xdr:nvSpPr>
        <xdr:cNvPr id="2" name="Retângulo 1">
          <a:extLst>
            <a:ext uri="{FF2B5EF4-FFF2-40B4-BE49-F238E27FC236}">
              <a16:creationId xmlns:a16="http://schemas.microsoft.com/office/drawing/2014/main" id="{00000000-0008-0000-0100-000002000000}"/>
            </a:ext>
          </a:extLst>
        </xdr:cNvPr>
        <xdr:cNvSpPr/>
      </xdr:nvSpPr>
      <xdr:spPr>
        <a:xfrm>
          <a:off x="9525" y="47625"/>
          <a:ext cx="8839200" cy="1581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pt-PT"/>
        </a:p>
      </xdr:txBody>
    </xdr:sp>
    <xdr:clientData/>
  </xdr:twoCellAnchor>
  <mc:AlternateContent xmlns:mc="http://schemas.openxmlformats.org/markup-compatibility/2006">
    <mc:Choice xmlns:a14="http://schemas.microsoft.com/office/drawing/2010/main" Requires="a14">
      <xdr:twoCellAnchor editAs="oneCell">
        <xdr:from>
          <xdr:col>2</xdr:col>
          <xdr:colOff>1524000</xdr:colOff>
          <xdr:row>4</xdr:row>
          <xdr:rowOff>28575</xdr:rowOff>
        </xdr:from>
        <xdr:to>
          <xdr:col>2</xdr:col>
          <xdr:colOff>4371975</xdr:colOff>
          <xdr:row>5</xdr:row>
          <xdr:rowOff>66675</xdr:rowOff>
        </xdr:to>
        <xdr:sp macro="" textlink="">
          <xdr:nvSpPr>
            <xdr:cNvPr id="9217" name="Drop Down 1" hidden="1">
              <a:extLst>
                <a:ext uri="{63B3BB69-23CF-44E3-9099-C40C66FF867C}">
                  <a14:compatExt spid="_x0000_s9217"/>
                </a:ext>
                <a:ext uri="{FF2B5EF4-FFF2-40B4-BE49-F238E27FC236}">
                  <a16:creationId xmlns:a16="http://schemas.microsoft.com/office/drawing/2014/main" id="{00000000-0008-0000-0100-0000012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twoCellAnchor editAs="oneCell">
    <xdr:from>
      <xdr:col>0</xdr:col>
      <xdr:colOff>76200</xdr:colOff>
      <xdr:row>1</xdr:row>
      <xdr:rowOff>133350</xdr:rowOff>
    </xdr:from>
    <xdr:to>
      <xdr:col>5</xdr:col>
      <xdr:colOff>57150</xdr:colOff>
      <xdr:row>1</xdr:row>
      <xdr:rowOff>314325</xdr:rowOff>
    </xdr:to>
    <xdr:pic>
      <xdr:nvPicPr>
        <xdr:cNvPr id="9220" name="Imagem 4">
          <a:extLst>
            <a:ext uri="{FF2B5EF4-FFF2-40B4-BE49-F238E27FC236}">
              <a16:creationId xmlns:a16="http://schemas.microsoft.com/office/drawing/2014/main" id="{00000000-0008-0000-0100-00000424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323850"/>
          <a:ext cx="11058525"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85725</xdr:colOff>
      <xdr:row>3</xdr:row>
      <xdr:rowOff>323850</xdr:rowOff>
    </xdr:from>
    <xdr:to>
      <xdr:col>5</xdr:col>
      <xdr:colOff>76200</xdr:colOff>
      <xdr:row>3</xdr:row>
      <xdr:rowOff>504825</xdr:rowOff>
    </xdr:to>
    <xdr:pic>
      <xdr:nvPicPr>
        <xdr:cNvPr id="13" name="Imagem 5">
          <a:extLst>
            <a:ext uri="{FF2B5EF4-FFF2-40B4-BE49-F238E27FC236}">
              <a16:creationId xmlns:a16="http://schemas.microsoft.com/office/drawing/2014/main" id="{00000000-0008-0000-01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85725" y="1304925"/>
          <a:ext cx="110109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38100</xdr:colOff>
      <xdr:row>3</xdr:row>
      <xdr:rowOff>133350</xdr:rowOff>
    </xdr:to>
    <xdr:pic>
      <xdr:nvPicPr>
        <xdr:cNvPr id="2" name="Imagem 2">
          <a:extLst>
            <a:ext uri="{FF2B5EF4-FFF2-40B4-BE49-F238E27FC236}">
              <a16:creationId xmlns:a16="http://schemas.microsoft.com/office/drawing/2014/main" id="{00000000-0008-0000-13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333375</xdr:colOff>
      <xdr:row>2</xdr:row>
      <xdr:rowOff>0</xdr:rowOff>
    </xdr:from>
    <xdr:to>
      <xdr:col>7</xdr:col>
      <xdr:colOff>451915</xdr:colOff>
      <xdr:row>4</xdr:row>
      <xdr:rowOff>159000</xdr:rowOff>
    </xdr:to>
    <xdr:sp macro="" textlink="">
      <xdr:nvSpPr>
        <xdr:cNvPr id="4" name="Seta para a esquerda 4" descr="Índice" title="Índice">
          <a:hlinkClick xmlns:r="http://schemas.openxmlformats.org/officeDocument/2006/relationships" r:id="rId2"/>
          <a:extLst>
            <a:ext uri="{FF2B5EF4-FFF2-40B4-BE49-F238E27FC236}">
              <a16:creationId xmlns:a16="http://schemas.microsoft.com/office/drawing/2014/main" id="{00000000-0008-0000-1300-000004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127000</xdr:rowOff>
    </xdr:to>
    <xdr:pic>
      <xdr:nvPicPr>
        <xdr:cNvPr id="27650" name="Imagem 2">
          <a:extLst>
            <a:ext uri="{FF2B5EF4-FFF2-40B4-BE49-F238E27FC236}">
              <a16:creationId xmlns:a16="http://schemas.microsoft.com/office/drawing/2014/main" id="{00000000-0008-0000-1400-0000026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142875</xdr:colOff>
      <xdr:row>1</xdr:row>
      <xdr:rowOff>180975</xdr:rowOff>
    </xdr:from>
    <xdr:to>
      <xdr:col>6</xdr:col>
      <xdr:colOff>242365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4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3</xdr:col>
      <xdr:colOff>400050</xdr:colOff>
      <xdr:row>3</xdr:row>
      <xdr:rowOff>133350</xdr:rowOff>
    </xdr:to>
    <xdr:pic>
      <xdr:nvPicPr>
        <xdr:cNvPr id="3" name="Imagem 2">
          <a:extLst>
            <a:ext uri="{FF2B5EF4-FFF2-40B4-BE49-F238E27FC236}">
              <a16:creationId xmlns:a16="http://schemas.microsoft.com/office/drawing/2014/main" id="{00000000-0008-0000-15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333375</xdr:colOff>
      <xdr:row>2</xdr:row>
      <xdr:rowOff>0</xdr:rowOff>
    </xdr:from>
    <xdr:to>
      <xdr:col>10</xdr:col>
      <xdr:colOff>23290</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5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5</xdr:col>
      <xdr:colOff>123825</xdr:colOff>
      <xdr:row>3</xdr:row>
      <xdr:rowOff>133350</xdr:rowOff>
    </xdr:to>
    <xdr:pic>
      <xdr:nvPicPr>
        <xdr:cNvPr id="5" name="Imagem 2">
          <a:extLst>
            <a:ext uri="{FF2B5EF4-FFF2-40B4-BE49-F238E27FC236}">
              <a16:creationId xmlns:a16="http://schemas.microsoft.com/office/drawing/2014/main" id="{00000000-0008-0000-16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104775</xdr:colOff>
      <xdr:row>2</xdr:row>
      <xdr:rowOff>0</xdr:rowOff>
    </xdr:from>
    <xdr:to>
      <xdr:col>10</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6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30722" name="Imagem 2">
          <a:extLst>
            <a:ext uri="{FF2B5EF4-FFF2-40B4-BE49-F238E27FC236}">
              <a16:creationId xmlns:a16="http://schemas.microsoft.com/office/drawing/2014/main" id="{00000000-0008-0000-1700-0000027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2</xdr:row>
      <xdr:rowOff>0</xdr:rowOff>
    </xdr:from>
    <xdr:to>
      <xdr:col>3</xdr:col>
      <xdr:colOff>356665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3" name="Imagem 2">
          <a:extLst>
            <a:ext uri="{FF2B5EF4-FFF2-40B4-BE49-F238E27FC236}">
              <a16:creationId xmlns:a16="http://schemas.microsoft.com/office/drawing/2014/main" id="{00000000-0008-0000-18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714375</xdr:colOff>
      <xdr:row>2</xdr:row>
      <xdr:rowOff>0</xdr:rowOff>
    </xdr:from>
    <xdr:to>
      <xdr:col>8</xdr:col>
      <xdr:colOff>13765</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8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2</xdr:col>
      <xdr:colOff>1762125</xdr:colOff>
      <xdr:row>3</xdr:row>
      <xdr:rowOff>133350</xdr:rowOff>
    </xdr:to>
    <xdr:pic>
      <xdr:nvPicPr>
        <xdr:cNvPr id="3" name="Imagem 2">
          <a:extLst>
            <a:ext uri="{FF2B5EF4-FFF2-40B4-BE49-F238E27FC236}">
              <a16:creationId xmlns:a16="http://schemas.microsoft.com/office/drawing/2014/main" id="{00000000-0008-0000-19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1543050</xdr:colOff>
      <xdr:row>2</xdr:row>
      <xdr:rowOff>0</xdr:rowOff>
    </xdr:from>
    <xdr:to>
      <xdr:col>3</xdr:col>
      <xdr:colOff>2918890</xdr:colOff>
      <xdr:row>4</xdr:row>
      <xdr:rowOff>159000</xdr:rowOff>
    </xdr:to>
    <xdr:sp macro="" textlink="">
      <xdr:nvSpPr>
        <xdr:cNvPr id="5" name="Seta para a esquerda 4" descr="Índice" title="Índice">
          <a:hlinkClick xmlns:r="http://schemas.openxmlformats.org/officeDocument/2006/relationships" r:id="rId2"/>
          <a:extLst>
            <a:ext uri="{FF2B5EF4-FFF2-40B4-BE49-F238E27FC236}">
              <a16:creationId xmlns:a16="http://schemas.microsoft.com/office/drawing/2014/main" id="{00000000-0008-0000-1900-000005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146685</xdr:rowOff>
    </xdr:to>
    <xdr:pic>
      <xdr:nvPicPr>
        <xdr:cNvPr id="33794" name="Imagem 2">
          <a:extLst>
            <a:ext uri="{FF2B5EF4-FFF2-40B4-BE49-F238E27FC236}">
              <a16:creationId xmlns:a16="http://schemas.microsoft.com/office/drawing/2014/main" id="{00000000-0008-0000-1A00-0000028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3</xdr:col>
      <xdr:colOff>247650</xdr:colOff>
      <xdr:row>2</xdr:row>
      <xdr:rowOff>0</xdr:rowOff>
    </xdr:from>
    <xdr:to>
      <xdr:col>5</xdr:col>
      <xdr:colOff>232840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A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0</xdr:colOff>
      <xdr:row>3</xdr:row>
      <xdr:rowOff>93345</xdr:rowOff>
    </xdr:to>
    <xdr:pic>
      <xdr:nvPicPr>
        <xdr:cNvPr id="3" name="Imagem 2">
          <a:extLst>
            <a:ext uri="{FF2B5EF4-FFF2-40B4-BE49-F238E27FC236}">
              <a16:creationId xmlns:a16="http://schemas.microsoft.com/office/drawing/2014/main" id="{00000000-0008-0000-1B00-000003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743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133350</xdr:rowOff>
    </xdr:to>
    <xdr:pic>
      <xdr:nvPicPr>
        <xdr:cNvPr id="5" name="Imagem 2">
          <a:extLst>
            <a:ext uri="{FF2B5EF4-FFF2-40B4-BE49-F238E27FC236}">
              <a16:creationId xmlns:a16="http://schemas.microsoft.com/office/drawing/2014/main" id="{00000000-0008-0000-1B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4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133350</xdr:rowOff>
    </xdr:to>
    <xdr:pic>
      <xdr:nvPicPr>
        <xdr:cNvPr id="7" name="Imagem 6">
          <a:extLst>
            <a:ext uri="{FF2B5EF4-FFF2-40B4-BE49-F238E27FC236}">
              <a16:creationId xmlns:a16="http://schemas.microsoft.com/office/drawing/2014/main" id="{00000000-0008-0000-1B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0</xdr:rowOff>
    </xdr:from>
    <xdr:to>
      <xdr:col>1</xdr:col>
      <xdr:colOff>0</xdr:colOff>
      <xdr:row>3</xdr:row>
      <xdr:rowOff>114300</xdr:rowOff>
    </xdr:to>
    <xdr:pic>
      <xdr:nvPicPr>
        <xdr:cNvPr id="8" name="Imagem 7">
          <a:extLst>
            <a:ext uri="{FF2B5EF4-FFF2-40B4-BE49-F238E27FC236}">
              <a16:creationId xmlns:a16="http://schemas.microsoft.com/office/drawing/2014/main" id="{00000000-0008-0000-1B00-000008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190500"/>
          <a:ext cx="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xdr:row>
      <xdr:rowOff>9525</xdr:rowOff>
    </xdr:from>
    <xdr:to>
      <xdr:col>1</xdr:col>
      <xdr:colOff>0</xdr:colOff>
      <xdr:row>3</xdr:row>
      <xdr:rowOff>129540</xdr:rowOff>
    </xdr:to>
    <xdr:pic>
      <xdr:nvPicPr>
        <xdr:cNvPr id="9" name="Imagem 2">
          <a:extLst>
            <a:ext uri="{FF2B5EF4-FFF2-40B4-BE49-F238E27FC236}">
              <a16:creationId xmlns:a16="http://schemas.microsoft.com/office/drawing/2014/main" id="{00000000-0008-0000-1B00-000009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495300" y="200025"/>
          <a:ext cx="0" cy="5010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1</xdr:row>
      <xdr:rowOff>0</xdr:rowOff>
    </xdr:from>
    <xdr:ext cx="0" cy="459105"/>
    <xdr:pic>
      <xdr:nvPicPr>
        <xdr:cNvPr id="11" name="Imagem 10">
          <a:extLst>
            <a:ext uri="{FF2B5EF4-FFF2-40B4-BE49-F238E27FC236}">
              <a16:creationId xmlns:a16="http://schemas.microsoft.com/office/drawing/2014/main" id="{00000000-0008-0000-1B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591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9585"/>
    <xdr:pic>
      <xdr:nvPicPr>
        <xdr:cNvPr id="13" name="Imagem 2">
          <a:extLst>
            <a:ext uri="{FF2B5EF4-FFF2-40B4-BE49-F238E27FC236}">
              <a16:creationId xmlns:a16="http://schemas.microsoft.com/office/drawing/2014/main" id="{00000000-0008-0000-1B00-00000D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9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99110"/>
    <xdr:pic>
      <xdr:nvPicPr>
        <xdr:cNvPr id="15" name="Imagem 14">
          <a:extLst>
            <a:ext uri="{FF2B5EF4-FFF2-40B4-BE49-F238E27FC236}">
              <a16:creationId xmlns:a16="http://schemas.microsoft.com/office/drawing/2014/main" id="{00000000-0008-0000-1B00-00000F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99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0</xdr:rowOff>
    </xdr:from>
    <xdr:ext cx="0" cy="480060"/>
    <xdr:pic>
      <xdr:nvPicPr>
        <xdr:cNvPr id="16" name="Imagem 15">
          <a:extLst>
            <a:ext uri="{FF2B5EF4-FFF2-40B4-BE49-F238E27FC236}">
              <a16:creationId xmlns:a16="http://schemas.microsoft.com/office/drawing/2014/main" id="{00000000-0008-0000-1B00-000010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82880"/>
          <a:ext cx="0" cy="4800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0</xdr:colOff>
      <xdr:row>1</xdr:row>
      <xdr:rowOff>9525</xdr:rowOff>
    </xdr:from>
    <xdr:ext cx="0" cy="485775"/>
    <xdr:pic>
      <xdr:nvPicPr>
        <xdr:cNvPr id="17" name="Imagem 2">
          <a:extLst>
            <a:ext uri="{FF2B5EF4-FFF2-40B4-BE49-F238E27FC236}">
              <a16:creationId xmlns:a16="http://schemas.microsoft.com/office/drawing/2014/main" id="{00000000-0008-0000-1B00-000011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10540" y="192405"/>
          <a:ext cx="0" cy="485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twoCellAnchor editAs="oneCell">
    <xdr:from>
      <xdr:col>1</xdr:col>
      <xdr:colOff>0</xdr:colOff>
      <xdr:row>1</xdr:row>
      <xdr:rowOff>9525</xdr:rowOff>
    </xdr:from>
    <xdr:to>
      <xdr:col>3</xdr:col>
      <xdr:colOff>628650</xdr:colOff>
      <xdr:row>3</xdr:row>
      <xdr:rowOff>123825</xdr:rowOff>
    </xdr:to>
    <xdr:pic>
      <xdr:nvPicPr>
        <xdr:cNvPr id="4" name="Imagem 2">
          <a:extLst>
            <a:ext uri="{FF2B5EF4-FFF2-40B4-BE49-F238E27FC236}">
              <a16:creationId xmlns:a16="http://schemas.microsoft.com/office/drawing/2014/main" id="{00000000-0008-0000-1B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47</xdr:col>
      <xdr:colOff>165734</xdr:colOff>
      <xdr:row>1</xdr:row>
      <xdr:rowOff>97155</xdr:rowOff>
    </xdr:from>
    <xdr:to>
      <xdr:col>58</xdr:col>
      <xdr:colOff>289560</xdr:colOff>
      <xdr:row>4</xdr:row>
      <xdr:rowOff>65655</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1B00-000006000000}"/>
            </a:ext>
          </a:extLst>
        </xdr:cNvPr>
        <xdr:cNvSpPr/>
      </xdr:nvSpPr>
      <xdr:spPr>
        <a:xfrm>
          <a:off x="10315574" y="280035"/>
          <a:ext cx="1411606" cy="51714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133350</xdr:rowOff>
    </xdr:to>
    <xdr:pic>
      <xdr:nvPicPr>
        <xdr:cNvPr id="5" name="Imagem 2">
          <a:extLst>
            <a:ext uri="{FF2B5EF4-FFF2-40B4-BE49-F238E27FC236}">
              <a16:creationId xmlns:a16="http://schemas.microsoft.com/office/drawing/2014/main" id="{00000000-0008-0000-1C00-000005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4581525</xdr:colOff>
      <xdr:row>1</xdr:row>
      <xdr:rowOff>180975</xdr:rowOff>
    </xdr:from>
    <xdr:to>
      <xdr:col>1</xdr:col>
      <xdr:colOff>5957365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1C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331835</xdr:colOff>
      <xdr:row>2</xdr:row>
      <xdr:rowOff>0</xdr:rowOff>
    </xdr:from>
    <xdr:to>
      <xdr:col>6</xdr:col>
      <xdr:colOff>469425</xdr:colOff>
      <xdr:row>4</xdr:row>
      <xdr:rowOff>159000</xdr:rowOff>
    </xdr:to>
    <xdr:sp macro="" textlink="">
      <xdr:nvSpPr>
        <xdr:cNvPr id="2" name="Seta para a esquerda 4" descr="Índice" title="Índice">
          <a:hlinkClick xmlns:r="http://schemas.openxmlformats.org/officeDocument/2006/relationships" r:id="rId1"/>
          <a:extLst>
            <a:ext uri="{FF2B5EF4-FFF2-40B4-BE49-F238E27FC236}">
              <a16:creationId xmlns:a16="http://schemas.microsoft.com/office/drawing/2014/main" id="{00000000-0008-0000-0200-000002000000}"/>
            </a:ext>
          </a:extLst>
        </xdr:cNvPr>
        <xdr:cNvSpPr/>
      </xdr:nvSpPr>
      <xdr:spPr>
        <a:xfrm>
          <a:off x="515148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editAs="oneCell">
    <xdr:from>
      <xdr:col>1</xdr:col>
      <xdr:colOff>0</xdr:colOff>
      <xdr:row>1</xdr:row>
      <xdr:rowOff>19050</xdr:rowOff>
    </xdr:from>
    <xdr:to>
      <xdr:col>1</xdr:col>
      <xdr:colOff>2400300</xdr:colOff>
      <xdr:row>3</xdr:row>
      <xdr:rowOff>133350</xdr:rowOff>
    </xdr:to>
    <xdr:pic>
      <xdr:nvPicPr>
        <xdr:cNvPr id="10242" name="Imagem 2">
          <a:extLst>
            <a:ext uri="{FF2B5EF4-FFF2-40B4-BE49-F238E27FC236}">
              <a16:creationId xmlns:a16="http://schemas.microsoft.com/office/drawing/2014/main" id="{00000000-0008-0000-0200-00000228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567690</xdr:colOff>
      <xdr:row>1</xdr:row>
      <xdr:rowOff>22860</xdr:rowOff>
    </xdr:from>
    <xdr:to>
      <xdr:col>2</xdr:col>
      <xdr:colOff>224790</xdr:colOff>
      <xdr:row>3</xdr:row>
      <xdr:rowOff>137160</xdr:rowOff>
    </xdr:to>
    <xdr:pic>
      <xdr:nvPicPr>
        <xdr:cNvPr id="11267" name="Imagem 6">
          <a:extLst>
            <a:ext uri="{FF2B5EF4-FFF2-40B4-BE49-F238E27FC236}">
              <a16:creationId xmlns:a16="http://schemas.microsoft.com/office/drawing/2014/main" id="{00000000-0008-0000-0300-0000032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67690" y="20383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495300</xdr:colOff>
      <xdr:row>2</xdr:row>
      <xdr:rowOff>0</xdr:rowOff>
    </xdr:from>
    <xdr:to>
      <xdr:col>7</xdr:col>
      <xdr:colOff>594790</xdr:colOff>
      <xdr:row>4</xdr:row>
      <xdr:rowOff>159000</xdr:rowOff>
    </xdr:to>
    <xdr:sp macro="" textlink="">
      <xdr:nvSpPr>
        <xdr:cNvPr id="6" name="Seta para a esquerda 4" descr="Índice" title="Índice">
          <a:hlinkClick xmlns:r="http://schemas.openxmlformats.org/officeDocument/2006/relationships" r:id="rId2"/>
          <a:extLst>
            <a:ext uri="{FF2B5EF4-FFF2-40B4-BE49-F238E27FC236}">
              <a16:creationId xmlns:a16="http://schemas.microsoft.com/office/drawing/2014/main" id="{00000000-0008-0000-0300-000006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19050</xdr:colOff>
      <xdr:row>3</xdr:row>
      <xdr:rowOff>114300</xdr:rowOff>
    </xdr:to>
    <xdr:pic>
      <xdr:nvPicPr>
        <xdr:cNvPr id="12289" name="Imagem 6">
          <a:extLst>
            <a:ext uri="{FF2B5EF4-FFF2-40B4-BE49-F238E27FC236}">
              <a16:creationId xmlns:a16="http://schemas.microsoft.com/office/drawing/2014/main" id="{00000000-0008-0000-0400-0000013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638175" y="190500"/>
          <a:ext cx="23907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0</xdr:colOff>
      <xdr:row>2</xdr:row>
      <xdr:rowOff>0</xdr:rowOff>
    </xdr:from>
    <xdr:to>
      <xdr:col>6</xdr:col>
      <xdr:colOff>605594</xdr:colOff>
      <xdr:row>4</xdr:row>
      <xdr:rowOff>159000</xdr:rowOff>
    </xdr:to>
    <xdr:sp macro="" textlink="">
      <xdr:nvSpPr>
        <xdr:cNvPr id="7" name="Seta para a esquerda 4" descr="Índice" title="Índice">
          <a:hlinkClick xmlns:r="http://schemas.openxmlformats.org/officeDocument/2006/relationships" r:id="rId2"/>
          <a:extLst>
            <a:ext uri="{FF2B5EF4-FFF2-40B4-BE49-F238E27FC236}">
              <a16:creationId xmlns:a16="http://schemas.microsoft.com/office/drawing/2014/main" id="{00000000-0008-0000-0400-000007000000}"/>
            </a:ext>
          </a:extLst>
        </xdr:cNvPr>
        <xdr:cNvSpPr/>
      </xdr:nvSpPr>
      <xdr:spPr>
        <a:xfrm>
          <a:off x="4924425" y="381000"/>
          <a:ext cx="1215194"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twoCellAnchor>
    <xdr:from>
      <xdr:col>1</xdr:col>
      <xdr:colOff>0</xdr:colOff>
      <xdr:row>4</xdr:row>
      <xdr:rowOff>0</xdr:rowOff>
    </xdr:from>
    <xdr:to>
      <xdr:col>1</xdr:col>
      <xdr:colOff>1943100</xdr:colOff>
      <xdr:row>6</xdr:row>
      <xdr:rowOff>104775</xdr:rowOff>
    </xdr:to>
    <xdr:sp macro="" textlink="">
      <xdr:nvSpPr>
        <xdr:cNvPr id="2" name="Caixa de Texto 2">
          <a:extLst>
            <a:ext uri="{FF2B5EF4-FFF2-40B4-BE49-F238E27FC236}">
              <a16:creationId xmlns:a16="http://schemas.microsoft.com/office/drawing/2014/main" id="{00000000-0008-0000-0400-000002000000}"/>
            </a:ext>
          </a:extLst>
        </xdr:cNvPr>
        <xdr:cNvSpPr txBox="1">
          <a:spLocks noChangeArrowheads="1"/>
        </xdr:cNvSpPr>
      </xdr:nvSpPr>
      <xdr:spPr bwMode="auto">
        <a:xfrm>
          <a:off x="638175" y="762000"/>
          <a:ext cx="1943100" cy="485775"/>
        </a:xfrm>
        <a:prstGeom prst="rect">
          <a:avLst/>
        </a:prstGeom>
        <a:noFill/>
        <a:ln w="9525">
          <a:noFill/>
          <a:miter lim="800000"/>
          <a:headEnd/>
          <a:tailEnd/>
        </a:ln>
      </xdr:spPr>
      <xdr:txBody>
        <a:bodyPr rot="0" vert="horz" wrap="square" lIns="0" tIns="0" rIns="0" bIns="0" anchor="ctr" anchorCtr="0">
          <a:noAutofit/>
        </a:bodyPr>
        <a:lstStyle/>
        <a:p>
          <a:pPr marL="180340">
            <a:lnSpc>
              <a:spcPct val="106000"/>
            </a:lnSpc>
            <a:spcAft>
              <a:spcPts val="0"/>
            </a:spcAft>
          </a:pPr>
          <a:r>
            <a:rPr lang="pt-PT" sz="1100" b="1">
              <a:solidFill>
                <a:srgbClr val="01245E"/>
              </a:solidFill>
              <a:effectLst/>
              <a:latin typeface="Dubai" panose="020B0503030403030204" pitchFamily="34" charset="-78"/>
              <a:ea typeface="Calibri" panose="020F0502020204030204" pitchFamily="34" charset="0"/>
              <a:cs typeface="Times New Roman" panose="02020603050405020304" pitchFamily="18" charset="0"/>
            </a:rPr>
            <a:t>ANEXOS ESTATÍSTICOS</a:t>
          </a:r>
          <a:endParaRPr lang="pt-PT" sz="1200">
            <a:effectLst/>
            <a:latin typeface="Times New Roman" panose="02020603050405020304" pitchFamily="18" charset="0"/>
            <a:ea typeface="Times New Roman" panose="02020603050405020304" pitchFamily="18" charset="0"/>
          </a:endParaRPr>
        </a:p>
        <a:p>
          <a:pPr marL="180340">
            <a:lnSpc>
              <a:spcPct val="106000"/>
            </a:lnSpc>
            <a:spcAft>
              <a:spcPts val="0"/>
            </a:spcAft>
          </a:pPr>
          <a:r>
            <a:rPr lang="pt-PT" sz="900" b="1" baseline="0">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Março </a:t>
          </a:r>
          <a:r>
            <a:rPr lang="pt-PT" sz="900" b="1">
              <a:solidFill>
                <a:srgbClr val="2E74B5"/>
              </a:solidFill>
              <a:effectLst/>
              <a:latin typeface="Dubai" panose="020B0503030403030204" pitchFamily="34" charset="-78"/>
              <a:ea typeface="Calibri" panose="020F0502020204030204" pitchFamily="34" charset="0"/>
              <a:cs typeface="Times New Roman" panose="02020603050405020304" pitchFamily="18" charset="0"/>
            </a:rPr>
            <a:t>de 2025</a:t>
          </a:r>
          <a:endParaRPr lang="pt-PT"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5362" name="Imagem 2">
          <a:extLst>
            <a:ext uri="{FF2B5EF4-FFF2-40B4-BE49-F238E27FC236}">
              <a16:creationId xmlns:a16="http://schemas.microsoft.com/office/drawing/2014/main" id="{00000000-0008-0000-0500-0000023C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28575</xdr:colOff>
      <xdr:row>2</xdr:row>
      <xdr:rowOff>0</xdr:rowOff>
    </xdr:from>
    <xdr:to>
      <xdr:col>7</xdr:col>
      <xdr:colOff>13765</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5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2400300</xdr:colOff>
      <xdr:row>3</xdr:row>
      <xdr:rowOff>104775</xdr:rowOff>
    </xdr:to>
    <xdr:pic>
      <xdr:nvPicPr>
        <xdr:cNvPr id="16386" name="Imagem 4">
          <a:extLst>
            <a:ext uri="{FF2B5EF4-FFF2-40B4-BE49-F238E27FC236}">
              <a16:creationId xmlns:a16="http://schemas.microsoft.com/office/drawing/2014/main" id="{00000000-0008-0000-0600-0000024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1</xdr:row>
      <xdr:rowOff>171450</xdr:rowOff>
    </xdr:from>
    <xdr:to>
      <xdr:col>6</xdr:col>
      <xdr:colOff>670990</xdr:colOff>
      <xdr:row>4</xdr:row>
      <xdr:rowOff>111375</xdr:rowOff>
    </xdr:to>
    <xdr:sp macro="" textlink="">
      <xdr:nvSpPr>
        <xdr:cNvPr id="2" name="Seta para a esquerda 4" descr="Índice" title="Índice">
          <a:hlinkClick xmlns:r="http://schemas.openxmlformats.org/officeDocument/2006/relationships" r:id="rId2"/>
          <a:extLst>
            <a:ext uri="{FF2B5EF4-FFF2-40B4-BE49-F238E27FC236}">
              <a16:creationId xmlns:a16="http://schemas.microsoft.com/office/drawing/2014/main" id="{00000000-0008-0000-0600-000002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1</xdr:row>
      <xdr:rowOff>19050</xdr:rowOff>
    </xdr:from>
    <xdr:to>
      <xdr:col>1</xdr:col>
      <xdr:colOff>2400300</xdr:colOff>
      <xdr:row>3</xdr:row>
      <xdr:rowOff>133350</xdr:rowOff>
    </xdr:to>
    <xdr:pic>
      <xdr:nvPicPr>
        <xdr:cNvPr id="17410" name="Imagem 2">
          <a:extLst>
            <a:ext uri="{FF2B5EF4-FFF2-40B4-BE49-F238E27FC236}">
              <a16:creationId xmlns:a16="http://schemas.microsoft.com/office/drawing/2014/main" id="{00000000-0008-0000-0700-0000024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685800</xdr:colOff>
      <xdr:row>2</xdr:row>
      <xdr:rowOff>0</xdr:rowOff>
    </xdr:from>
    <xdr:to>
      <xdr:col>6</xdr:col>
      <xdr:colOff>670990</xdr:colOff>
      <xdr:row>4</xdr:row>
      <xdr:rowOff>159000</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7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1</xdr:col>
      <xdr:colOff>2400300</xdr:colOff>
      <xdr:row>3</xdr:row>
      <xdr:rowOff>123825</xdr:rowOff>
    </xdr:to>
    <xdr:pic>
      <xdr:nvPicPr>
        <xdr:cNvPr id="18434" name="Imagem 2">
          <a:extLst>
            <a:ext uri="{FF2B5EF4-FFF2-40B4-BE49-F238E27FC236}">
              <a16:creationId xmlns:a16="http://schemas.microsoft.com/office/drawing/2014/main" id="{00000000-0008-0000-0800-00000248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1346" t="2048" r="12289" b="85677"/>
        <a:stretch>
          <a:fillRect/>
        </a:stretch>
      </xdr:blipFill>
      <xdr:spPr bwMode="auto">
        <a:xfrm>
          <a:off x="571500" y="200025"/>
          <a:ext cx="240030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219075</xdr:colOff>
      <xdr:row>1</xdr:row>
      <xdr:rowOff>180975</xdr:rowOff>
    </xdr:from>
    <xdr:to>
      <xdr:col>6</xdr:col>
      <xdr:colOff>204265</xdr:colOff>
      <xdr:row>4</xdr:row>
      <xdr:rowOff>149475</xdr:rowOff>
    </xdr:to>
    <xdr:sp macro="" textlink="">
      <xdr:nvSpPr>
        <xdr:cNvPr id="3" name="Seta para a esquerda 4" descr="Índice" title="Índice">
          <a:hlinkClick xmlns:r="http://schemas.openxmlformats.org/officeDocument/2006/relationships" r:id="rId2"/>
          <a:extLst>
            <a:ext uri="{FF2B5EF4-FFF2-40B4-BE49-F238E27FC236}">
              <a16:creationId xmlns:a16="http://schemas.microsoft.com/office/drawing/2014/main" id="{00000000-0008-0000-0800-000003000000}"/>
            </a:ext>
          </a:extLst>
        </xdr:cNvPr>
        <xdr:cNvSpPr/>
      </xdr:nvSpPr>
      <xdr:spPr>
        <a:xfrm>
          <a:off x="5153025" y="371475"/>
          <a:ext cx="1375840" cy="540000"/>
        </a:xfrm>
        <a:prstGeom prst="leftArrow">
          <a:avLst/>
        </a:prstGeom>
        <a:solidFill>
          <a:srgbClr val="DEEAF6"/>
        </a:solidFill>
        <a:ln>
          <a:solidFill>
            <a:srgbClr val="0018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pt-PT" sz="1100">
              <a:solidFill>
                <a:srgbClr val="00527E"/>
              </a:solidFill>
              <a:latin typeface="+mn-lt"/>
              <a:ea typeface="Verdana" panose="020B0604030504040204" pitchFamily="34" charset="0"/>
            </a:rPr>
            <a:t>Índice/Index</a:t>
          </a:r>
        </a:p>
      </xdr:txBody>
    </xdr:sp>
    <xdr:clientData/>
  </xdr:twoCellAnchor>
</xdr:wsDr>
</file>

<file path=xl/theme/theme1.xml><?xml version="1.0" encoding="utf-8"?>
<a:theme xmlns:a="http://schemas.openxmlformats.org/drawingml/2006/main" name="Tema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0FB2D-7847-4486-898E-FD9B1373A962}">
  <sheetPr>
    <pageSetUpPr fitToPage="1"/>
  </sheetPr>
  <dimension ref="A1:A55"/>
  <sheetViews>
    <sheetView showGridLines="0" zoomScaleNormal="100" zoomScalePageLayoutView="50" workbookViewId="0"/>
  </sheetViews>
  <sheetFormatPr defaultColWidth="0" defaultRowHeight="14.85" customHeight="1" zeroHeight="1"/>
  <cols>
    <col min="1" max="1" width="84" style="33" customWidth="1"/>
    <col min="2" max="16384" width="89.5703125" style="33" hidden="1"/>
  </cols>
  <sheetData>
    <row r="1" ht="15"/>
    <row r="2" ht="15"/>
    <row r="3" ht="15"/>
    <row r="4" ht="15"/>
    <row r="5" ht="15"/>
    <row r="6" ht="15"/>
    <row r="7" ht="15"/>
    <row r="8" ht="15"/>
    <row r="9" ht="15"/>
    <row r="10" ht="15"/>
    <row r="11" ht="15"/>
    <row r="12" ht="15"/>
    <row r="13" ht="15"/>
    <row r="14" ht="15"/>
    <row r="15" ht="15"/>
    <row r="16" ht="15"/>
    <row r="17" spans="1:1" ht="25.35" customHeight="1"/>
    <row r="18" spans="1:1" s="186" customFormat="1" ht="28.5">
      <c r="A18" s="185" t="str">
        <f>IF(Indice_index!$Z$1=1,"ANEXOS ESTATÍSTICOS","STATISTICAL ANNEXES 2025")</f>
        <v>ANEXOS ESTATÍSTICOS</v>
      </c>
    </row>
    <row r="19" spans="1:1" s="188" customFormat="1" ht="24">
      <c r="A19" s="187" t="str">
        <f>IF(Indice_index!$Z$1=1,"Agosto de 2025","August 2025")</f>
        <v>Agosto de 2025</v>
      </c>
    </row>
    <row r="20" spans="1:1" ht="15"/>
    <row r="21" spans="1:1" ht="15"/>
    <row r="22" spans="1:1" ht="15"/>
    <row r="23" spans="1:1" ht="15"/>
    <row r="24" spans="1:1" ht="15"/>
    <row r="25" spans="1:1" ht="15"/>
    <row r="26" spans="1:1" ht="15"/>
    <row r="27" spans="1:1" ht="15"/>
    <row r="28" spans="1:1" ht="15"/>
    <row r="29" spans="1:1" ht="15"/>
    <row r="30" spans="1:1" ht="15"/>
    <row r="31" spans="1:1" ht="15"/>
    <row r="32" spans="1:1" ht="15"/>
    <row r="33" ht="15"/>
    <row r="34" ht="15"/>
    <row r="35" ht="15"/>
    <row r="36" ht="15"/>
    <row r="37" ht="15"/>
    <row r="38" ht="15"/>
    <row r="39" ht="15"/>
    <row r="40" ht="15"/>
    <row r="54" ht="17.850000000000001" hidden="1" customHeight="1"/>
    <row r="55" ht="2.85" hidden="1" customHeight="1"/>
  </sheetData>
  <printOptions horizontalCentered="1"/>
  <pageMargins left="0.70866141732283472" right="0.70866141732283472" top="0.74803149606299213" bottom="0.74803149606299213" header="0.74803149606299213" footer="0.35433070866141736"/>
  <pageSetup paperSize="9" orientation="portrait" r:id="rId1"/>
  <headerFooter differentOddEven="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Folha13">
    <pageSetUpPr fitToPage="1"/>
  </sheetPr>
  <dimension ref="A1:O86"/>
  <sheetViews>
    <sheetView showGridLines="0" zoomScaleNormal="100" workbookViewId="0"/>
  </sheetViews>
  <sheetFormatPr defaultColWidth="0" defaultRowHeight="14.85" customHeight="1" zeroHeight="1"/>
  <cols>
    <col min="1" max="1" width="8.5703125" style="50" customWidth="1"/>
    <col min="2" max="2" width="44" style="31" customWidth="1"/>
    <col min="3" max="5" width="10.42578125" style="31" customWidth="1"/>
    <col min="6" max="9" width="10.42578125" style="50" customWidth="1"/>
    <col min="10" max="11" width="8.5703125" style="50" customWidth="1"/>
    <col min="12" max="12" width="8.5703125" style="50" hidden="1" customWidth="1"/>
    <col min="13" max="15" width="0" hidden="1" customWidth="1"/>
    <col min="16" max="16384" width="9.42578125" hidden="1"/>
  </cols>
  <sheetData>
    <row r="1" spans="1:12" ht="14.85" customHeight="1"/>
    <row r="2" spans="1:12" ht="15"/>
    <row r="3" spans="1:12" ht="15"/>
    <row r="4" spans="1:12" ht="15"/>
    <row r="5" spans="1:12" ht="18" customHeight="1">
      <c r="A5"/>
      <c r="B5" s="270" t="str">
        <f>IF(Indice_index!$Z$1=1,"ANEXOS ESTATÍSTICOS","STATISTICAL ANNEXES")</f>
        <v>ANEXOS ESTATÍSTICOS</v>
      </c>
      <c r="C5"/>
      <c r="D5"/>
      <c r="E5"/>
      <c r="F5"/>
      <c r="G5"/>
      <c r="H5"/>
      <c r="I5"/>
      <c r="J5"/>
      <c r="K5"/>
      <c r="L5"/>
    </row>
    <row r="6" spans="1:12" ht="18" customHeight="1">
      <c r="A6"/>
      <c r="B6" s="271" t="str">
        <f>IF(Indice_index!$Z$1=1,"Agosto de 2025","August 2025")</f>
        <v>Agosto de 2025</v>
      </c>
      <c r="C6"/>
      <c r="D6"/>
      <c r="E6"/>
      <c r="F6"/>
      <c r="G6"/>
      <c r="H6"/>
      <c r="I6"/>
      <c r="J6"/>
      <c r="K6"/>
      <c r="L6"/>
    </row>
    <row r="7" spans="1:12" ht="47.25" customHeight="1">
      <c r="B7" s="12"/>
      <c r="C7" s="13"/>
      <c r="D7" s="11"/>
      <c r="E7" s="11"/>
      <c r="F7" s="11"/>
      <c r="G7" s="11"/>
      <c r="H7" s="11"/>
      <c r="I7" s="11"/>
    </row>
    <row r="8" spans="1:12" ht="37.5" customHeight="1">
      <c r="B8" s="401" t="str">
        <f>IF(Indice_index!$Z$1=1,"Quadro 7 - Execução Orçamental dos Serviços e Fundos Autónomos (inclui Entidades Públicas Reclassificadas da Administração Central)","7 - Autonomous Services and Funds Budget Execution (including State Owned Enterprises)")</f>
        <v>Quadro 7 - Execução Orçamental dos Serviços e Fundos Autónomos (inclui Entidades Públicas Reclassificadas da Administração Central)</v>
      </c>
      <c r="C8" s="401"/>
      <c r="D8" s="401"/>
      <c r="E8" s="401"/>
      <c r="F8" s="401"/>
      <c r="G8" s="401"/>
      <c r="H8" s="401"/>
      <c r="I8" s="401"/>
    </row>
    <row r="9" spans="1:12" ht="15">
      <c r="B9" s="3" t="str">
        <f>+'3 - Conta AC + SS'!B9</f>
        <v>Período: janeiro a agosto</v>
      </c>
      <c r="C9" s="3"/>
      <c r="D9" s="3"/>
      <c r="E9" s="3"/>
      <c r="F9" s="3"/>
      <c r="G9" s="3"/>
      <c r="H9" s="3"/>
      <c r="I9" s="3" t="str">
        <f>IF(Indice_index!$Z$1=1,"€ Milhões","€ Millions")</f>
        <v>€ Milhões</v>
      </c>
    </row>
    <row r="10" spans="1:12"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2"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2" ht="14.1" customHeight="1">
      <c r="B12" s="174" t="str">
        <f>IF(Indice_index!$Z$1=1,"Receita corrente","Current revenue")</f>
        <v>Receita corrente</v>
      </c>
      <c r="C12" s="134">
        <f>SUM(C13:C24)-C13-C18</f>
        <v>41547.588935630018</v>
      </c>
      <c r="D12" s="134">
        <f>SUM(D13:D24)-D13-D18</f>
        <v>45875.084304000011</v>
      </c>
      <c r="E12" s="134">
        <f>SUM(E13:E24)-E13-E18</f>
        <v>26968.35066158999</v>
      </c>
      <c r="F12" s="134">
        <f>SUM(F13:F24)-F13-F18</f>
        <v>27588.894474700017</v>
      </c>
      <c r="G12" s="134">
        <f>IFERROR(IF(F12/D12*100&lt;-500,"-",IF(F12/D12*100&gt;500,"-",F12/D12*100)),"-")</f>
        <v>60.139168991771086</v>
      </c>
      <c r="H12" s="134">
        <f>IF(IFERROR((F12-E12)/E12*100,"")&gt;500,"-",IFERROR((F12-E12)/E12*100,""))</f>
        <v>2.301007654850189</v>
      </c>
      <c r="I12" s="134">
        <f t="shared" ref="I12:I23" si="0">IFERROR((F12-E12)/$E$34*100,"-")</f>
        <v>2.0980713006449414</v>
      </c>
    </row>
    <row r="13" spans="1:12" ht="14.1" customHeight="1">
      <c r="B13" s="125" t="str">
        <f>IF(Indice_index!$Z$1=1,"Receita fiscal","Tax")</f>
        <v>Receita fiscal</v>
      </c>
      <c r="C13" s="4">
        <f>C14+C15</f>
        <v>748.39725371999998</v>
      </c>
      <c r="D13" s="4">
        <f>D14+D15</f>
        <v>770.89572699999997</v>
      </c>
      <c r="E13" s="4">
        <f>E14+E15</f>
        <v>534.17711962999988</v>
      </c>
      <c r="F13" s="4">
        <f>F14+F15</f>
        <v>515.04318757999999</v>
      </c>
      <c r="G13" s="4">
        <f>IFERROR(IF(F13/D13*100&lt;-500,"-",IF(F13/D13*100&gt;500,"-",F13/D13*100)),"-")</f>
        <v>66.811005631634529</v>
      </c>
      <c r="H13" s="4">
        <f t="shared" ref="H13:H31" si="1">IF(IFERROR((F13-E13)/E13*100,"")&gt;500,"-",IFERROR((F13-E13)/E13*100,""))</f>
        <v>-3.5819452662542126</v>
      </c>
      <c r="I13" s="4">
        <f t="shared" si="0"/>
        <v>-6.4692214883910665E-2</v>
      </c>
    </row>
    <row r="14" spans="1:12" ht="13.5" customHeight="1">
      <c r="B14" s="172" t="str">
        <f>IF(Indice_index!$Z$1=1,"Impostos diretos","Direct taxes")</f>
        <v>Impostos diretos</v>
      </c>
      <c r="C14" s="4">
        <v>0</v>
      </c>
      <c r="D14" s="4">
        <v>0</v>
      </c>
      <c r="E14" s="4">
        <v>0</v>
      </c>
      <c r="F14" s="4">
        <v>0.40492279999999997</v>
      </c>
      <c r="G14" s="4" t="str">
        <f t="shared" ref="G14:G23" si="2">IFERROR(IF(F14/D14*100&lt;-500,"-",IF(F14/D14*100&gt;500,"-",F14/D14*100)),"-")</f>
        <v>-</v>
      </c>
      <c r="H14" s="4" t="str">
        <f t="shared" si="1"/>
        <v>-</v>
      </c>
      <c r="I14" s="4">
        <f t="shared" si="0"/>
        <v>1.3690522533759567E-3</v>
      </c>
    </row>
    <row r="15" spans="1:12" ht="14.1" customHeight="1">
      <c r="B15" s="172" t="str">
        <f>IF(Indice_index!$Z$1=1,"Impostos indiretos","Indirect taxes")</f>
        <v>Impostos indiretos</v>
      </c>
      <c r="C15" s="4">
        <v>748.39725371999998</v>
      </c>
      <c r="D15" s="4">
        <v>770.89572699999997</v>
      </c>
      <c r="E15" s="4">
        <v>534.17711962999988</v>
      </c>
      <c r="F15" s="4">
        <v>514.63826477999999</v>
      </c>
      <c r="G15" s="4">
        <f t="shared" si="2"/>
        <v>66.758479357870399</v>
      </c>
      <c r="H15" s="4">
        <f t="shared" si="1"/>
        <v>-3.657748363227082</v>
      </c>
      <c r="I15" s="4">
        <f t="shared" si="0"/>
        <v>-6.6061267137286647E-2</v>
      </c>
    </row>
    <row r="16" spans="1:12" ht="14.1" customHeight="1">
      <c r="B16" s="125" t="str">
        <f>IF(Indice_index!$Z$1=1,"Contribuições para Segurança Social, CGA e ADSE","Social security, CGA and ADSE contributions")</f>
        <v>Contribuições para Segurança Social, CGA e ADSE</v>
      </c>
      <c r="C16" s="4">
        <v>4405.6003662799994</v>
      </c>
      <c r="D16" s="4">
        <v>4371.3706160000002</v>
      </c>
      <c r="E16" s="4">
        <v>2797.1055429899998</v>
      </c>
      <c r="F16" s="4">
        <v>2898.7654446300007</v>
      </c>
      <c r="G16" s="4">
        <f t="shared" si="2"/>
        <v>66.31250697481471</v>
      </c>
      <c r="H16" s="4">
        <f t="shared" si="1"/>
        <v>3.6344678481931854</v>
      </c>
      <c r="I16" s="4">
        <f t="shared" si="0"/>
        <v>0.34371420285106552</v>
      </c>
    </row>
    <row r="17" spans="2:9" ht="14.1" customHeight="1">
      <c r="B17" s="125" t="str">
        <f>IF(Indice_index!$Z$1=1,"Taxas, multas e outras penalidades","Taxes, fines and other penalties")</f>
        <v>Taxas, multas e outras penalidades</v>
      </c>
      <c r="C17" s="4">
        <v>2633.6982574799995</v>
      </c>
      <c r="D17" s="4">
        <v>2634.0015749999998</v>
      </c>
      <c r="E17" s="4">
        <v>1671.8343657799992</v>
      </c>
      <c r="F17" s="4">
        <v>1677.151496819999</v>
      </c>
      <c r="G17" s="4">
        <f t="shared" si="2"/>
        <v>63.673139482462126</v>
      </c>
      <c r="H17" s="4">
        <f t="shared" si="1"/>
        <v>0.31804173600170604</v>
      </c>
      <c r="I17" s="4">
        <f t="shared" si="0"/>
        <v>1.7977328596480612E-2</v>
      </c>
    </row>
    <row r="18" spans="2:9" ht="14.1" customHeight="1">
      <c r="B18" s="125" t="str">
        <f>IF(Indice_index!$Z$1=1,"Transferências correntes","Current transfers")</f>
        <v>Transferências correntes</v>
      </c>
      <c r="C18" s="4">
        <f>SUM(C19:C22)</f>
        <v>29440.622677580006</v>
      </c>
      <c r="D18" s="4">
        <f>SUM(D19:D22)</f>
        <v>32265.040851999998</v>
      </c>
      <c r="E18" s="4">
        <f>SUM(E19:E22)</f>
        <v>19289.34728016</v>
      </c>
      <c r="F18" s="4">
        <f>SUM(F19:F22)</f>
        <v>19880.711134500005</v>
      </c>
      <c r="G18" s="4">
        <f t="shared" si="2"/>
        <v>61.616878855641268</v>
      </c>
      <c r="H18" s="4">
        <f t="shared" si="1"/>
        <v>3.0657535776145739</v>
      </c>
      <c r="I18" s="4">
        <f t="shared" si="0"/>
        <v>1.9994132643290883</v>
      </c>
    </row>
    <row r="19" spans="2:9" ht="14.1" customHeight="1">
      <c r="B19" s="172" t="str">
        <f>IF(Indice_index!$Z$1=1,"Administração Central","Central Administration")</f>
        <v>Administração Central</v>
      </c>
      <c r="C19" s="4">
        <v>26039.379240520004</v>
      </c>
      <c r="D19" s="4">
        <v>27056.390232999998</v>
      </c>
      <c r="E19" s="4">
        <v>17085.893359780002</v>
      </c>
      <c r="F19" s="4">
        <v>17704.658182510007</v>
      </c>
      <c r="G19" s="4">
        <f t="shared" si="2"/>
        <v>65.436142922406844</v>
      </c>
      <c r="H19" s="4">
        <f t="shared" si="1"/>
        <v>3.6214952867876979</v>
      </c>
      <c r="I19" s="4">
        <f t="shared" si="0"/>
        <v>2.0920564978516594</v>
      </c>
    </row>
    <row r="20" spans="2:9" ht="14.1" customHeight="1">
      <c r="B20" s="172" t="str">
        <f>IF(Indice_index!$Z$1=1,"Outros subsetores das Administrações Públicas","Other General Government subsectors")</f>
        <v>Outros subsetores das Administrações Públicas</v>
      </c>
      <c r="C20" s="4">
        <v>1927.2197637400022</v>
      </c>
      <c r="D20" s="4">
        <v>1972.4721519999985</v>
      </c>
      <c r="E20" s="4">
        <v>1276.27014844</v>
      </c>
      <c r="F20" s="4">
        <v>1300.5352596300002</v>
      </c>
      <c r="G20" s="4">
        <f t="shared" si="2"/>
        <v>65.934277364134928</v>
      </c>
      <c r="H20" s="4">
        <f t="shared" si="1"/>
        <v>1.9012519582675917</v>
      </c>
      <c r="I20" s="4">
        <f t="shared" si="0"/>
        <v>8.204083631024954E-2</v>
      </c>
    </row>
    <row r="21" spans="2:9" ht="14.1" customHeight="1">
      <c r="B21" s="172" t="str">
        <f>IF(Indice_index!$Z$1=1,"União Europeia","European Union")</f>
        <v>União Europeia</v>
      </c>
      <c r="C21" s="4">
        <v>1372.7859651000001</v>
      </c>
      <c r="D21" s="4">
        <v>3094.2810920000002</v>
      </c>
      <c r="E21" s="4">
        <v>862.76880622999977</v>
      </c>
      <c r="F21" s="4">
        <v>774.09301215979303</v>
      </c>
      <c r="G21" s="4">
        <f t="shared" si="2"/>
        <v>25.016893719227529</v>
      </c>
      <c r="H21" s="4">
        <f t="shared" si="1"/>
        <v>-10.278048236084146</v>
      </c>
      <c r="I21" s="4">
        <f t="shared" si="0"/>
        <v>-0.2998146700845663</v>
      </c>
    </row>
    <row r="22" spans="2:9" ht="14.1" customHeight="1">
      <c r="B22" s="172" t="str">
        <f>IF(Indice_index!$Z$1=1,"Outras transferências","Other transfers")</f>
        <v>Outras transferências</v>
      </c>
      <c r="C22" s="4">
        <v>101.23770822000006</v>
      </c>
      <c r="D22" s="4">
        <v>141.89737500000001</v>
      </c>
      <c r="E22" s="4">
        <v>64.414965710000502</v>
      </c>
      <c r="F22" s="4">
        <v>101.42468020020681</v>
      </c>
      <c r="G22" s="4">
        <f t="shared" si="2"/>
        <v>71.477488713379515</v>
      </c>
      <c r="H22" s="4">
        <f t="shared" si="1"/>
        <v>57.455148942911727</v>
      </c>
      <c r="I22" s="4">
        <f t="shared" si="0"/>
        <v>0.1251306002517461</v>
      </c>
    </row>
    <row r="23" spans="2:9" ht="14.1" customHeight="1">
      <c r="B23" s="125" t="str">
        <f>IF(Indice_index!$Z$1=1,"Outras receitas correntes","Other current revenue")</f>
        <v>Outras receitas correntes</v>
      </c>
      <c r="C23" s="4">
        <v>4279.2629859499984</v>
      </c>
      <c r="D23" s="4">
        <v>5792.971545999997</v>
      </c>
      <c r="E23" s="4">
        <v>2648.2036469799928</v>
      </c>
      <c r="F23" s="4">
        <v>2590.8076804100019</v>
      </c>
      <c r="G23" s="4">
        <f t="shared" si="2"/>
        <v>44.723293733402421</v>
      </c>
      <c r="H23" s="4">
        <f t="shared" si="1"/>
        <v>-2.1673547136544844</v>
      </c>
      <c r="I23" s="4">
        <f t="shared" si="0"/>
        <v>-0.19405693472271018</v>
      </c>
    </row>
    <row r="24" spans="2:9" ht="14.1" customHeight="1">
      <c r="B24" s="125" t="str">
        <f>IF(Indice_index!$Z$1=1,"Diferenças de consolidação","Consolidation differences")</f>
        <v>Diferenças de consolidação</v>
      </c>
      <c r="C24" s="4">
        <v>40.007394620004682</v>
      </c>
      <c r="D24" s="4">
        <v>40.803987999999904</v>
      </c>
      <c r="E24" s="4">
        <v>27.682706049996987</v>
      </c>
      <c r="F24" s="4">
        <v>26.415530759999161</v>
      </c>
      <c r="G24" s="4"/>
      <c r="H24" s="4"/>
      <c r="I24" s="4"/>
    </row>
    <row r="25" spans="2:9" ht="14.1" customHeight="1">
      <c r="B25" s="174" t="str">
        <f>IF(Indice_index!$Z$1=1,"Receita de capital","Capital revenue")</f>
        <v>Receita de capital</v>
      </c>
      <c r="C25" s="134">
        <f>SUM(C26:C33)-C27</f>
        <v>4683.992871270003</v>
      </c>
      <c r="D25" s="134">
        <f>SUM(D26:D33)-D27</f>
        <v>8142.8870349999988</v>
      </c>
      <c r="E25" s="134">
        <f>SUM(E26:E33)-E27</f>
        <v>2608.5189576300004</v>
      </c>
      <c r="F25" s="134">
        <f>SUM(F26:F33)-F27</f>
        <v>2793.3939552200009</v>
      </c>
      <c r="G25" s="134">
        <f t="shared" ref="G25:G32" si="3">IFERROR(IF(F25/D25*100&lt;-500,"-",IF(F25/D25*100&gt;500,"-",F25/D25*100)),"-")</f>
        <v>34.304712115166922</v>
      </c>
      <c r="H25" s="134">
        <f t="shared" si="1"/>
        <v>7.0873549547813424</v>
      </c>
      <c r="I25" s="134">
        <f t="shared" ref="I25:I32" si="4">IFERROR((F25-E25)/$E$34*100,"-")</f>
        <v>0.62506614111002068</v>
      </c>
    </row>
    <row r="26" spans="2:9" ht="14.1" customHeight="1">
      <c r="B26" s="125" t="str">
        <f>IF(Indice_index!$Z$1=1,"Venda de bens de investimento","Sale of investment goods")</f>
        <v>Venda de bens de investimento</v>
      </c>
      <c r="C26" s="4">
        <v>86.830863140000019</v>
      </c>
      <c r="D26" s="4">
        <v>509.14641</v>
      </c>
      <c r="E26" s="4">
        <v>55.769613419999999</v>
      </c>
      <c r="F26" s="4">
        <v>30.183190050000004</v>
      </c>
      <c r="G26" s="4">
        <f t="shared" si="3"/>
        <v>5.9281946130190732</v>
      </c>
      <c r="H26" s="4">
        <f t="shared" si="1"/>
        <v>-45.878789184549447</v>
      </c>
      <c r="I26" s="4">
        <f t="shared" si="4"/>
        <v>-8.6508219765668262E-2</v>
      </c>
    </row>
    <row r="27" spans="2:9" ht="14.1" customHeight="1">
      <c r="B27" s="125" t="str">
        <f>IF(Indice_index!$Z$1=1,"Transferências de capital","Capital transfers")</f>
        <v>Transferências de capital</v>
      </c>
      <c r="C27" s="4">
        <f>SUM(C28:C31)</f>
        <v>4577.7962886000014</v>
      </c>
      <c r="D27" s="4">
        <f>SUM(D28:D31)</f>
        <v>7586.6365240000005</v>
      </c>
      <c r="E27" s="4">
        <f>SUM(E28:E31)</f>
        <v>2535.9857840199998</v>
      </c>
      <c r="F27" s="4">
        <f>SUM(F28:F31)</f>
        <v>2652.2809359800003</v>
      </c>
      <c r="G27" s="4">
        <f t="shared" si="3"/>
        <v>34.959905191050382</v>
      </c>
      <c r="H27" s="4">
        <f t="shared" si="1"/>
        <v>4.5857966828051993</v>
      </c>
      <c r="I27" s="4">
        <f t="shared" si="4"/>
        <v>0.39319628296440234</v>
      </c>
    </row>
    <row r="28" spans="2:9" ht="14.1" customHeight="1">
      <c r="B28" s="172" t="str">
        <f>IF(Indice_index!$Z$1=1,"Administração Central","Central Administration")</f>
        <v>Administração Central</v>
      </c>
      <c r="C28" s="4">
        <v>2491.0919608600007</v>
      </c>
      <c r="D28" s="4">
        <v>3072.6969130000002</v>
      </c>
      <c r="E28" s="4">
        <v>1180.1816829799998</v>
      </c>
      <c r="F28" s="4">
        <v>1244.6979846900001</v>
      </c>
      <c r="G28" s="4">
        <f t="shared" si="3"/>
        <v>40.508322816478191</v>
      </c>
      <c r="H28" s="4">
        <f t="shared" si="1"/>
        <v>5.4666415044753478</v>
      </c>
      <c r="I28" s="4">
        <f t="shared" si="4"/>
        <v>0.21813093319407811</v>
      </c>
    </row>
    <row r="29" spans="2:9" ht="14.1" customHeight="1">
      <c r="B29" s="172" t="str">
        <f>IF(Indice_index!$Z$1=1,"Outros subsetores das Administrações Públicas","Other General Government subsectors")</f>
        <v>Outros subsetores das Administrações Públicas</v>
      </c>
      <c r="C29" s="4">
        <v>5.0007721000001766</v>
      </c>
      <c r="D29" s="4">
        <v>18.829494000000068</v>
      </c>
      <c r="E29" s="4">
        <v>4.0752542600000004</v>
      </c>
      <c r="F29" s="4">
        <v>4.291827210000001</v>
      </c>
      <c r="G29" s="4">
        <f t="shared" si="3"/>
        <v>22.793109628968178</v>
      </c>
      <c r="H29" s="4">
        <f t="shared" si="1"/>
        <v>5.3143420307718578</v>
      </c>
      <c r="I29" s="4">
        <f t="shared" si="4"/>
        <v>7.3223756532795714E-4</v>
      </c>
    </row>
    <row r="30" spans="2:9" ht="14.1" customHeight="1">
      <c r="B30" s="172" t="str">
        <f>IF(Indice_index!$Z$1=1,"União Europeia","European Union")</f>
        <v>União Europeia</v>
      </c>
      <c r="C30" s="4">
        <v>1919.0081530900009</v>
      </c>
      <c r="D30" s="4">
        <v>4423.3964939999996</v>
      </c>
      <c r="E30" s="4">
        <v>1300.0484933300002</v>
      </c>
      <c r="F30" s="4">
        <v>1334.7622847600001</v>
      </c>
      <c r="G30" s="4">
        <f t="shared" si="3"/>
        <v>30.175054091816172</v>
      </c>
      <c r="H30" s="4">
        <f t="shared" si="1"/>
        <v>2.6701920434585098</v>
      </c>
      <c r="I30" s="4">
        <f t="shared" si="4"/>
        <v>0.1173680375134824</v>
      </c>
    </row>
    <row r="31" spans="2:9" ht="14.1" customHeight="1">
      <c r="B31" s="172" t="str">
        <f>IF(Indice_index!$Z$1=1,"Outras transferências","Other transfers")</f>
        <v>Outras transferências</v>
      </c>
      <c r="C31" s="4">
        <v>162.69540255000015</v>
      </c>
      <c r="D31" s="4">
        <v>71.713623000000553</v>
      </c>
      <c r="E31" s="4">
        <v>51.680353449999984</v>
      </c>
      <c r="F31" s="4">
        <v>68.528839319999861</v>
      </c>
      <c r="G31" s="4">
        <f t="shared" si="3"/>
        <v>95.559025542468177</v>
      </c>
      <c r="H31" s="4">
        <f t="shared" si="1"/>
        <v>32.601336378824399</v>
      </c>
      <c r="I31" s="4">
        <f t="shared" si="4"/>
        <v>5.6965074691512296E-2</v>
      </c>
    </row>
    <row r="32" spans="2:9" ht="14.1" customHeight="1">
      <c r="B32" s="125" t="str">
        <f>IF(Indice_index!$Z$1=1,"Outras receitas de capital","Other capital revenue")</f>
        <v>Outras receitas de capital</v>
      </c>
      <c r="C32" s="4">
        <v>19.36571953</v>
      </c>
      <c r="D32" s="4">
        <v>7.7168200000000002</v>
      </c>
      <c r="E32" s="4">
        <v>16.76356019</v>
      </c>
      <c r="F32" s="4">
        <v>110.92982919000005</v>
      </c>
      <c r="G32" s="4" t="str">
        <f t="shared" si="3"/>
        <v>-</v>
      </c>
      <c r="H32" s="4" t="str">
        <f>IF(IFERROR((F32-E32)/E32*100,"")&gt;500,"-",IFERROR((F32-E32)/E32*100,""))</f>
        <v>-</v>
      </c>
      <c r="I32" s="4">
        <f t="shared" si="4"/>
        <v>0.31837807791128719</v>
      </c>
    </row>
    <row r="33" spans="2:9" ht="13.5" customHeight="1">
      <c r="B33" s="125" t="str">
        <f>IF(Indice_index!$Z$1=1,"Diferenças de consolidação","Consolidation differences")</f>
        <v>Diferenças de consolidação</v>
      </c>
      <c r="C33" s="4">
        <v>0</v>
      </c>
      <c r="D33" s="4">
        <v>39.38728100000003</v>
      </c>
      <c r="E33" s="4">
        <v>0</v>
      </c>
      <c r="F33" s="4">
        <v>0</v>
      </c>
      <c r="G33" s="4"/>
      <c r="H33" s="4"/>
      <c r="I33" s="4"/>
    </row>
    <row r="34" spans="2:9" ht="14.1" customHeight="1">
      <c r="B34" s="30" t="str">
        <f>IF(Indice_index!$Z$1=1,"Receita efetiva","Effective revenue")</f>
        <v>Receita efetiva</v>
      </c>
      <c r="C34" s="18">
        <f>C12+C25</f>
        <v>46231.581806900023</v>
      </c>
      <c r="D34" s="18">
        <f>D12+D25</f>
        <v>54017.971339000011</v>
      </c>
      <c r="E34" s="18">
        <f>E12+E25</f>
        <v>29576.86961921999</v>
      </c>
      <c r="F34" s="18">
        <f>F12+F25</f>
        <v>30382.288429920016</v>
      </c>
      <c r="G34" s="18">
        <f>IFERROR(IF(F34/D34*100&lt;-500,"-",IF(F34/D34*100&gt;500,"-",F34/D34*100)),"-")</f>
        <v>56.244778685319766</v>
      </c>
      <c r="H34" s="18">
        <f>IFERROR(IF(E34=0,"-",(F34-E34)/E34*100),"-")</f>
        <v>2.723137441754957</v>
      </c>
      <c r="I34" s="18"/>
    </row>
    <row r="35" spans="2:9" ht="14.1" customHeight="1">
      <c r="B35" s="174" t="str">
        <f>IF(Indice_index!$Z$1=1,"Despesa corrente","Current Expenditure")</f>
        <v>Despesa corrente</v>
      </c>
      <c r="C35" s="134">
        <f>SUM(C36:C49)-C36-C42</f>
        <v>41009.257416070002</v>
      </c>
      <c r="D35" s="134">
        <f>SUM(D36:D49)-D36-D42</f>
        <v>44474.669685999994</v>
      </c>
      <c r="E35" s="134">
        <f>SUM(E36:E49)-E36-E42</f>
        <v>24544.705139839985</v>
      </c>
      <c r="F35" s="134">
        <f>SUM(F36:F49)-F36-F42</f>
        <v>25463.025215369988</v>
      </c>
      <c r="G35" s="134">
        <f t="shared" ref="G35:G48" si="5">IFERROR(IF(F35/D35*100&lt;-500,"-",IF(F35/D35*100&gt;500,"-",F35/D35*100)),"-")</f>
        <v>57.25287089290152</v>
      </c>
      <c r="H35" s="134">
        <f t="shared" ref="H35:H57" si="6">IF(IFERROR((F35-E35)/E35*100,"")&gt;500,"-",IFERROR((F35-E35)/E35*100,""))</f>
        <v>3.7414182419304018</v>
      </c>
      <c r="I35" s="134">
        <f t="shared" ref="I35:I48" si="7">IFERROR((F35-E35)/$E$59*100,"-")</f>
        <v>3.3141097568903004</v>
      </c>
    </row>
    <row r="36" spans="2:9" ht="14.1" customHeight="1">
      <c r="B36" s="125" t="str">
        <f>IF(Indice_index!$Z$1=1,"Despesas com pessoal","Employees")</f>
        <v>Despesas com pessoal</v>
      </c>
      <c r="C36" s="4">
        <f>SUM(C37:C39)</f>
        <v>10614.955925639999</v>
      </c>
      <c r="D36" s="4">
        <f>SUM(D37:D39)</f>
        <v>11518.50438</v>
      </c>
      <c r="E36" s="4">
        <f>SUM(E37:E39)</f>
        <v>6703.889346459996</v>
      </c>
      <c r="F36" s="4">
        <f>SUM(F37:F39)</f>
        <v>7500.5903679399971</v>
      </c>
      <c r="G36" s="4">
        <f t="shared" si="5"/>
        <v>65.117745503170937</v>
      </c>
      <c r="H36" s="4">
        <f t="shared" si="6"/>
        <v>11.884161272749839</v>
      </c>
      <c r="I36" s="4">
        <f t="shared" si="7"/>
        <v>2.8752008139291498</v>
      </c>
    </row>
    <row r="37" spans="2:9" ht="14.1" customHeight="1">
      <c r="B37" s="172" t="str">
        <f>IF(Indice_index!$Z$1=1,"Remunerações certas e permanentes","Certain and permanent wages")</f>
        <v>Remunerações certas e permanentes</v>
      </c>
      <c r="C37" s="4">
        <v>7381.8549356099975</v>
      </c>
      <c r="D37" s="4">
        <v>8077.174309</v>
      </c>
      <c r="E37" s="4">
        <v>4680.3697019299962</v>
      </c>
      <c r="F37" s="4">
        <v>5228.2527663399969</v>
      </c>
      <c r="G37" s="4">
        <f t="shared" si="5"/>
        <v>64.728735153262832</v>
      </c>
      <c r="H37" s="4">
        <f t="shared" si="6"/>
        <v>11.705978358591542</v>
      </c>
      <c r="I37" s="4">
        <f t="shared" si="7"/>
        <v>1.9772459056263099</v>
      </c>
    </row>
    <row r="38" spans="2:9" ht="14.1" customHeight="1">
      <c r="B38" s="172" t="str">
        <f>IF(Indice_index!$Z$1=1,"Abonos variáveis ou eventuais","Variable or contingent bonuses")</f>
        <v>Abonos variáveis ou eventuais</v>
      </c>
      <c r="C38" s="4">
        <v>1223.8869367899999</v>
      </c>
      <c r="D38" s="4">
        <v>1255.8693450000001</v>
      </c>
      <c r="E38" s="4">
        <v>770.81843061000041</v>
      </c>
      <c r="F38" s="4">
        <v>885.56591841999989</v>
      </c>
      <c r="G38" s="4">
        <f t="shared" si="5"/>
        <v>70.514175853221403</v>
      </c>
      <c r="H38" s="4">
        <f t="shared" si="6"/>
        <v>14.886448384374006</v>
      </c>
      <c r="I38" s="4">
        <f t="shared" si="7"/>
        <v>0.41411026401692325</v>
      </c>
    </row>
    <row r="39" spans="2:9" ht="14.1" customHeight="1">
      <c r="B39" s="172" t="str">
        <f>IF(Indice_index!$Z$1=1,"Segurança Social","Social security")</f>
        <v>Segurança Social</v>
      </c>
      <c r="C39" s="4">
        <v>2009.2140532400008</v>
      </c>
      <c r="D39" s="4">
        <v>2185.4607259999998</v>
      </c>
      <c r="E39" s="4">
        <v>1252.7012139199999</v>
      </c>
      <c r="F39" s="4">
        <v>1386.7716831799999</v>
      </c>
      <c r="G39" s="4">
        <f t="shared" si="5"/>
        <v>63.454431675749092</v>
      </c>
      <c r="H39" s="4">
        <f t="shared" si="6"/>
        <v>10.702509726198924</v>
      </c>
      <c r="I39" s="4">
        <f t="shared" si="7"/>
        <v>0.48384464428591334</v>
      </c>
    </row>
    <row r="40" spans="2:9" ht="14.1" customHeight="1">
      <c r="B40" s="125" t="str">
        <f>IF(Indice_index!$Z$1=1,"Aquisição de bens e serviços","Purchase of goods and services")</f>
        <v>Aquisição de bens e serviços</v>
      </c>
      <c r="C40" s="4">
        <v>11885.123646250002</v>
      </c>
      <c r="D40" s="4">
        <v>12993.992391</v>
      </c>
      <c r="E40" s="4">
        <v>6673.6993548999963</v>
      </c>
      <c r="F40" s="4">
        <v>6755.1576750799977</v>
      </c>
      <c r="G40" s="4">
        <f t="shared" si="5"/>
        <v>51.98677567149268</v>
      </c>
      <c r="H40" s="4">
        <f t="shared" si="6"/>
        <v>1.2205872013127581</v>
      </c>
      <c r="I40" s="4">
        <f t="shared" si="7"/>
        <v>0.29397355114188295</v>
      </c>
    </row>
    <row r="41" spans="2:9" ht="14.1" customHeight="1">
      <c r="B41" s="125" t="str">
        <f>IF(Indice_index!$Z$1=1,"Juros e outros encargos","Interests")</f>
        <v>Juros e outros encargos</v>
      </c>
      <c r="C41" s="4">
        <v>294.29877177999998</v>
      </c>
      <c r="D41" s="4">
        <v>223.78935800000002</v>
      </c>
      <c r="E41" s="4">
        <v>154.53212823000004</v>
      </c>
      <c r="F41" s="4">
        <v>79.288715029999977</v>
      </c>
      <c r="G41" s="4">
        <f t="shared" si="5"/>
        <v>35.430065012296055</v>
      </c>
      <c r="H41" s="4">
        <f t="shared" si="6"/>
        <v>-48.691113014382672</v>
      </c>
      <c r="I41" s="4">
        <f t="shared" si="7"/>
        <v>-0.2715446786720081</v>
      </c>
    </row>
    <row r="42" spans="2:9" ht="14.1" customHeight="1">
      <c r="B42" s="125" t="str">
        <f>IF(Indice_index!$Z$1=1,"Transferências correntes","Current transfers")</f>
        <v>Transferências correntes</v>
      </c>
      <c r="C42" s="4">
        <f>SUM(C43:C46)</f>
        <v>16865.354570039999</v>
      </c>
      <c r="D42" s="295">
        <v>17651.017356</v>
      </c>
      <c r="E42" s="4">
        <f>SUM(E43:E46)</f>
        <v>10235.91368702</v>
      </c>
      <c r="F42" s="4">
        <f>SUM(F43:F46)</f>
        <v>10465.279783369999</v>
      </c>
      <c r="G42" s="4">
        <f t="shared" si="5"/>
        <v>59.289952371003707</v>
      </c>
      <c r="H42" s="4">
        <f t="shared" si="6"/>
        <v>2.2407974838714622</v>
      </c>
      <c r="I42" s="4">
        <f t="shared" si="7"/>
        <v>0.82775541782058892</v>
      </c>
    </row>
    <row r="43" spans="2:9" ht="14.1" customHeight="1">
      <c r="B43" s="172" t="str">
        <f>IF(Indice_index!$Z$1=1,"Administração Central","Central Administration")</f>
        <v>Administração Central</v>
      </c>
      <c r="C43" s="4">
        <v>668.88442459999999</v>
      </c>
      <c r="D43" s="4">
        <v>564.79004799999996</v>
      </c>
      <c r="E43" s="4">
        <v>335.57577368000017</v>
      </c>
      <c r="F43" s="4">
        <v>357.87975584000009</v>
      </c>
      <c r="G43" s="4">
        <f t="shared" si="5"/>
        <v>63.36509595154908</v>
      </c>
      <c r="H43" s="4">
        <f t="shared" si="6"/>
        <v>6.6464816322732077</v>
      </c>
      <c r="I43" s="4">
        <f t="shared" si="7"/>
        <v>8.0492463209302867E-2</v>
      </c>
    </row>
    <row r="44" spans="2:9" ht="14.1" customHeight="1">
      <c r="B44" s="172" t="str">
        <f>IF(Indice_index!$Z$1=1,"Outros subsetores das Administrações Públicas","Other General Government subsectors")</f>
        <v>Outros subsetores das Administrações Públicas</v>
      </c>
      <c r="C44" s="4">
        <v>1316.5443960799998</v>
      </c>
      <c r="D44" s="4">
        <v>1312.7454160000002</v>
      </c>
      <c r="E44" s="4">
        <v>725.43823267000016</v>
      </c>
      <c r="F44" s="4">
        <v>729.13522770000009</v>
      </c>
      <c r="G44" s="4">
        <f t="shared" si="5"/>
        <v>55.542774616704506</v>
      </c>
      <c r="H44" s="4">
        <f t="shared" si="6"/>
        <v>0.50962230325151303</v>
      </c>
      <c r="I44" s="4">
        <f t="shared" si="7"/>
        <v>1.3342022707089793E-2</v>
      </c>
    </row>
    <row r="45" spans="2:9" ht="14.1" customHeight="1">
      <c r="B45" s="172" t="str">
        <f>IF(Indice_index!$Z$1=1,"União Europeia","European Union")</f>
        <v>União Europeia</v>
      </c>
      <c r="C45" s="4">
        <v>48.890873840000005</v>
      </c>
      <c r="D45" s="4">
        <v>29.703375000000001</v>
      </c>
      <c r="E45" s="4">
        <v>23.303396899999999</v>
      </c>
      <c r="F45" s="4">
        <v>31.360322589999996</v>
      </c>
      <c r="G45" s="4">
        <f t="shared" si="5"/>
        <v>105.57831421513546</v>
      </c>
      <c r="H45" s="4">
        <f t="shared" si="6"/>
        <v>34.574039675734987</v>
      </c>
      <c r="I45" s="4">
        <f t="shared" si="7"/>
        <v>2.9076502573853122E-2</v>
      </c>
    </row>
    <row r="46" spans="2:9" ht="14.1" customHeight="1">
      <c r="B46" s="172" t="str">
        <f>IF(Indice_index!$Z$1=1,"Outras transferências","Other transfers")</f>
        <v>Outras transferências</v>
      </c>
      <c r="C46" s="4">
        <v>14831.034875519999</v>
      </c>
      <c r="D46" s="4">
        <v>15743.778517000001</v>
      </c>
      <c r="E46" s="4">
        <v>9151.596283769999</v>
      </c>
      <c r="F46" s="4">
        <v>9346.9044772399993</v>
      </c>
      <c r="G46" s="4">
        <f t="shared" si="5"/>
        <v>59.368876836950477</v>
      </c>
      <c r="H46" s="4">
        <f t="shared" si="6"/>
        <v>2.134143458845227</v>
      </c>
      <c r="I46" s="4">
        <f t="shared" si="7"/>
        <v>0.70484442933034819</v>
      </c>
    </row>
    <row r="47" spans="2:9" ht="14.1" customHeight="1">
      <c r="B47" s="125" t="str">
        <f>IF(Indice_index!$Z$1=1,"Subsídios","Subsidies")</f>
        <v>Subsídios</v>
      </c>
      <c r="C47" s="4">
        <v>747.01723293000009</v>
      </c>
      <c r="D47" s="4">
        <v>911.07138199999997</v>
      </c>
      <c r="E47" s="4">
        <v>471.21416364000004</v>
      </c>
      <c r="F47" s="4">
        <v>433.43358190000009</v>
      </c>
      <c r="G47" s="4">
        <f t="shared" si="5"/>
        <v>47.574052973601148</v>
      </c>
      <c r="H47" s="4">
        <f t="shared" si="6"/>
        <v>-8.0177092827930565</v>
      </c>
      <c r="I47" s="4">
        <f t="shared" si="7"/>
        <v>-0.13634570113613365</v>
      </c>
    </row>
    <row r="48" spans="2:9" ht="14.1" customHeight="1">
      <c r="B48" s="125" t="str">
        <f>IF(Indice_index!$Z$1=1,"Outras despesas correntes","Other current expenditure")</f>
        <v>Outras despesas correntes</v>
      </c>
      <c r="C48" s="4">
        <v>598.32831404000012</v>
      </c>
      <c r="D48" s="4">
        <v>1176.2656469999999</v>
      </c>
      <c r="E48" s="4">
        <v>305.4245770699996</v>
      </c>
      <c r="F48" s="4">
        <v>197.0095191800001</v>
      </c>
      <c r="G48" s="4">
        <f t="shared" si="5"/>
        <v>16.748726759338922</v>
      </c>
      <c r="H48" s="4">
        <f t="shared" si="6"/>
        <v>-35.49650749459893</v>
      </c>
      <c r="I48" s="4">
        <f t="shared" si="7"/>
        <v>-0.39125726500066643</v>
      </c>
    </row>
    <row r="49" spans="2:10" ht="14.1" customHeight="1">
      <c r="B49" s="125" t="str">
        <f>IF(Indice_index!$Z$1=1,"Diferenças de consolidação","Consolidation differences")</f>
        <v>Diferenças de consolidação</v>
      </c>
      <c r="C49" s="4">
        <v>4.1789553900008549</v>
      </c>
      <c r="D49" s="4">
        <v>2.9171999998652609E-2</v>
      </c>
      <c r="E49" s="4">
        <v>3.1882520000000004E-2</v>
      </c>
      <c r="F49" s="4">
        <v>32.265572869999914</v>
      </c>
      <c r="G49" s="4"/>
      <c r="H49" s="4"/>
      <c r="I49" s="4"/>
    </row>
    <row r="50" spans="2:10" ht="14.1" customHeight="1">
      <c r="B50" s="174" t="str">
        <f>IF(Indice_index!$Z$1=1,"Despesa de capital","Capital expenditure")</f>
        <v>Despesa de capital</v>
      </c>
      <c r="C50" s="134">
        <f>SUM(C51:C58)-C52</f>
        <v>5703.5535646500002</v>
      </c>
      <c r="D50" s="134">
        <f>SUM(D51:D58)-D52</f>
        <v>10448.961960999999</v>
      </c>
      <c r="E50" s="134">
        <f>SUM(E51:E58)-E52</f>
        <v>3164.6992822899997</v>
      </c>
      <c r="F50" s="134">
        <f>SUM(F51:F58)-F52</f>
        <v>3423.7488496699984</v>
      </c>
      <c r="G50" s="134">
        <f t="shared" ref="G50:G57" si="8">IFERROR(IF(F50/D50*100&lt;-500,"-",IF(F50/D50*100&gt;500,"-",F50/D50*100)),"-")</f>
        <v>32.766401700464556</v>
      </c>
      <c r="H50" s="134">
        <f t="shared" si="6"/>
        <v>8.1855981966333484</v>
      </c>
      <c r="I50" s="134">
        <f t="shared" ref="I50:I57" si="9">IFERROR((F50-E50)/$E$59*100,"-")</f>
        <v>0.93487959334524717</v>
      </c>
    </row>
    <row r="51" spans="2:10" ht="14.1" customHeight="1">
      <c r="B51" s="125" t="str">
        <f>IF(Indice_index!$Z$1=1,"Investimento","Investment")</f>
        <v>Investimento</v>
      </c>
      <c r="C51" s="4">
        <v>3524.8519545200002</v>
      </c>
      <c r="D51" s="4">
        <v>6646.1403879999998</v>
      </c>
      <c r="E51" s="4">
        <v>1972.9734882399996</v>
      </c>
      <c r="F51" s="4">
        <v>2038.9562403899988</v>
      </c>
      <c r="G51" s="4">
        <f t="shared" si="8"/>
        <v>30.678801851243691</v>
      </c>
      <c r="H51" s="4">
        <f t="shared" si="6"/>
        <v>3.3443303999416356</v>
      </c>
      <c r="I51" s="4">
        <f t="shared" si="9"/>
        <v>0.23812403595835646</v>
      </c>
    </row>
    <row r="52" spans="2:10" ht="14.1" customHeight="1">
      <c r="B52" s="125" t="str">
        <f>IF(Indice_index!$Z$1=1,"Transferências de capital","Capital transfers")</f>
        <v>Transferências de capital</v>
      </c>
      <c r="C52" s="4">
        <f>SUM(C53:C56)</f>
        <v>1843.6548075500002</v>
      </c>
      <c r="D52" s="4">
        <f>SUM(D53:D56)</f>
        <v>3550.7731269999999</v>
      </c>
      <c r="E52" s="4">
        <f>SUM(E53:E56)</f>
        <v>1020.93311632</v>
      </c>
      <c r="F52" s="4">
        <f>SUM(F53:F56)</f>
        <v>1253.8258004499999</v>
      </c>
      <c r="G52" s="4">
        <f t="shared" si="8"/>
        <v>35.3113464477901</v>
      </c>
      <c r="H52" s="4">
        <f t="shared" si="6"/>
        <v>22.81174745016326</v>
      </c>
      <c r="I52" s="4">
        <f t="shared" si="9"/>
        <v>0.84048246069122023</v>
      </c>
    </row>
    <row r="53" spans="2:10" ht="14.1" customHeight="1">
      <c r="B53" s="172" t="str">
        <f>IF(Indice_index!$Z$1=1,"Administração Central","Central Administration")</f>
        <v>Administração Central</v>
      </c>
      <c r="C53" s="4">
        <v>74.196512630000001</v>
      </c>
      <c r="D53" s="4">
        <v>38.902315999999999</v>
      </c>
      <c r="E53" s="4">
        <v>52.057419449999919</v>
      </c>
      <c r="F53" s="4">
        <v>81.286577839999794</v>
      </c>
      <c r="G53" s="4">
        <f t="shared" si="8"/>
        <v>208.95048469607772</v>
      </c>
      <c r="H53" s="4">
        <f t="shared" si="6"/>
        <v>56.147920313402935</v>
      </c>
      <c r="I53" s="4">
        <f t="shared" si="9"/>
        <v>0.10548461433785326</v>
      </c>
    </row>
    <row r="54" spans="2:10" ht="14.1" customHeight="1">
      <c r="B54" s="172" t="str">
        <f>IF(Indice_index!$Z$1=1,"Outros subsetores das Administrações Públicas","Other General Government subsectors")</f>
        <v>Outros subsetores das Administrações Públicas</v>
      </c>
      <c r="C54" s="4">
        <v>457.44581746000006</v>
      </c>
      <c r="D54" s="4">
        <v>781.26575899999989</v>
      </c>
      <c r="E54" s="4">
        <v>176.53066848999998</v>
      </c>
      <c r="F54" s="4">
        <v>312.77961909000004</v>
      </c>
      <c r="G54" s="4">
        <f t="shared" si="8"/>
        <v>40.034983677046071</v>
      </c>
      <c r="H54" s="4">
        <f t="shared" si="6"/>
        <v>77.181461875967585</v>
      </c>
      <c r="I54" s="4">
        <f t="shared" si="9"/>
        <v>0.49170652867293485</v>
      </c>
    </row>
    <row r="55" spans="2:10" ht="14.1" customHeight="1">
      <c r="B55" s="172" t="str">
        <f>IF(Indice_index!$Z$1=1,"União Europeia","European Union")</f>
        <v>União Europeia</v>
      </c>
      <c r="C55" s="4">
        <v>27.213382290000002</v>
      </c>
      <c r="D55" s="4">
        <v>1.7293229999999999</v>
      </c>
      <c r="E55" s="4">
        <v>22.177199269999999</v>
      </c>
      <c r="F55" s="4">
        <v>5.4940019999999999E-2</v>
      </c>
      <c r="G55" s="4">
        <f t="shared" si="8"/>
        <v>3.1769669402419329</v>
      </c>
      <c r="H55" s="4">
        <f t="shared" si="6"/>
        <v>-99.752267996823562</v>
      </c>
      <c r="I55" s="4">
        <f t="shared" si="9"/>
        <v>-7.983664647924428E-2</v>
      </c>
    </row>
    <row r="56" spans="2:10" ht="14.1" customHeight="1">
      <c r="B56" s="172" t="str">
        <f>IF(Indice_index!$Z$1=1,"Outras transferências","Other transfers")</f>
        <v>Outras transferências</v>
      </c>
      <c r="C56" s="4">
        <v>1284.7990951700001</v>
      </c>
      <c r="D56" s="4">
        <v>2728.8757289999999</v>
      </c>
      <c r="E56" s="4">
        <v>770.16782911000007</v>
      </c>
      <c r="F56" s="4">
        <v>859.70466349999992</v>
      </c>
      <c r="G56" s="4">
        <f t="shared" si="8"/>
        <v>31.503987314770093</v>
      </c>
      <c r="H56" s="4">
        <f t="shared" si="6"/>
        <v>11.625626390220416</v>
      </c>
      <c r="I56" s="4">
        <f t="shared" si="9"/>
        <v>0.32312796415967604</v>
      </c>
    </row>
    <row r="57" spans="2:10" ht="14.1" customHeight="1">
      <c r="B57" s="125" t="str">
        <f>IF(Indice_index!$Z$1=1,"Outras despesas de capital","Other capital expenditure")</f>
        <v>Outras despesas de capital</v>
      </c>
      <c r="C57" s="4">
        <v>313.02560989000006</v>
      </c>
      <c r="D57" s="4">
        <v>252.04844600000001</v>
      </c>
      <c r="E57" s="4">
        <v>121.15145853999999</v>
      </c>
      <c r="F57" s="4">
        <v>78.921365590000008</v>
      </c>
      <c r="G57" s="4">
        <f t="shared" si="8"/>
        <v>31.311982613850358</v>
      </c>
      <c r="H57" s="4">
        <f t="shared" si="6"/>
        <v>-34.857271599464134</v>
      </c>
      <c r="I57" s="4">
        <f t="shared" si="9"/>
        <v>-0.15240346673158059</v>
      </c>
    </row>
    <row r="58" spans="2:10" ht="14.1" customHeight="1">
      <c r="B58" s="125" t="str">
        <f>IF(Indice_index!$Z$1=1,"Diferenças de consolidação","Consolidation differences")</f>
        <v>Diferenças de consolidação</v>
      </c>
      <c r="C58" s="4">
        <v>22.021192690000021</v>
      </c>
      <c r="D58" s="4">
        <v>0</v>
      </c>
      <c r="E58" s="4">
        <v>49.641219189999816</v>
      </c>
      <c r="F58" s="4">
        <v>52.045443240000012</v>
      </c>
      <c r="G58" s="4"/>
      <c r="H58" s="4"/>
      <c r="I58" s="4"/>
    </row>
    <row r="59" spans="2:10" ht="14.1" customHeight="1">
      <c r="B59" s="30" t="str">
        <f>IF(Indice_index!$Z$1=1,"Despesa efetiva","Effective Expenditure")</f>
        <v>Despesa efetiva</v>
      </c>
      <c r="C59" s="18">
        <f>+C35+C50</f>
        <v>46712.810980720002</v>
      </c>
      <c r="D59" s="18">
        <f>+D35+D50</f>
        <v>54923.631646999995</v>
      </c>
      <c r="E59" s="18">
        <f>+E35+E50</f>
        <v>27709.404422129985</v>
      </c>
      <c r="F59" s="18">
        <f>+F35+F50</f>
        <v>28886.774065039986</v>
      </c>
      <c r="G59" s="18">
        <f>IFERROR(IF(F59/D59*100&lt;-500,"-",IF(F59/D59*100&gt;500,"-",F59/D59*100)),"-")</f>
        <v>52.594435580477175</v>
      </c>
      <c r="H59" s="18">
        <f>IFERROR(IF(E59=0,"-",(F59-E59)/E59*100),"-")</f>
        <v>4.2489893502355516</v>
      </c>
      <c r="I59" s="18"/>
    </row>
    <row r="60" spans="2:10" ht="14.1" customHeight="1">
      <c r="B60" s="30" t="str">
        <f>IF(Indice_index!$Z$1=1,"Saldo global","Overall Balance")</f>
        <v>Saldo global</v>
      </c>
      <c r="C60" s="18">
        <f>+(C12+C25)-(C35+C50)</f>
        <v>-481.22917381997831</v>
      </c>
      <c r="D60" s="18">
        <f>+(D12+D25)-(D35+D50)</f>
        <v>-905.66030799998407</v>
      </c>
      <c r="E60" s="18">
        <f>+(E12+E25)-(E35+E50)</f>
        <v>1867.4651970900049</v>
      </c>
      <c r="F60" s="18">
        <f>+(F12+F25)-(F35+F50)</f>
        <v>1495.5143648800295</v>
      </c>
      <c r="G60" s="18"/>
      <c r="H60" s="18"/>
      <c r="I60" s="18"/>
    </row>
    <row r="61" spans="2:10" ht="14.1" customHeight="1">
      <c r="B61" s="125" t="str">
        <f>IF(Indice_index!$Z$1=1,"Despesa primária","Primary Expenditure")</f>
        <v>Despesa primária</v>
      </c>
      <c r="C61" s="4">
        <f>C59-C41</f>
        <v>46418.512208940003</v>
      </c>
      <c r="D61" s="4">
        <f>D59-D41</f>
        <v>54699.842288999993</v>
      </c>
      <c r="E61" s="4">
        <f>E59-E41</f>
        <v>27554.872293899985</v>
      </c>
      <c r="F61" s="4">
        <f>F59-F41</f>
        <v>28807.485350009985</v>
      </c>
      <c r="G61" s="4">
        <f>IFERROR(IF(F61/D61*100&lt;-500,"-",IF(F61/D61*100&gt;500,"-",F61/D61*100)),"-")</f>
        <v>52.664658881115457</v>
      </c>
      <c r="H61" s="4">
        <f>IFERROR(IF(E61=0,"-",(F61-E61)/E61*100),"-")</f>
        <v>4.5458859063095698</v>
      </c>
      <c r="I61" s="4"/>
      <c r="J61" s="211"/>
    </row>
    <row r="62" spans="2:10" ht="14.1" customHeight="1">
      <c r="B62" s="125" t="str">
        <f>IF(Indice_index!$Z$1=1,"Saldo corrente","Current balance")</f>
        <v>Saldo corrente</v>
      </c>
      <c r="C62" s="4">
        <f>+C12-C35</f>
        <v>538.33151956001529</v>
      </c>
      <c r="D62" s="4">
        <f>+D12-D35</f>
        <v>1400.4146180000171</v>
      </c>
      <c r="E62" s="4">
        <f>+E12-E35</f>
        <v>2423.6455217500043</v>
      </c>
      <c r="F62" s="4">
        <f>+F12-F35</f>
        <v>2125.8692593300293</v>
      </c>
      <c r="G62" s="4"/>
      <c r="H62" s="4"/>
      <c r="I62" s="4"/>
    </row>
    <row r="63" spans="2:10" ht="14.1" customHeight="1">
      <c r="B63" s="125" t="str">
        <f>IF(Indice_index!$Z$1=1,"Saldo de capital","Capital balance")</f>
        <v>Saldo de capital</v>
      </c>
      <c r="C63" s="4">
        <f>C25-C50</f>
        <v>-1019.5606933799972</v>
      </c>
      <c r="D63" s="4">
        <f>D25-D50</f>
        <v>-2306.0749260000002</v>
      </c>
      <c r="E63" s="4">
        <f>E25-E50</f>
        <v>-556.18032465999931</v>
      </c>
      <c r="F63" s="4">
        <f>F25-F50</f>
        <v>-630.35489444999757</v>
      </c>
      <c r="G63" s="4"/>
      <c r="H63" s="4"/>
      <c r="I63" s="4"/>
    </row>
    <row r="64" spans="2:10" ht="14.1" customHeight="1">
      <c r="B64" s="125" t="str">
        <f>IF(Indice_index!$Z$1=1,"Saldo primário","Primary balance")</f>
        <v>Saldo primário</v>
      </c>
      <c r="C64" s="4">
        <f>C60+C41</f>
        <v>-186.93040203997833</v>
      </c>
      <c r="D64" s="4">
        <f>D60+D41</f>
        <v>-681.87094999998408</v>
      </c>
      <c r="E64" s="4">
        <f>E60+E41</f>
        <v>2021.9973253200051</v>
      </c>
      <c r="F64" s="4">
        <f>F60+F41</f>
        <v>1574.8030799100295</v>
      </c>
      <c r="G64" s="4"/>
      <c r="H64" s="4"/>
      <c r="I64" s="4"/>
    </row>
    <row r="65" spans="2:10" ht="14.1" customHeight="1">
      <c r="B65" s="125" t="str">
        <f>IF(Indice_index!$Z$1=1,"Ativos financeiros líquidos de reembolsos","Financial assets net of reimbursements")</f>
        <v>Ativos financeiros líquidos de reembolsos</v>
      </c>
      <c r="C65" s="4">
        <v>2302.0158354600026</v>
      </c>
      <c r="D65" s="4">
        <v>1634.5279599999994</v>
      </c>
      <c r="E65" s="4">
        <v>-2358.3170231900003</v>
      </c>
      <c r="F65" s="4">
        <v>-4658.8907013400003</v>
      </c>
      <c r="G65" s="4"/>
      <c r="H65" s="4"/>
      <c r="I65" s="4"/>
    </row>
    <row r="66" spans="2:10" ht="14.1" customHeight="1">
      <c r="B66" s="297" t="str">
        <f>IF(Indice_index!$Z$1=1,"dos quais Receitas de:","of which revenue from:")</f>
        <v>dos quais Receitas de:</v>
      </c>
      <c r="C66" s="4"/>
      <c r="D66" s="4"/>
      <c r="E66" s="4"/>
      <c r="F66" s="4"/>
      <c r="G66" s="4"/>
      <c r="H66" s="4"/>
      <c r="I66" s="4"/>
    </row>
    <row r="67" spans="2:10" ht="15.75" customHeight="1">
      <c r="B67" s="172" t="str">
        <f>IF(Indice_index!$Z$1=1,"Alienação de partes de Capital","Disposal of Capital Shares")</f>
        <v>Alienação de partes de Capital</v>
      </c>
      <c r="C67" s="4"/>
      <c r="D67" s="4"/>
      <c r="E67" s="4">
        <v>0</v>
      </c>
      <c r="F67" s="4">
        <v>0</v>
      </c>
      <c r="G67" s="4"/>
      <c r="H67" s="4"/>
      <c r="I67" s="4"/>
    </row>
    <row r="68" spans="2:10" ht="12.75" customHeight="1">
      <c r="B68" s="172" t="str">
        <f>IF(Indice_index!$Z$1=1,"Outros ativos","Other Assets")</f>
        <v>Outros ativos</v>
      </c>
      <c r="C68" s="4">
        <v>9489.843074659997</v>
      </c>
      <c r="D68" s="4">
        <v>11890.610206000001</v>
      </c>
      <c r="E68" s="4">
        <v>7376.1417725399988</v>
      </c>
      <c r="F68" s="4">
        <v>8302.9646052900007</v>
      </c>
      <c r="G68" s="4"/>
      <c r="H68" s="4">
        <f>IF(IFERROR((F68-E68)/E68*100,"")&gt;500,"-",IFERROR((F68-E68)/E68*100,""))</f>
        <v>12.565143964564109</v>
      </c>
      <c r="I68" s="4"/>
    </row>
    <row r="69" spans="2:10" ht="13.5" customHeight="1">
      <c r="B69" s="125" t="str">
        <f>IF(Indice_index!$Z$1=1,"Passivos financeiros líquidos de amortizações","Financial liabilities net of amortizations")</f>
        <v>Passivos financeiros líquidos de amortizações</v>
      </c>
      <c r="C69" s="4">
        <v>2852.2861815299998</v>
      </c>
      <c r="D69" s="4">
        <v>3012.0363579999994</v>
      </c>
      <c r="E69" s="4">
        <v>1427.6024432799995</v>
      </c>
      <c r="F69" s="4">
        <v>1355.1314767600004</v>
      </c>
      <c r="G69" s="4"/>
      <c r="H69" s="4"/>
      <c r="I69" s="4"/>
    </row>
    <row r="70" spans="2:10" ht="13.5" customHeight="1">
      <c r="B70" s="173" t="str">
        <f>IF(Indice_index!$Z$1=1,"Poupança (+) / Utilização (-) de saldo da gerência anterior","Saving (+) / Usage (-) of balance from previous management")</f>
        <v>Poupança (+) / Utilização (-) de saldo da gerência anterior</v>
      </c>
      <c r="C70" s="19">
        <f>C60-C65+C69</f>
        <v>69.041172250018917</v>
      </c>
      <c r="D70" s="19">
        <f>D60-D65+D69</f>
        <v>471.84809000001587</v>
      </c>
      <c r="E70" s="19">
        <f>E60-E65+E69</f>
        <v>5653.3846635600048</v>
      </c>
      <c r="F70" s="19">
        <f>F60-F65+F69</f>
        <v>7509.5365429800304</v>
      </c>
      <c r="G70" s="19"/>
      <c r="H70" s="19"/>
      <c r="I70" s="19"/>
    </row>
    <row r="71" spans="2:10" ht="15">
      <c r="B71" s="9" t="str">
        <f>IF(Indice_index!$Z$1=1,"Notas:","Notes:")</f>
        <v>Notas:</v>
      </c>
      <c r="C71" s="9"/>
      <c r="D71" s="9"/>
      <c r="E71" s="9"/>
      <c r="F71" s="9"/>
      <c r="G71" s="9"/>
      <c r="H71" s="9"/>
      <c r="I71" s="9"/>
    </row>
    <row r="72" spans="2:10" ht="15">
      <c r="B72" s="392" t="str">
        <f>+'3 - Conta AC + SS'!$B$61</f>
        <v>Os dados de 2024 são mensalmente revistos e atualizados face ao publicado nas Sínteses de Execução Orçamental de 2024.</v>
      </c>
      <c r="C72" s="392"/>
      <c r="D72" s="392"/>
      <c r="E72" s="392"/>
      <c r="F72" s="392"/>
      <c r="G72" s="392"/>
      <c r="H72" s="392"/>
      <c r="I72" s="392"/>
    </row>
    <row r="73" spans="2:10" ht="15">
      <c r="B73" s="396" t="str">
        <f>IF(Indice_index!$Z$1=1,"Entidades em incumprimento no reporte da execução orçamental no mês em análise:","Non reporting entities are identified below:")</f>
        <v>Entidades em incumprimento no reporte da execução orçamental no mês em análise:</v>
      </c>
      <c r="C73" s="396"/>
      <c r="D73" s="396"/>
      <c r="E73" s="396"/>
      <c r="F73" s="396"/>
      <c r="G73" s="396"/>
      <c r="H73" s="396"/>
      <c r="I73" s="396"/>
    </row>
    <row r="74" spans="2:10" ht="15">
      <c r="B74" s="262" t="s">
        <v>532</v>
      </c>
      <c r="C74" s="263"/>
      <c r="D74" s="263"/>
      <c r="E74" s="264"/>
      <c r="F74" s="264"/>
      <c r="G74" s="264"/>
      <c r="H74" s="264"/>
      <c r="I74" s="264"/>
    </row>
    <row r="75" spans="2:10" ht="35.25" customHeight="1">
      <c r="B75" s="400" t="s">
        <v>634</v>
      </c>
      <c r="C75" s="400"/>
      <c r="D75" s="400"/>
      <c r="E75" s="400"/>
      <c r="F75" s="400"/>
      <c r="G75" s="400"/>
      <c r="H75" s="400"/>
      <c r="I75" s="400"/>
    </row>
    <row r="76" spans="2:10" ht="24.75" customHeight="1">
      <c r="B76" s="399" t="str">
        <f>+'8 - EPR'!B76:I76</f>
        <v>Para as entidades identificadas considera-se na execução orçamental uma estimativa de execução para os meses em falta, a qual corresponde a um duodécimo do orçamento aprovado abatido dos cativos previstos na lei do OE2025 (Lei n.º 45-A/2024​, de 31 de dezembro).</v>
      </c>
      <c r="C76" s="399"/>
      <c r="D76" s="399"/>
      <c r="E76" s="399"/>
      <c r="F76" s="399"/>
      <c r="G76" s="399"/>
      <c r="H76" s="399"/>
      <c r="I76" s="399"/>
    </row>
    <row r="77" spans="2:10" ht="15">
      <c r="B77" s="399" t="str">
        <f>+'8 - EPR'!B77:I77</f>
        <v>Esta estimativa apenas é utilizada para os meses em que haja falta de reporte. Nos restantes meses, é utilizada a informação efetivamente reportada pelas entidades.</v>
      </c>
      <c r="C77" s="399"/>
      <c r="D77" s="399"/>
      <c r="E77" s="399"/>
      <c r="F77" s="399"/>
      <c r="G77" s="399"/>
      <c r="H77" s="399"/>
      <c r="I77" s="399"/>
    </row>
    <row r="78" spans="2:10" ht="15">
      <c r="B78" s="147" t="str">
        <f>IF(Indice_index!$Z$1=1,"Fonte: Entidade Orçamental.","Source: Budgetary Entity.")</f>
        <v>Fonte: Entidade Orçamental.</v>
      </c>
      <c r="C78" s="148"/>
      <c r="D78" s="148"/>
      <c r="E78" s="59"/>
      <c r="F78" s="149"/>
      <c r="G78" s="60"/>
      <c r="H78" s="52"/>
      <c r="I78" s="52"/>
    </row>
    <row r="79" spans="2:10" ht="14.85" customHeight="1"/>
    <row r="80" spans="2:10" ht="15" hidden="1">
      <c r="B80" s="397"/>
      <c r="C80" s="397"/>
      <c r="D80" s="397"/>
      <c r="E80" s="397"/>
      <c r="F80" s="397"/>
      <c r="G80" s="397"/>
      <c r="H80" s="397"/>
      <c r="I80" s="397"/>
      <c r="J80" s="397"/>
    </row>
    <row r="81" spans="2:10" ht="15" hidden="1">
      <c r="B81" s="397"/>
      <c r="C81" s="397"/>
      <c r="D81" s="397"/>
      <c r="E81" s="397"/>
      <c r="F81" s="397"/>
      <c r="G81" s="397"/>
      <c r="H81" s="397"/>
      <c r="I81" s="397"/>
      <c r="J81" s="397"/>
    </row>
    <row r="82" spans="2:10" ht="15" hidden="1">
      <c r="B82" s="398"/>
      <c r="C82" s="398"/>
      <c r="D82" s="398"/>
      <c r="E82" s="398"/>
      <c r="F82" s="398"/>
      <c r="G82" s="398"/>
      <c r="H82" s="398"/>
      <c r="I82" s="398"/>
      <c r="J82" s="398"/>
    </row>
    <row r="83" spans="2:10" ht="15" hidden="1">
      <c r="B83" s="398"/>
      <c r="C83" s="398"/>
      <c r="D83" s="398"/>
      <c r="E83" s="398"/>
      <c r="F83" s="398"/>
      <c r="G83" s="398"/>
      <c r="H83" s="398"/>
      <c r="I83" s="398"/>
      <c r="J83" s="398"/>
    </row>
    <row r="84" spans="2:10" ht="15" hidden="1">
      <c r="B84" s="397"/>
      <c r="C84" s="397"/>
      <c r="D84" s="397"/>
      <c r="E84" s="397"/>
      <c r="F84" s="397"/>
      <c r="G84" s="397"/>
      <c r="H84" s="397"/>
      <c r="I84" s="397"/>
      <c r="J84" s="397"/>
    </row>
    <row r="85" spans="2:10" ht="15" hidden="1">
      <c r="B85" s="397"/>
      <c r="C85" s="397"/>
      <c r="D85" s="397"/>
      <c r="E85" s="397"/>
      <c r="F85" s="397"/>
      <c r="G85" s="397"/>
      <c r="H85" s="397"/>
      <c r="I85" s="397"/>
      <c r="J85" s="397"/>
    </row>
    <row r="86" spans="2:10" ht="15" hidden="1">
      <c r="B86" s="398"/>
      <c r="C86" s="398"/>
      <c r="D86" s="398"/>
      <c r="E86" s="398"/>
      <c r="F86" s="398"/>
      <c r="G86" s="398"/>
      <c r="H86" s="398"/>
      <c r="I86" s="398"/>
      <c r="J86" s="398"/>
    </row>
  </sheetData>
  <mergeCells count="16">
    <mergeCell ref="B8:I8"/>
    <mergeCell ref="B10:B11"/>
    <mergeCell ref="E10:F10"/>
    <mergeCell ref="H10:I10"/>
    <mergeCell ref="B72:I72"/>
    <mergeCell ref="B73:I73"/>
    <mergeCell ref="B84:J84"/>
    <mergeCell ref="B85:J85"/>
    <mergeCell ref="B86:J86"/>
    <mergeCell ref="B76:I76"/>
    <mergeCell ref="B77:I77"/>
    <mergeCell ref="B80:J80"/>
    <mergeCell ref="B81:J81"/>
    <mergeCell ref="B82:J82"/>
    <mergeCell ref="B83:J83"/>
    <mergeCell ref="B75:I75"/>
  </mergeCells>
  <conditionalFormatting sqref="C12:D33 G12:I33">
    <cfRule type="cellIs" dxfId="61" priority="8" operator="equal">
      <formula>0</formula>
    </cfRule>
  </conditionalFormatting>
  <conditionalFormatting sqref="C35:D58 G35:I58">
    <cfRule type="cellIs" dxfId="60" priority="9" operator="equal">
      <formula>0</formula>
    </cfRule>
  </conditionalFormatting>
  <conditionalFormatting sqref="C61:D70 G61:I70">
    <cfRule type="cellIs" dxfId="59" priority="7" operator="equal">
      <formula>0</formula>
    </cfRule>
  </conditionalFormatting>
  <conditionalFormatting sqref="E12:F33">
    <cfRule type="cellIs" dxfId="58" priority="2" operator="equal">
      <formula>0</formula>
    </cfRule>
  </conditionalFormatting>
  <conditionalFormatting sqref="E35:F58">
    <cfRule type="cellIs" dxfId="57" priority="3" operator="equal">
      <formula>0</formula>
    </cfRule>
  </conditionalFormatting>
  <conditionalFormatting sqref="E61:F70">
    <cfRule type="cellIs" dxfId="56" priority="1"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D25 C27:D27 D34:D36 C42 D50 C52:D52 C59:D64 D70 C36 E18:F18 E27:F27 E36:F36 E42:F42 E52:F52" formulaRange="1"/>
    <ignoredError sqref="B74" numberStoredAsText="1"/>
  </ignoredError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Folha14">
    <pageSetUpPr fitToPage="1"/>
  </sheetPr>
  <dimension ref="A1:O99"/>
  <sheetViews>
    <sheetView showGridLines="0" zoomScaleNormal="100" workbookViewId="0"/>
  </sheetViews>
  <sheetFormatPr defaultColWidth="0" defaultRowHeight="14.85" customHeight="1" zeroHeight="1"/>
  <cols>
    <col min="1" max="1" width="8.5703125" style="64" customWidth="1"/>
    <col min="2" max="2" width="44.5703125" style="31" customWidth="1"/>
    <col min="3" max="4" width="10.42578125" style="31" customWidth="1"/>
    <col min="5" max="5" width="10.42578125" style="65" customWidth="1"/>
    <col min="6" max="6" width="10.42578125" style="31" customWidth="1"/>
    <col min="7" max="9" width="10.42578125" style="50" customWidth="1"/>
    <col min="10" max="10" width="8.5703125" style="64" customWidth="1"/>
    <col min="11" max="15" width="0" hidden="1" customWidth="1"/>
    <col min="16" max="16384" width="9.42578125" hidden="1"/>
  </cols>
  <sheetData>
    <row r="1" spans="1:10" ht="14.85" customHeight="1"/>
    <row r="2" spans="1:10" ht="15"/>
    <row r="3" spans="1:10" ht="15"/>
    <row r="4" spans="1:10" ht="15"/>
    <row r="5" spans="1:10" ht="18" customHeight="1">
      <c r="A5"/>
      <c r="B5" s="270" t="str">
        <f>IF(Indice_index!$Z$1=1,"ANEXOS ESTATÍSTICOS","STATISTICAL ANNEXES")</f>
        <v>ANEXOS ESTATÍSTICOS</v>
      </c>
      <c r="C5"/>
      <c r="D5"/>
      <c r="E5"/>
      <c r="F5"/>
      <c r="G5"/>
      <c r="H5"/>
      <c r="I5"/>
      <c r="J5"/>
    </row>
    <row r="6" spans="1:10" ht="18" customHeight="1">
      <c r="A6"/>
      <c r="B6" s="271" t="str">
        <f>IF(Indice_index!$Z$1=1,"Agosto de 2025","August 2025")</f>
        <v>Agosto de 2025</v>
      </c>
      <c r="C6"/>
      <c r="D6"/>
      <c r="E6"/>
      <c r="F6"/>
      <c r="G6"/>
      <c r="H6"/>
      <c r="I6"/>
      <c r="J6"/>
    </row>
    <row r="7" spans="1:10" ht="50.1" customHeight="1">
      <c r="B7" s="12"/>
      <c r="C7" s="13"/>
      <c r="D7" s="11"/>
      <c r="E7" s="11"/>
      <c r="F7" s="11"/>
      <c r="G7" s="11"/>
      <c r="H7" s="11"/>
      <c r="I7" s="11"/>
      <c r="J7" s="11"/>
    </row>
    <row r="8" spans="1:10" ht="15.75">
      <c r="B8" s="1" t="str">
        <f>IF(Indice_index!$Z$1=1,"Quadro 8 - Execução Orçamental das Entidades Públicas Reclassificadas da Administração Central","8 - State Owned Enterprises Budget Execution")</f>
        <v>Quadro 8 - Execução Orçamental das Entidades Públicas Reclassificadas da Administração Central</v>
      </c>
      <c r="C8" s="2"/>
      <c r="D8" s="2"/>
      <c r="E8" s="2"/>
      <c r="F8" s="2"/>
      <c r="G8" s="2"/>
      <c r="H8" s="2"/>
      <c r="I8" s="2"/>
      <c r="J8" s="2"/>
    </row>
    <row r="9" spans="1:10" ht="15">
      <c r="B9" s="3" t="str">
        <f>+'3 - Conta AC + SS'!B9</f>
        <v>Período: janeiro a agosto</v>
      </c>
      <c r="C9" s="3"/>
      <c r="D9" s="3"/>
      <c r="E9" s="3"/>
      <c r="F9" s="3"/>
      <c r="G9" s="3"/>
      <c r="H9" s="3"/>
      <c r="I9" s="3" t="str">
        <f>IF(Indice_index!$Z$1=1,"€ Milhões","€ Millions")</f>
        <v>€ Milhões</v>
      </c>
      <c r="J9" s="3"/>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134">
        <f>SUM(C13:C24)-C13-C18</f>
        <v>15705.271392779994</v>
      </c>
      <c r="D12" s="134">
        <f>SUM(D13:D24)-D13-D18</f>
        <v>18484.217224999997</v>
      </c>
      <c r="E12" s="134">
        <f>SUM(E13:E24)-E13-E18</f>
        <v>9909.4621131399981</v>
      </c>
      <c r="F12" s="134">
        <f>SUM(F13:F24)-F13-F18</f>
        <v>11396.775417369998</v>
      </c>
      <c r="G12" s="134">
        <f t="shared" ref="G12:G23" si="0">IFERROR(IF(F12/D12*100&lt;-500,"-",IF(F12/D12*100&gt;500,"-",F12/D12*100)),"-")</f>
        <v>61.6567922711696</v>
      </c>
      <c r="H12" s="134">
        <f>IF(IFERROR((F12-E12)/E12*100,"")&gt;500,"-",IFERROR((F12-E12)/E12*100,""))</f>
        <v>15.009021551813738</v>
      </c>
      <c r="I12" s="134">
        <f t="shared" ref="I12:I23" si="1">IFERROR((F12-E12)/$E$34*100,"-")</f>
        <v>13.582529719103922</v>
      </c>
      <c r="J12" s="57"/>
    </row>
    <row r="13" spans="1:10" ht="14.1" customHeight="1">
      <c r="B13" s="125" t="str">
        <f>IF(Indice_index!$Z$1=1,"Receita fiscal","Tax")</f>
        <v>Receita fiscal</v>
      </c>
      <c r="C13" s="4">
        <f>C14+C15</f>
        <v>193.32896718000001</v>
      </c>
      <c r="D13" s="4">
        <f>D14+D15</f>
        <v>200.68767199999999</v>
      </c>
      <c r="E13" s="4">
        <f>E14+E15</f>
        <v>146.66271599999999</v>
      </c>
      <c r="F13" s="4">
        <f>F14+F15</f>
        <v>138.9325168</v>
      </c>
      <c r="G13" s="4">
        <f t="shared" si="0"/>
        <v>69.228226833983115</v>
      </c>
      <c r="H13" s="4">
        <f t="shared" ref="H13:H32" si="2">IF(IFERROR((F13-E13)/E13*100,"")&gt;500,"-",IFERROR((F13-E13)/E13*100,""))</f>
        <v>-5.2707323379992417</v>
      </c>
      <c r="I13" s="4">
        <f t="shared" si="1"/>
        <v>-7.0594178153304918E-2</v>
      </c>
      <c r="J13" s="50"/>
    </row>
    <row r="14" spans="1:10" ht="13.5" customHeight="1">
      <c r="B14" s="172" t="str">
        <f>IF(Indice_index!$Z$1=1,"Impostos diretos","Direct taxes")</f>
        <v>Impostos diretos</v>
      </c>
      <c r="C14" s="4">
        <v>0</v>
      </c>
      <c r="D14" s="4">
        <v>0</v>
      </c>
      <c r="E14" s="4">
        <v>0</v>
      </c>
      <c r="F14" s="4">
        <v>0.40492279999999997</v>
      </c>
      <c r="G14" s="4" t="str">
        <f t="shared" si="0"/>
        <v>-</v>
      </c>
      <c r="H14" s="4" t="str">
        <f t="shared" si="2"/>
        <v>-</v>
      </c>
      <c r="I14" s="4">
        <f t="shared" si="1"/>
        <v>3.6978597241756847E-3</v>
      </c>
      <c r="J14" s="50"/>
    </row>
    <row r="15" spans="1:10" ht="14.1" customHeight="1">
      <c r="B15" s="172" t="str">
        <f>IF(Indice_index!$Z$1=1,"Impostos indiretos","Indirect taxes")</f>
        <v>Impostos indiretos</v>
      </c>
      <c r="C15" s="4">
        <v>193.32896718000001</v>
      </c>
      <c r="D15" s="4">
        <v>200.68767199999999</v>
      </c>
      <c r="E15" s="4">
        <v>146.66271599999999</v>
      </c>
      <c r="F15" s="4">
        <v>138.52759399999999</v>
      </c>
      <c r="G15" s="4">
        <f t="shared" si="0"/>
        <v>69.026459183800782</v>
      </c>
      <c r="H15" s="4">
        <f t="shared" si="2"/>
        <v>-5.5468235021639698</v>
      </c>
      <c r="I15" s="4">
        <f t="shared" si="1"/>
        <v>-7.4292037877480677E-2</v>
      </c>
      <c r="J15" s="50"/>
    </row>
    <row r="16" spans="1:10" ht="15">
      <c r="B16" s="125" t="str">
        <f>IF(Indice_index!$Z$1=1,"Contribuições para Segurança Social, CGA e ADSE","Social security, CGA and ADSE contributions")</f>
        <v>Contribuições para Segurança Social, CGA e ADSE</v>
      </c>
      <c r="C16" s="4">
        <v>0</v>
      </c>
      <c r="D16" s="4">
        <v>0</v>
      </c>
      <c r="E16" s="4">
        <v>0</v>
      </c>
      <c r="F16" s="4">
        <v>0</v>
      </c>
      <c r="G16" s="4" t="str">
        <f t="shared" si="0"/>
        <v>-</v>
      </c>
      <c r="H16" s="4" t="str">
        <f t="shared" si="2"/>
        <v>-</v>
      </c>
      <c r="I16" s="4">
        <f t="shared" si="1"/>
        <v>0</v>
      </c>
      <c r="J16" s="50"/>
    </row>
    <row r="17" spans="2:10" ht="14.1" customHeight="1">
      <c r="B17" s="125" t="str">
        <f>IF(Indice_index!$Z$1=1,"Taxas, multas e outras penalidades","Taxes, fines and other penalties")</f>
        <v>Taxas, multas e outras penalidades</v>
      </c>
      <c r="C17" s="4">
        <v>520.56976257999997</v>
      </c>
      <c r="D17" s="4">
        <v>426.40778899999998</v>
      </c>
      <c r="E17" s="4">
        <v>335.45493165999989</v>
      </c>
      <c r="F17" s="4">
        <v>268.46435291999995</v>
      </c>
      <c r="G17" s="4">
        <f t="shared" si="0"/>
        <v>62.959533068004056</v>
      </c>
      <c r="H17" s="4">
        <f t="shared" si="2"/>
        <v>-19.970068231966906</v>
      </c>
      <c r="I17" s="4">
        <f t="shared" si="1"/>
        <v>-0.61177528907205436</v>
      </c>
      <c r="J17" s="50"/>
    </row>
    <row r="18" spans="2:10" ht="14.1" customHeight="1">
      <c r="B18" s="125" t="str">
        <f>IF(Indice_index!$Z$1=1,"Transferências correntes","Current transfers")</f>
        <v>Transferências correntes</v>
      </c>
      <c r="C18" s="4">
        <f>SUM(C19:C22)</f>
        <v>1379.9041263300003</v>
      </c>
      <c r="D18" s="4">
        <f>SUM(D19:D22)</f>
        <v>1751.2871660000003</v>
      </c>
      <c r="E18" s="4">
        <f>SUM(E19:E22)</f>
        <v>865.65070177000007</v>
      </c>
      <c r="F18" s="4">
        <f>SUM(F19:F22)</f>
        <v>1041.1853740000001</v>
      </c>
      <c r="G18" s="4">
        <f t="shared" si="0"/>
        <v>59.452578321469865</v>
      </c>
      <c r="H18" s="4">
        <f t="shared" si="2"/>
        <v>20.277771608234534</v>
      </c>
      <c r="I18" s="4">
        <f t="shared" si="1"/>
        <v>1.6030280207380208</v>
      </c>
      <c r="J18" s="50"/>
    </row>
    <row r="19" spans="2:10" ht="14.1" customHeight="1">
      <c r="B19" s="172" t="str">
        <f>IF(Indice_index!$Z$1=1,"Administração Central","Central Administration")</f>
        <v>Administração Central</v>
      </c>
      <c r="C19" s="4">
        <v>1095.5423711200001</v>
      </c>
      <c r="D19" s="4">
        <v>1344.4497140000001</v>
      </c>
      <c r="E19" s="4">
        <v>675.59382548999997</v>
      </c>
      <c r="F19" s="4">
        <v>848.17932150000001</v>
      </c>
      <c r="G19" s="4">
        <f t="shared" si="0"/>
        <v>63.087470856496452</v>
      </c>
      <c r="H19" s="4">
        <f t="shared" si="2"/>
        <v>25.545747977318456</v>
      </c>
      <c r="I19" s="4">
        <f t="shared" si="1"/>
        <v>1.5760953808287965</v>
      </c>
      <c r="J19" s="50"/>
    </row>
    <row r="20" spans="2:10" ht="14.1" customHeight="1">
      <c r="B20" s="172" t="str">
        <f>IF(Indice_index!$Z$1=1,"Outros subsetores das Administrações Públicas","Other General Government subsectors")</f>
        <v>Outros subsetores das Administrações Públicas</v>
      </c>
      <c r="C20" s="4">
        <v>90.353841010000281</v>
      </c>
      <c r="D20" s="4">
        <v>101.25224300000013</v>
      </c>
      <c r="E20" s="4">
        <v>47.887377139999991</v>
      </c>
      <c r="F20" s="4">
        <v>64.142120800000001</v>
      </c>
      <c r="G20" s="4">
        <f t="shared" si="0"/>
        <v>63.348839393118354</v>
      </c>
      <c r="H20" s="4">
        <f t="shared" si="2"/>
        <v>33.943691700797991</v>
      </c>
      <c r="I20" s="4">
        <f t="shared" si="1"/>
        <v>0.14844252264163468</v>
      </c>
      <c r="J20" s="50"/>
    </row>
    <row r="21" spans="2:10" ht="14.1" customHeight="1">
      <c r="B21" s="172" t="str">
        <f>IF(Indice_index!$Z$1=1,"União Europeia","European Union")</f>
        <v>União Europeia</v>
      </c>
      <c r="C21" s="4">
        <v>175.67104641</v>
      </c>
      <c r="D21" s="4">
        <v>285.28143399999999</v>
      </c>
      <c r="E21" s="4">
        <v>133.11305060000001</v>
      </c>
      <c r="F21" s="4">
        <v>116.70397834979306</v>
      </c>
      <c r="G21" s="4">
        <f t="shared" si="0"/>
        <v>40.908367822419549</v>
      </c>
      <c r="H21" s="4">
        <f t="shared" si="2"/>
        <v>-12.327170158180529</v>
      </c>
      <c r="I21" s="4">
        <f t="shared" si="1"/>
        <v>-0.14985189123736464</v>
      </c>
      <c r="J21" s="50"/>
    </row>
    <row r="22" spans="2:10" ht="14.1" customHeight="1">
      <c r="B22" s="172" t="str">
        <f>IF(Indice_index!$Z$1=1,"Outras transferências","Other transfers")</f>
        <v>Outras transferências</v>
      </c>
      <c r="C22" s="4">
        <v>18.336867789999985</v>
      </c>
      <c r="D22" s="4">
        <v>20.30377500000003</v>
      </c>
      <c r="E22" s="4">
        <v>9.056448539999991</v>
      </c>
      <c r="F22" s="4">
        <v>12.159953350206905</v>
      </c>
      <c r="G22" s="4">
        <f t="shared" si="0"/>
        <v>59.890110830162804</v>
      </c>
      <c r="H22" s="4">
        <f t="shared" si="2"/>
        <v>34.268452986836238</v>
      </c>
      <c r="I22" s="4">
        <f t="shared" si="1"/>
        <v>2.8342008504953664E-2</v>
      </c>
      <c r="J22" s="50"/>
    </row>
    <row r="23" spans="2:10" ht="14.1" customHeight="1">
      <c r="B23" s="125" t="str">
        <f>IF(Indice_index!$Z$1=1,"Outras receitas correntes","Other current revenue")</f>
        <v>Outras receitas correntes</v>
      </c>
      <c r="C23" s="4">
        <v>13598.519475289995</v>
      </c>
      <c r="D23" s="4">
        <v>16105.819597999998</v>
      </c>
      <c r="E23" s="4">
        <v>8544.0277628399999</v>
      </c>
      <c r="F23" s="4">
        <v>9922.0818360499979</v>
      </c>
      <c r="G23" s="4">
        <f t="shared" si="0"/>
        <v>61.605569189922569</v>
      </c>
      <c r="H23" s="4">
        <f t="shared" si="2"/>
        <v>16.12885762384202</v>
      </c>
      <c r="I23" s="4">
        <f t="shared" si="1"/>
        <v>12.5847461665767</v>
      </c>
      <c r="J23" s="50"/>
    </row>
    <row r="24" spans="2:10" ht="14.1" customHeight="1">
      <c r="B24" s="125" t="str">
        <f>IF(Indice_index!$Z$1=1,"Diferenças de consolidação","Consolidation differences")</f>
        <v>Diferenças de consolidação</v>
      </c>
      <c r="C24" s="4">
        <v>12.949061399999882</v>
      </c>
      <c r="D24" s="4">
        <v>1.499999999999968E-2</v>
      </c>
      <c r="E24" s="4">
        <v>17.666000870000001</v>
      </c>
      <c r="F24" s="4">
        <v>26.111337600000034</v>
      </c>
      <c r="G24" s="4"/>
      <c r="H24" s="4"/>
      <c r="I24" s="4"/>
      <c r="J24" s="50"/>
    </row>
    <row r="25" spans="2:10" ht="14.1" customHeight="1">
      <c r="B25" s="174" t="str">
        <f>IF(Indice_index!$Z$1=1,"Receita de capital","Capital revenue")</f>
        <v>Receita de capital</v>
      </c>
      <c r="C25" s="134">
        <f>SUM(C26:C33)-C27</f>
        <v>2023.9979217899997</v>
      </c>
      <c r="D25" s="134">
        <f>SUM(D26:D33)-D27</f>
        <v>3793.4674240000008</v>
      </c>
      <c r="E25" s="134">
        <f>SUM(E26:E33)-E27</f>
        <v>1040.7315178599997</v>
      </c>
      <c r="F25" s="134">
        <f>SUM(F26:F33)-F27</f>
        <v>1078.9534358000001</v>
      </c>
      <c r="G25" s="134">
        <f>IFERROR(IF(F25/D25*100&lt;-500,"-",IF(F25/D25*100&gt;500,"-",F25/D25*100)),"-")</f>
        <v>28.44240677997713</v>
      </c>
      <c r="H25" s="134">
        <f>IF(IFERROR((F25-E25)/E25*100,"")&gt;500,"-",IFERROR((F25-E25)/E25*100,""))</f>
        <v>3.6726011737007873</v>
      </c>
      <c r="I25" s="134">
        <f>IFERROR((F25-E25)/$E$34*100,"-")</f>
        <v>0.34905243896139077</v>
      </c>
      <c r="J25" s="57"/>
    </row>
    <row r="26" spans="2:10" ht="14.1" customHeight="1">
      <c r="B26" s="125" t="str">
        <f>IF(Indice_index!$Z$1=1,"Venda de bens de investimento","Sale of investment goods")</f>
        <v>Venda de bens de investimento</v>
      </c>
      <c r="C26" s="4">
        <v>78.332085839999991</v>
      </c>
      <c r="D26" s="4">
        <v>462.378108</v>
      </c>
      <c r="E26" s="4">
        <v>54.467967450000003</v>
      </c>
      <c r="F26" s="4">
        <v>26.84963879</v>
      </c>
      <c r="G26" s="4">
        <f t="shared" ref="G26:G32" si="3">IFERROR(IF(F26/D26*100&lt;-500,"-",IF(F26/D26*100&gt;500,"-",F26/D26*100)),"-")</f>
        <v>5.806857704863484</v>
      </c>
      <c r="H26" s="4">
        <f t="shared" si="2"/>
        <v>-50.705634803341646</v>
      </c>
      <c r="I26" s="4">
        <f t="shared" ref="I26:I32" si="4">IFERROR((F26-E26)/$E$34*100,"-")</f>
        <v>-0.25221771952792249</v>
      </c>
      <c r="J26" s="50"/>
    </row>
    <row r="27" spans="2:10" ht="14.1" customHeight="1">
      <c r="B27" s="125" t="str">
        <f>IF(Indice_index!$Z$1=1,"Transferências de capital","Capital transfers")</f>
        <v>Transferências de capital</v>
      </c>
      <c r="C27" s="4">
        <f>SUM(C28:C31)</f>
        <v>1926.7467597699999</v>
      </c>
      <c r="D27" s="4">
        <f>SUM(D28:D31)</f>
        <v>3326.548843</v>
      </c>
      <c r="E27" s="4">
        <f>SUM(E28:E31)</f>
        <v>971.7028031399999</v>
      </c>
      <c r="F27" s="4">
        <f>SUM(F28:F31)</f>
        <v>942.62927806000005</v>
      </c>
      <c r="G27" s="4">
        <f>IFERROR(IF(F27/D27*100&lt;-500,"-",IF(F27/D27*100&gt;500,"-",F27/D27*100)),"-")</f>
        <v>28.33655306290057</v>
      </c>
      <c r="H27" s="4">
        <f>IF(IFERROR((F27-E27)/E27*100,"")&gt;500,"-",IFERROR((F27-E27)/E27*100,""))</f>
        <v>-2.9920182370628634</v>
      </c>
      <c r="I27" s="4">
        <f>IFERROR((F27-E27)/$E$34*100,"-")</f>
        <v>-0.26550694955468829</v>
      </c>
      <c r="J27" s="50"/>
    </row>
    <row r="28" spans="2:10" ht="14.1" customHeight="1">
      <c r="B28" s="172" t="str">
        <f>IF(Indice_index!$Z$1=1,"Administração Central","Central Administration")</f>
        <v>Administração Central</v>
      </c>
      <c r="C28" s="4">
        <v>1171.0546768500001</v>
      </c>
      <c r="D28" s="4">
        <v>2084.21965</v>
      </c>
      <c r="E28" s="4">
        <v>730.39364283999987</v>
      </c>
      <c r="F28" s="4">
        <v>596.09208767000007</v>
      </c>
      <c r="G28" s="4">
        <f>IFERROR(IF(F28/D28*100&lt;-500,"-",IF(F28/D28*100&gt;500,"-",F28/D28*100)),"-")</f>
        <v>28.600252745434005</v>
      </c>
      <c r="H28" s="4">
        <f>IF(IFERROR((F28-E28)/E28*100,"")&gt;500,"-",IFERROR((F28-E28)/E28*100,""))</f>
        <v>-18.387558063593374</v>
      </c>
      <c r="I28" s="4">
        <f>IFERROR((F28-E28)/$E$34*100,"-")</f>
        <v>-1.2264765327052491</v>
      </c>
      <c r="J28" s="50"/>
    </row>
    <row r="29" spans="2:10" ht="14.1" customHeight="1">
      <c r="B29" s="172" t="str">
        <f>IF(Indice_index!$Z$1=1,"Outros subsetores das Administrações Públicas","Other General Government subsectors")</f>
        <v>Outros subsetores das Administrações Públicas</v>
      </c>
      <c r="C29" s="4">
        <v>0.28476540000002615</v>
      </c>
      <c r="D29" s="4">
        <v>0.90900000000021919</v>
      </c>
      <c r="E29" s="4">
        <v>0.17002305000000001</v>
      </c>
      <c r="F29" s="4">
        <v>0</v>
      </c>
      <c r="G29" s="4">
        <f t="shared" si="3"/>
        <v>0</v>
      </c>
      <c r="H29" s="4">
        <f t="shared" si="2"/>
        <v>-100</v>
      </c>
      <c r="I29" s="4">
        <f t="shared" si="4"/>
        <v>-1.5526944612071949E-3</v>
      </c>
      <c r="J29" s="50"/>
    </row>
    <row r="30" spans="2:10" ht="14.1" customHeight="1">
      <c r="B30" s="172" t="str">
        <f>IF(Indice_index!$Z$1=1,"União Europeia","European Union")</f>
        <v>União Europeia</v>
      </c>
      <c r="C30" s="4">
        <v>616.96646063000003</v>
      </c>
      <c r="D30" s="4">
        <v>1170.9199189999999</v>
      </c>
      <c r="E30" s="4">
        <v>199.37424576999999</v>
      </c>
      <c r="F30" s="4">
        <v>283.99184974999997</v>
      </c>
      <c r="G30" s="4">
        <f t="shared" si="3"/>
        <v>24.253738034667425</v>
      </c>
      <c r="H30" s="4">
        <f t="shared" si="2"/>
        <v>42.441592018668075</v>
      </c>
      <c r="I30" s="4">
        <f t="shared" si="4"/>
        <v>0.77274984197948382</v>
      </c>
      <c r="J30" s="50"/>
    </row>
    <row r="31" spans="2:10" ht="14.1" customHeight="1">
      <c r="B31" s="172" t="str">
        <f>IF(Indice_index!$Z$1=1,"Outras transferências","Other transfers")</f>
        <v>Outras transferências</v>
      </c>
      <c r="C31" s="4">
        <v>138.44085688999985</v>
      </c>
      <c r="D31" s="4">
        <v>70.50027399999999</v>
      </c>
      <c r="E31" s="4">
        <v>41.764891479999989</v>
      </c>
      <c r="F31" s="4">
        <v>62.545340640000063</v>
      </c>
      <c r="G31" s="4">
        <f t="shared" si="3"/>
        <v>88.716450435355853</v>
      </c>
      <c r="H31" s="4">
        <f t="shared" si="2"/>
        <v>49.75578392188865</v>
      </c>
      <c r="I31" s="4">
        <f t="shared" si="4"/>
        <v>0.1897724356322853</v>
      </c>
      <c r="J31" s="50"/>
    </row>
    <row r="32" spans="2:10" ht="14.1" customHeight="1">
      <c r="B32" s="125" t="str">
        <f>IF(Indice_index!$Z$1=1,"Outras receitas de capital","Other capital revenue")</f>
        <v>Outras receitas de capital</v>
      </c>
      <c r="C32" s="4">
        <v>18.693992909999999</v>
      </c>
      <c r="D32" s="4">
        <v>4.5404730000000004</v>
      </c>
      <c r="E32" s="4">
        <v>14.229823979999999</v>
      </c>
      <c r="F32" s="4">
        <v>109.47451895000002</v>
      </c>
      <c r="G32" s="4" t="str">
        <f t="shared" si="3"/>
        <v>-</v>
      </c>
      <c r="H32" s="4" t="str">
        <f t="shared" si="2"/>
        <v>-</v>
      </c>
      <c r="I32" s="4">
        <f t="shared" si="4"/>
        <v>0.8697991851063005</v>
      </c>
      <c r="J32" s="50"/>
    </row>
    <row r="33" spans="2:10" ht="14.1" customHeight="1">
      <c r="B33" s="125" t="str">
        <f>IF(Indice_index!$Z$1=1,"Diferenças de consolidação","Consolidation differences")</f>
        <v>Diferenças de consolidação</v>
      </c>
      <c r="C33" s="4">
        <v>0.22508326999999997</v>
      </c>
      <c r="D33" s="4">
        <v>0</v>
      </c>
      <c r="E33" s="4">
        <v>0.33092328999999998</v>
      </c>
      <c r="F33" s="4">
        <v>0</v>
      </c>
      <c r="G33" s="4"/>
      <c r="H33" s="4"/>
      <c r="I33" s="4"/>
      <c r="J33" s="50"/>
    </row>
    <row r="34" spans="2:10" ht="14.1" customHeight="1">
      <c r="B34" s="30" t="str">
        <f>IF(Indice_index!$Z$1=1,"Receita efetiva","Effective revenue")</f>
        <v>Receita efetiva</v>
      </c>
      <c r="C34" s="18">
        <f>+C12+C25</f>
        <v>17729.269314569992</v>
      </c>
      <c r="D34" s="18">
        <f>+D12+D25</f>
        <v>22277.684648999999</v>
      </c>
      <c r="E34" s="18">
        <f>+E12+E25</f>
        <v>10950.193630999998</v>
      </c>
      <c r="F34" s="18">
        <f>+F12+F25</f>
        <v>12475.728853169998</v>
      </c>
      <c r="G34" s="18">
        <f>IFERROR(IF(F34/D34*100&lt;-500,"-",IF(F34/D34*100&gt;500,"-",F34/D34*100)),"-")</f>
        <v>56.00101199803099</v>
      </c>
      <c r="H34" s="18">
        <f>IFERROR(IF(E34=0,"-",(F34-E34)/E34*100),"-")</f>
        <v>13.931582158065309</v>
      </c>
      <c r="I34" s="18"/>
      <c r="J34" s="57"/>
    </row>
    <row r="35" spans="2:10" ht="14.1" customHeight="1">
      <c r="B35" s="174" t="str">
        <f>IF(Indice_index!$Z$1=1,"Despesa corrente","Current Expenditure")</f>
        <v>Despesa corrente</v>
      </c>
      <c r="C35" s="134">
        <f>SUM(C36:C49)-C36-C42</f>
        <v>16283.951001599997</v>
      </c>
      <c r="D35" s="134">
        <f>SUM(D36:D49)-D36-D42</f>
        <v>17746.855754</v>
      </c>
      <c r="E35" s="134">
        <f>SUM(E36:E49)-E36-E42</f>
        <v>9128.7327466000042</v>
      </c>
      <c r="F35" s="134">
        <f>SUM(F36:F49)-F36-F42</f>
        <v>10876.713540829998</v>
      </c>
      <c r="G35" s="134">
        <f t="shared" ref="G35:G48" si="5">IFERROR(IF(F35/D35*100&lt;-500,"-",IF(F35/D35*100&gt;500,"-",F35/D35*100)),"-")</f>
        <v>61.28811599980731</v>
      </c>
      <c r="H35" s="134">
        <f t="shared" ref="H35:H57" si="6">IF(IFERROR((F35-E35)/E35*100,"")&gt;500,"-",IFERROR((F35-E35)/E35*100,""))</f>
        <v>19.148121023490685</v>
      </c>
      <c r="I35" s="134">
        <f t="shared" ref="I35:I48" si="7">IFERROR((F35-E35)/$E$59*100,"-")</f>
        <v>16.012893325790692</v>
      </c>
      <c r="J35" s="50"/>
    </row>
    <row r="36" spans="2:10" ht="14.1" customHeight="1">
      <c r="B36" s="125" t="str">
        <f>IF(Indice_index!$Z$1=1,"Despesas com o pessoal","Employees")</f>
        <v>Despesas com o pessoal</v>
      </c>
      <c r="C36" s="4">
        <f>SUM(C37:C39)</f>
        <v>7650.1389235300012</v>
      </c>
      <c r="D36" s="4">
        <f>SUM(D37:D39)</f>
        <v>8216.7487560000009</v>
      </c>
      <c r="E36" s="4">
        <f>SUM(E37:E39)</f>
        <v>4820.1483788100004</v>
      </c>
      <c r="F36" s="4">
        <f>SUM(F37:F39)</f>
        <v>5530.4499299400013</v>
      </c>
      <c r="G36" s="4">
        <f t="shared" si="5"/>
        <v>67.307034621225071</v>
      </c>
      <c r="H36" s="4">
        <f t="shared" si="6"/>
        <v>14.736093068266923</v>
      </c>
      <c r="I36" s="4">
        <f t="shared" si="7"/>
        <v>6.5069267379443598</v>
      </c>
      <c r="J36" s="50"/>
    </row>
    <row r="37" spans="2:10" ht="14.1" customHeight="1">
      <c r="B37" s="172" t="str">
        <f>IF(Indice_index!$Z$1=1,"Remunerações certas e permanentes","Certain and permanent wages")</f>
        <v>Remunerações certas e permanentes</v>
      </c>
      <c r="C37" s="4">
        <v>5085.8111847200007</v>
      </c>
      <c r="D37" s="4">
        <v>5487.8003840000001</v>
      </c>
      <c r="E37" s="4">
        <v>3221.2057953400008</v>
      </c>
      <c r="F37" s="4">
        <v>3692.6849596800007</v>
      </c>
      <c r="G37" s="4">
        <f t="shared" si="5"/>
        <v>67.288981035939969</v>
      </c>
      <c r="H37" s="4">
        <f t="shared" si="6"/>
        <v>14.636729047925822</v>
      </c>
      <c r="I37" s="4">
        <f t="shared" si="7"/>
        <v>4.3191238649936698</v>
      </c>
      <c r="J37" s="50"/>
    </row>
    <row r="38" spans="2:10" ht="14.1" customHeight="1">
      <c r="B38" s="172" t="str">
        <f>IF(Indice_index!$Z$1=1,"Abonos variáveis ou eventuais","Variable or contingent bonuses")</f>
        <v>Abonos variáveis ou eventuais</v>
      </c>
      <c r="C38" s="4">
        <v>1126.11837373</v>
      </c>
      <c r="D38" s="4">
        <v>1161.6132680000001</v>
      </c>
      <c r="E38" s="4">
        <v>706.68909187999998</v>
      </c>
      <c r="F38" s="4">
        <v>816.87252517000024</v>
      </c>
      <c r="G38" s="4">
        <f t="shared" si="5"/>
        <v>70.322244732659172</v>
      </c>
      <c r="H38" s="4">
        <f t="shared" si="6"/>
        <v>15.591500499445953</v>
      </c>
      <c r="I38" s="4">
        <f t="shared" si="7"/>
        <v>1.0093678199246856</v>
      </c>
      <c r="J38" s="50"/>
    </row>
    <row r="39" spans="2:10" ht="14.1" customHeight="1">
      <c r="B39" s="172" t="str">
        <f>IF(Indice_index!$Z$1=1,"Segurança Social","Social security")</f>
        <v>Segurança Social</v>
      </c>
      <c r="C39" s="4">
        <v>1438.2093650800005</v>
      </c>
      <c r="D39" s="4">
        <v>1567.335104</v>
      </c>
      <c r="E39" s="4">
        <v>892.25349158999938</v>
      </c>
      <c r="F39" s="4">
        <v>1020.8924450899999</v>
      </c>
      <c r="G39" s="4">
        <f t="shared" si="5"/>
        <v>65.135556683735203</v>
      </c>
      <c r="H39" s="4">
        <f t="shared" si="6"/>
        <v>14.417310182868029</v>
      </c>
      <c r="I39" s="4">
        <f t="shared" si="7"/>
        <v>1.178435053026003</v>
      </c>
      <c r="J39" s="50"/>
    </row>
    <row r="40" spans="2:10" ht="14.1" customHeight="1">
      <c r="B40" s="125" t="str">
        <f>IF(Indice_index!$Z$1=1,"Aquisição de bens e serviços","Purchase of goods and services")</f>
        <v>Aquisição de bens e serviços</v>
      </c>
      <c r="C40" s="4">
        <v>8003.3961069199986</v>
      </c>
      <c r="D40" s="4">
        <v>8865.0997850000003</v>
      </c>
      <c r="E40" s="4">
        <v>4031.1442151800034</v>
      </c>
      <c r="F40" s="4">
        <v>5122.9132441299998</v>
      </c>
      <c r="G40" s="4">
        <f t="shared" si="5"/>
        <v>57.787429001060019</v>
      </c>
      <c r="H40" s="4">
        <f t="shared" si="6"/>
        <v>27.083353278177015</v>
      </c>
      <c r="I40" s="4">
        <f t="shared" si="7"/>
        <v>10.001472015417411</v>
      </c>
      <c r="J40" s="50"/>
    </row>
    <row r="41" spans="2:10" ht="14.1" customHeight="1">
      <c r="B41" s="125" t="str">
        <f>IF(Indice_index!$Z$1=1,"Juros e outros encargos","Interests")</f>
        <v>Juros e outros encargos</v>
      </c>
      <c r="C41" s="4">
        <v>212.29954878000001</v>
      </c>
      <c r="D41" s="4">
        <v>149.92348000000001</v>
      </c>
      <c r="E41" s="4">
        <v>89.865952359999994</v>
      </c>
      <c r="F41" s="4">
        <v>46.819724069999999</v>
      </c>
      <c r="G41" s="4">
        <f t="shared" si="5"/>
        <v>31.229080374868563</v>
      </c>
      <c r="H41" s="4">
        <f t="shared" si="6"/>
        <v>-47.900486401744509</v>
      </c>
      <c r="I41" s="4">
        <f t="shared" si="7"/>
        <v>-0.39433766318299035</v>
      </c>
      <c r="J41" s="50"/>
    </row>
    <row r="42" spans="2:10" ht="14.1" customHeight="1">
      <c r="B42" s="125" t="str">
        <f>IF(Indice_index!$Z$1=1,"Transferências correntes","Current transfers")</f>
        <v>Transferências correntes</v>
      </c>
      <c r="C42" s="4">
        <f>SUM(C43:C46)</f>
        <v>70.301309139999987</v>
      </c>
      <c r="D42" s="4">
        <f>SUM(D43:D46)</f>
        <v>77.832114000000004</v>
      </c>
      <c r="E42" s="4">
        <f>SUM(E43:E46)</f>
        <v>43.91882927999999</v>
      </c>
      <c r="F42" s="4">
        <f>SUM(F43:F46)</f>
        <v>47.853205139999993</v>
      </c>
      <c r="G42" s="4">
        <f t="shared" si="5"/>
        <v>61.482597196319233</v>
      </c>
      <c r="H42" s="4">
        <f t="shared" si="6"/>
        <v>8.9582894728745917</v>
      </c>
      <c r="I42" s="4">
        <f t="shared" si="7"/>
        <v>3.6042009819391992E-2</v>
      </c>
      <c r="J42" s="50"/>
    </row>
    <row r="43" spans="2:10" ht="14.1" customHeight="1">
      <c r="B43" s="172" t="str">
        <f>IF(Indice_index!$Z$1=1,"Administração Central","Central Administration")</f>
        <v>Administração Central</v>
      </c>
      <c r="C43" s="4">
        <v>3.0534874099999998</v>
      </c>
      <c r="D43" s="4">
        <v>1.3981149999999998</v>
      </c>
      <c r="E43" s="4">
        <v>1.6026364200000001</v>
      </c>
      <c r="F43" s="4">
        <v>0.98346248999999997</v>
      </c>
      <c r="G43" s="4">
        <f t="shared" si="5"/>
        <v>70.342031234912724</v>
      </c>
      <c r="H43" s="4">
        <f t="shared" si="6"/>
        <v>-38.634709798994834</v>
      </c>
      <c r="I43" s="4">
        <f t="shared" si="7"/>
        <v>-5.6721253024797479E-3</v>
      </c>
      <c r="J43" s="50"/>
    </row>
    <row r="44" spans="2:10" ht="14.1" customHeight="1">
      <c r="B44" s="172" t="str">
        <f>IF(Indice_index!$Z$1=1,"Outros subsetores das Administrações Públicas","Other General Government subsectors")</f>
        <v>Outros subsetores das Administrações Públicas</v>
      </c>
      <c r="C44" s="4">
        <v>0.1138606499999999</v>
      </c>
      <c r="D44" s="4">
        <v>3.6767999999999912E-2</v>
      </c>
      <c r="E44" s="4">
        <v>0.19360285999999999</v>
      </c>
      <c r="F44" s="4">
        <v>0.49021546000000005</v>
      </c>
      <c r="G44" s="4" t="str">
        <f t="shared" si="5"/>
        <v>-</v>
      </c>
      <c r="H44" s="4">
        <f t="shared" si="6"/>
        <v>153.20672432215105</v>
      </c>
      <c r="I44" s="4">
        <f t="shared" si="7"/>
        <v>2.7172071561448082E-3</v>
      </c>
      <c r="J44" s="50"/>
    </row>
    <row r="45" spans="2:10" ht="14.1" customHeight="1">
      <c r="B45" s="172" t="str">
        <f>IF(Indice_index!$Z$1=1,"União Europeia","European Union")</f>
        <v>União Europeia</v>
      </c>
      <c r="C45" s="4">
        <v>4.0636322999999992</v>
      </c>
      <c r="D45" s="4">
        <v>2.2775650000000001</v>
      </c>
      <c r="E45" s="4">
        <v>1.8976982199999997</v>
      </c>
      <c r="F45" s="4">
        <v>2.86904285</v>
      </c>
      <c r="G45" s="4">
        <f t="shared" si="5"/>
        <v>125.96974619824242</v>
      </c>
      <c r="H45" s="4">
        <f t="shared" si="6"/>
        <v>51.185410818375566</v>
      </c>
      <c r="I45" s="4">
        <f t="shared" si="7"/>
        <v>8.8982888107883192E-3</v>
      </c>
      <c r="J45" s="50"/>
    </row>
    <row r="46" spans="2:10" ht="14.1" customHeight="1">
      <c r="B46" s="172" t="str">
        <f>IF(Indice_index!$Z$1=1,"Outras transferências","Other transfers")</f>
        <v>Outras transferências</v>
      </c>
      <c r="C46" s="4">
        <v>63.07032877999999</v>
      </c>
      <c r="D46" s="4">
        <v>74.119666000000009</v>
      </c>
      <c r="E46" s="4">
        <v>40.224891779999993</v>
      </c>
      <c r="F46" s="4">
        <v>43.510484339999991</v>
      </c>
      <c r="G46" s="4">
        <f t="shared" si="5"/>
        <v>58.70302267686958</v>
      </c>
      <c r="H46" s="4">
        <f t="shared" si="6"/>
        <v>8.1680581714668765</v>
      </c>
      <c r="I46" s="4">
        <f t="shared" si="7"/>
        <v>3.0098639154938569E-2</v>
      </c>
      <c r="J46" s="50"/>
    </row>
    <row r="47" spans="2:10" ht="14.1" customHeight="1">
      <c r="B47" s="125" t="str">
        <f>IF(Indice_index!$Z$1=1,"Subsídios","Subsidies")</f>
        <v>Subsídios</v>
      </c>
      <c r="C47" s="4">
        <v>63.420847200000004</v>
      </c>
      <c r="D47" s="4">
        <v>76.80753</v>
      </c>
      <c r="E47" s="4">
        <v>25.483128960000002</v>
      </c>
      <c r="F47" s="4">
        <v>50.341107299999997</v>
      </c>
      <c r="G47" s="4">
        <f t="shared" si="5"/>
        <v>65.541890619318181</v>
      </c>
      <c r="H47" s="4">
        <f t="shared" si="6"/>
        <v>97.546805884860987</v>
      </c>
      <c r="I47" s="4">
        <f t="shared" si="7"/>
        <v>0.22771883808287516</v>
      </c>
      <c r="J47" s="50"/>
    </row>
    <row r="48" spans="2:10" ht="14.1" customHeight="1">
      <c r="B48" s="125" t="str">
        <f>IF(Indice_index!$Z$1=1,"Outras despesas correntes","Other current expenditure")</f>
        <v>Outras despesas correntes</v>
      </c>
      <c r="C48" s="4">
        <v>284.39426603000004</v>
      </c>
      <c r="D48" s="4">
        <v>360.44408900000002</v>
      </c>
      <c r="E48" s="4">
        <v>118.17224200999996</v>
      </c>
      <c r="F48" s="4">
        <v>78.336330249999975</v>
      </c>
      <c r="G48" s="4">
        <f t="shared" si="5"/>
        <v>21.73328198204964</v>
      </c>
      <c r="H48" s="4">
        <f t="shared" si="6"/>
        <v>-33.71004144664446</v>
      </c>
      <c r="I48" s="4">
        <f t="shared" si="7"/>
        <v>-0.36492861229032436</v>
      </c>
      <c r="J48" s="57"/>
    </row>
    <row r="49" spans="2:10" ht="14.1" customHeight="1">
      <c r="B49" s="125" t="str">
        <f>IF(Indice_index!$Z$1=1,"Diferenças de consolidação","Consolidation differences")</f>
        <v>Diferenças de consolidação</v>
      </c>
      <c r="C49" s="4">
        <v>0</v>
      </c>
      <c r="D49" s="4">
        <v>0</v>
      </c>
      <c r="E49" s="4">
        <v>0</v>
      </c>
      <c r="F49" s="4">
        <v>0</v>
      </c>
      <c r="G49" s="4"/>
      <c r="H49" s="4"/>
      <c r="I49" s="4"/>
      <c r="J49" s="50"/>
    </row>
    <row r="50" spans="2:10" ht="14.1" customHeight="1">
      <c r="B50" s="174" t="str">
        <f>IF(Indice_index!$Z$1=1,"Despesa de capital","Capital expenditure")</f>
        <v>Despesa de capital</v>
      </c>
      <c r="C50" s="134">
        <f>SUM(C51:C58)-C52</f>
        <v>3023.6927962800009</v>
      </c>
      <c r="D50" s="134">
        <f>SUM(D51:D58)-D52</f>
        <v>5259.2271979999996</v>
      </c>
      <c r="E50" s="134">
        <f>SUM(E51:E58)-E52</f>
        <v>1787.3506785899997</v>
      </c>
      <c r="F50" s="134">
        <f>SUM(F51:F58)-F52</f>
        <v>1764.6009621999997</v>
      </c>
      <c r="G50" s="134">
        <f t="shared" ref="G50:G57" si="8">IFERROR(IF(F50/D50*100&lt;-500,"-",IF(F50/D50*100&gt;500,"-",F50/D50*100)),"-")</f>
        <v>33.55247635757302</v>
      </c>
      <c r="H50" s="134">
        <f t="shared" si="6"/>
        <v>-1.2728177331124935</v>
      </c>
      <c r="I50" s="134">
        <f t="shared" ref="I50:I57" si="9">IFERROR((F50-E50)/$E$59*100,"-")</f>
        <v>-0.20840548302793888</v>
      </c>
      <c r="J50" s="50"/>
    </row>
    <row r="51" spans="2:10" ht="14.1" customHeight="1">
      <c r="B51" s="125" t="str">
        <f>IF(Indice_index!$Z$1=1,"Investimento","Investment")</f>
        <v>Investimento</v>
      </c>
      <c r="C51" s="4">
        <v>2952.7401478000006</v>
      </c>
      <c r="D51" s="4">
        <v>5113.9629809999997</v>
      </c>
      <c r="E51" s="4">
        <v>1734.8782044999996</v>
      </c>
      <c r="F51" s="4">
        <v>1722.9057392299997</v>
      </c>
      <c r="G51" s="4">
        <f t="shared" si="8"/>
        <v>33.690227043706471</v>
      </c>
      <c r="H51" s="4">
        <f t="shared" si="6"/>
        <v>-0.6901040798682726</v>
      </c>
      <c r="I51" s="4">
        <f t="shared" si="9"/>
        <v>-0.10967729728386114</v>
      </c>
      <c r="J51" s="50"/>
    </row>
    <row r="52" spans="2:10" ht="14.1" customHeight="1">
      <c r="B52" s="125" t="str">
        <f>IF(Indice_index!$Z$1=1,"Transferências de capital","Capital transfers")</f>
        <v>Transferências de capital</v>
      </c>
      <c r="C52" s="4">
        <f>SUM(C53:C56)</f>
        <v>65.840648819999998</v>
      </c>
      <c r="D52" s="4">
        <f>SUM(D53:D56)</f>
        <v>133.96786599999999</v>
      </c>
      <c r="E52" s="4">
        <f>SUM(E53:E56)</f>
        <v>47.364212309999992</v>
      </c>
      <c r="F52" s="4">
        <f>SUM(F53:F56)</f>
        <v>40.937577570000002</v>
      </c>
      <c r="G52" s="4">
        <f t="shared" si="8"/>
        <v>30.557758955419956</v>
      </c>
      <c r="H52" s="4">
        <f t="shared" si="6"/>
        <v>-13.568545588676741</v>
      </c>
      <c r="I52" s="4">
        <f t="shared" si="9"/>
        <v>-5.8873081944114308E-2</v>
      </c>
      <c r="J52" s="50"/>
    </row>
    <row r="53" spans="2:10" ht="14.1" customHeight="1">
      <c r="B53" s="172" t="str">
        <f>IF(Indice_index!$Z$1=1,"Administração Central","Central Administration")</f>
        <v>Administração Central</v>
      </c>
      <c r="C53" s="4">
        <v>0.60865527999999991</v>
      </c>
      <c r="D53" s="4">
        <v>0.42316100000000006</v>
      </c>
      <c r="E53" s="4">
        <v>0.22693757000000001</v>
      </c>
      <c r="F53" s="4">
        <v>0.53880609000000002</v>
      </c>
      <c r="G53" s="4">
        <f t="shared" si="8"/>
        <v>127.32886300958735</v>
      </c>
      <c r="H53" s="4">
        <f t="shared" si="6"/>
        <v>137.42480806505506</v>
      </c>
      <c r="I53" s="4">
        <f t="shared" si="9"/>
        <v>2.8569635083617148E-3</v>
      </c>
      <c r="J53" s="50"/>
    </row>
    <row r="54" spans="2:10" ht="14.1" customHeight="1">
      <c r="B54" s="172" t="str">
        <f>IF(Indice_index!$Z$1=1,"Outros subsetores das Administrações Públicas","Other General Government subsectors")</f>
        <v>Outros subsetores das Administrações Públicas</v>
      </c>
      <c r="C54" s="4">
        <v>0</v>
      </c>
      <c r="D54" s="4">
        <v>0.10000000000000003</v>
      </c>
      <c r="E54" s="4">
        <v>0</v>
      </c>
      <c r="F54" s="4">
        <v>0</v>
      </c>
      <c r="G54" s="4">
        <f t="shared" si="8"/>
        <v>0</v>
      </c>
      <c r="H54" s="4" t="str">
        <f t="shared" si="6"/>
        <v>-</v>
      </c>
      <c r="I54" s="4">
        <f t="shared" si="9"/>
        <v>0</v>
      </c>
      <c r="J54" s="50"/>
    </row>
    <row r="55" spans="2:10" ht="14.1" customHeight="1">
      <c r="B55" s="172" t="str">
        <f>IF(Indice_index!$Z$1=1,"União Europeia","European Union")</f>
        <v>União Europeia</v>
      </c>
      <c r="C55" s="4">
        <v>12.335237269999999</v>
      </c>
      <c r="D55" s="4">
        <v>1.7193229999999999</v>
      </c>
      <c r="E55" s="4">
        <v>12.331237269999999</v>
      </c>
      <c r="F55" s="4">
        <v>5.1990019999999998E-2</v>
      </c>
      <c r="G55" s="4">
        <f t="shared" si="8"/>
        <v>3.0238657890344047</v>
      </c>
      <c r="H55" s="4">
        <f t="shared" si="6"/>
        <v>-99.578387643821571</v>
      </c>
      <c r="I55" s="4">
        <f t="shared" si="9"/>
        <v>-0.11248766404317095</v>
      </c>
      <c r="J55" s="50"/>
    </row>
    <row r="56" spans="2:10" ht="14.1" customHeight="1">
      <c r="B56" s="172" t="str">
        <f>IF(Indice_index!$Z$1=1,"Outras transferências","Other transfers")</f>
        <v>Outras transferências</v>
      </c>
      <c r="C56" s="4">
        <v>52.896756270000004</v>
      </c>
      <c r="D56" s="4">
        <v>131.725382</v>
      </c>
      <c r="E56" s="4">
        <v>34.806037469999993</v>
      </c>
      <c r="F56" s="4">
        <v>40.346781460000003</v>
      </c>
      <c r="G56" s="4">
        <f t="shared" si="8"/>
        <v>30.629466278564298</v>
      </c>
      <c r="H56" s="4">
        <f t="shared" si="6"/>
        <v>15.918916351152257</v>
      </c>
      <c r="I56" s="4">
        <f t="shared" si="9"/>
        <v>5.0757618590694935E-2</v>
      </c>
      <c r="J56" s="50"/>
    </row>
    <row r="57" spans="2:10" ht="15">
      <c r="B57" s="125" t="str">
        <f>IF(Indice_index!$Z$1=1,"Outras despesas de capital","Other capital expenditure")</f>
        <v>Outras despesas de capital</v>
      </c>
      <c r="C57" s="4">
        <v>5.1119996600000004</v>
      </c>
      <c r="D57" s="4">
        <v>11.249406</v>
      </c>
      <c r="E57" s="4">
        <v>5.1082617800000003</v>
      </c>
      <c r="F57" s="4">
        <v>0.62781849999999995</v>
      </c>
      <c r="G57" s="4">
        <f t="shared" si="8"/>
        <v>5.5809035605968882</v>
      </c>
      <c r="H57" s="4">
        <f t="shared" si="6"/>
        <v>-87.709743019473834</v>
      </c>
      <c r="I57" s="4">
        <f t="shared" si="9"/>
        <v>-4.1044421387078346E-2</v>
      </c>
      <c r="J57" s="57"/>
    </row>
    <row r="58" spans="2:10" ht="14.1" customHeight="1">
      <c r="B58" s="125" t="str">
        <f>IF(Indice_index!$Z$1=1,"Diferenças de consolidação","Consolidation differences")</f>
        <v>Diferenças de consolidação</v>
      </c>
      <c r="C58" s="4">
        <v>0</v>
      </c>
      <c r="D58" s="4">
        <v>4.6944999999999959E-2</v>
      </c>
      <c r="E58" s="4">
        <v>0</v>
      </c>
      <c r="F58" s="4">
        <v>0.1298269</v>
      </c>
      <c r="G58" s="4"/>
      <c r="H58" s="4"/>
      <c r="I58" s="4"/>
      <c r="J58" s="57"/>
    </row>
    <row r="59" spans="2:10" ht="14.1" customHeight="1">
      <c r="B59" s="30" t="str">
        <f>IF(Indice_index!$Z$1=1,"Despesa efetiva","Effective Expenditure")</f>
        <v>Despesa efetiva</v>
      </c>
      <c r="C59" s="18">
        <f>+C35+C50</f>
        <v>19307.643797879999</v>
      </c>
      <c r="D59" s="18">
        <f>+D35+D50</f>
        <v>23006.082952000001</v>
      </c>
      <c r="E59" s="18">
        <f>+E35+E50</f>
        <v>10916.083425190003</v>
      </c>
      <c r="F59" s="18">
        <f>+F35+F50</f>
        <v>12641.314503029998</v>
      </c>
      <c r="G59" s="18">
        <f>IFERROR(IF(F59/D59*100&lt;-500,"-",IF(F59/D59*100&gt;500,"-",F59/D59*100)),"-")</f>
        <v>54.947704611014814</v>
      </c>
      <c r="H59" s="18">
        <f>IF(E59=0,"-",(F59-E59)/E59*100)</f>
        <v>15.804487842762763</v>
      </c>
      <c r="I59" s="18"/>
      <c r="J59" s="50"/>
    </row>
    <row r="60" spans="2:10" ht="14.1" customHeight="1">
      <c r="B60" s="30" t="str">
        <f>IF(Indice_index!$Z$1=1,"Saldo global","Overall Balance")</f>
        <v>Saldo global</v>
      </c>
      <c r="C60" s="18">
        <f>+(C12+C25)-(C35+C50)</f>
        <v>-1578.3744833100063</v>
      </c>
      <c r="D60" s="18">
        <f>+(D12+D25)-(D35+D50)</f>
        <v>-728.39830300000176</v>
      </c>
      <c r="E60" s="18">
        <f>+(E12+E25)-(E35+E50)</f>
        <v>34.110205809995023</v>
      </c>
      <c r="F60" s="18">
        <f>+(F12+F25)-(F35+F50)</f>
        <v>-165.58564986000056</v>
      </c>
      <c r="G60" s="18"/>
      <c r="H60" s="18"/>
      <c r="I60" s="18"/>
      <c r="J60" s="50"/>
    </row>
    <row r="61" spans="2:10" ht="14.1" customHeight="1">
      <c r="B61" s="125" t="str">
        <f>IF(Indice_index!$Z$1=1,"Despesa primária","Primary Expenditure")</f>
        <v>Despesa primária</v>
      </c>
      <c r="C61" s="4">
        <f>C59-C41</f>
        <v>19095.344249099999</v>
      </c>
      <c r="D61" s="4">
        <f>D59-D41</f>
        <v>22856.159471999999</v>
      </c>
      <c r="E61" s="4">
        <f>E59-E41</f>
        <v>10826.217472830003</v>
      </c>
      <c r="F61" s="4">
        <f>F59-F41</f>
        <v>12594.494778959999</v>
      </c>
      <c r="G61" s="4">
        <f>IFERROR(IF(F61/D61*100&lt;-500,"-",IF(F61/D61*100&gt;500,"-",F61/D61*100)),"-")</f>
        <v>55.103285372106889</v>
      </c>
      <c r="H61" s="4">
        <f>IF(E61=0,"-",(F61-E61)/E61*100)</f>
        <v>16.33328824742113</v>
      </c>
      <c r="I61" s="4"/>
      <c r="J61" s="211"/>
    </row>
    <row r="62" spans="2:10" ht="14.1" customHeight="1">
      <c r="B62" s="125" t="str">
        <f>IF(Indice_index!$Z$1=1,"Saldo corrente","Current balance")</f>
        <v>Saldo corrente</v>
      </c>
      <c r="C62" s="4">
        <f>+C12-C35</f>
        <v>-578.67960882000261</v>
      </c>
      <c r="D62" s="4">
        <f>+D12-D35</f>
        <v>737.36147099999653</v>
      </c>
      <c r="E62" s="4">
        <f>+E12-E35</f>
        <v>780.72936653999386</v>
      </c>
      <c r="F62" s="4">
        <f>+F12-F35</f>
        <v>520.0618765399995</v>
      </c>
      <c r="G62" s="4"/>
      <c r="H62" s="4"/>
      <c r="I62" s="4"/>
      <c r="J62" s="50"/>
    </row>
    <row r="63" spans="2:10" ht="14.1" customHeight="1">
      <c r="B63" s="125" t="str">
        <f>IF(Indice_index!$Z$1=1,"Saldo de capital","Capital balance")</f>
        <v>Saldo de capital</v>
      </c>
      <c r="C63" s="4">
        <f>C25-C50</f>
        <v>-999.69487449000121</v>
      </c>
      <c r="D63" s="4">
        <f>D25-D50</f>
        <v>-1465.7597739999987</v>
      </c>
      <c r="E63" s="4">
        <f>E25-E50</f>
        <v>-746.61916072999998</v>
      </c>
      <c r="F63" s="4">
        <f>F25-F50</f>
        <v>-685.64752639999961</v>
      </c>
      <c r="G63" s="4"/>
      <c r="H63" s="4"/>
      <c r="I63" s="4"/>
      <c r="J63" s="50"/>
    </row>
    <row r="64" spans="2:10" ht="14.1" customHeight="1">
      <c r="B64" s="125" t="str">
        <f>IF(Indice_index!$Z$1=1,"Saldo primário","Primary balance")</f>
        <v>Saldo primário</v>
      </c>
      <c r="C64" s="4">
        <f>C60+C41</f>
        <v>-1366.0749345300064</v>
      </c>
      <c r="D64" s="4">
        <f>D60+D41</f>
        <v>-578.47482300000172</v>
      </c>
      <c r="E64" s="4">
        <f>E60+E41</f>
        <v>123.97615816999502</v>
      </c>
      <c r="F64" s="4">
        <f>F60+F41</f>
        <v>-118.76592579000055</v>
      </c>
      <c r="G64" s="4"/>
      <c r="H64" s="4"/>
      <c r="I64" s="4"/>
      <c r="J64" s="50"/>
    </row>
    <row r="65" spans="2:10" ht="14.1" customHeight="1">
      <c r="B65" s="125" t="str">
        <f>IF(Indice_index!$Z$1=1,"Ativos financeiros líquidos de reembolsos","Financial assets net of reimbursements")</f>
        <v>Ativos financeiros líquidos de reembolsos</v>
      </c>
      <c r="C65" s="4">
        <v>507.88613789999999</v>
      </c>
      <c r="D65" s="4">
        <v>862.50967200000014</v>
      </c>
      <c r="E65" s="298">
        <v>-492.13194012999963</v>
      </c>
      <c r="F65" s="298">
        <v>-847.06038768000076</v>
      </c>
      <c r="G65" s="4"/>
      <c r="H65" s="4"/>
      <c r="I65" s="4"/>
      <c r="J65" s="51"/>
    </row>
    <row r="66" spans="2:10" ht="14.1" customHeight="1">
      <c r="B66" s="297" t="str">
        <f>IF(Indice_index!$Z$1=1,"dos quais Receitas de:","of which revenue from:")</f>
        <v>dos quais Receitas de:</v>
      </c>
      <c r="C66" s="4"/>
      <c r="D66" s="4"/>
      <c r="E66" s="4"/>
      <c r="F66" s="4"/>
      <c r="G66" s="4"/>
      <c r="H66" s="4"/>
      <c r="I66" s="4"/>
      <c r="J66" s="28"/>
    </row>
    <row r="67" spans="2:10" ht="15">
      <c r="B67" s="284" t="str">
        <f>IF(Indice_index!$Z$1=1,"Alienação de partes de Capital","Disposal of Capital Shares")</f>
        <v>Alienação de partes de Capital</v>
      </c>
      <c r="C67" s="4"/>
      <c r="D67" s="4"/>
      <c r="E67" s="4">
        <v>0</v>
      </c>
      <c r="F67" s="4">
        <v>0</v>
      </c>
      <c r="G67" s="4"/>
      <c r="H67" s="4" t="str">
        <f>IF(IFERROR((F67-E67)/E67*100,"")&gt;500,"-",IFERROR((F67-E67)/E67*100,""))</f>
        <v>-</v>
      </c>
      <c r="I67" s="4"/>
      <c r="J67" s="51"/>
    </row>
    <row r="68" spans="2:10" ht="14.1" customHeight="1">
      <c r="B68" s="284" t="str">
        <f>IF(Indice_index!$Z$1=1,"Outros Ativos","Other Assets")</f>
        <v>Outros Ativos</v>
      </c>
      <c r="C68" s="4">
        <v>4992.3908381399997</v>
      </c>
      <c r="D68" s="4">
        <v>10385.595587</v>
      </c>
      <c r="E68" s="4">
        <v>3728.0249520000002</v>
      </c>
      <c r="F68" s="4">
        <v>3703.9055524600003</v>
      </c>
      <c r="G68" s="4"/>
      <c r="H68" s="4">
        <f>IF(IFERROR((F68-E68)/E68*100,"")&gt;500,"-",IFERROR((F68-E68)/E68*100,""))</f>
        <v>-0.64697527110327935</v>
      </c>
      <c r="I68" s="4"/>
      <c r="J68" s="50"/>
    </row>
    <row r="69" spans="2:10" ht="14.1" customHeight="1">
      <c r="B69" s="125" t="str">
        <f>IF(Indice_index!$Z$1=1,"Passivos financeiros líquidos de amortizações","Financial liabilities net of amortizations")</f>
        <v>Passivos financeiros líquidos de amortizações</v>
      </c>
      <c r="C69" s="4">
        <v>2489.7090243500002</v>
      </c>
      <c r="D69" s="4">
        <v>1837.8950749999999</v>
      </c>
      <c r="E69" s="4">
        <v>1063.8779663099999</v>
      </c>
      <c r="F69" s="4">
        <v>1168.5205127899999</v>
      </c>
      <c r="G69" s="4"/>
      <c r="H69" s="4"/>
      <c r="I69" s="4"/>
      <c r="J69" s="58"/>
    </row>
    <row r="70" spans="2:10" ht="14.1" customHeight="1">
      <c r="B70" s="173" t="str">
        <f>IF(Indice_index!$Z$1=1,"Poupança (+) / Utilização (-) de saldo da gerência anterior","Saving (+) / Usage (-) of balance from previous management")</f>
        <v>Poupança (+) / Utilização (-) de saldo da gerência anterior</v>
      </c>
      <c r="C70" s="19">
        <f>C60-C65+C69</f>
        <v>403.44840313999384</v>
      </c>
      <c r="D70" s="19">
        <f>D60-D65+D69</f>
        <v>246.98709999999801</v>
      </c>
      <c r="E70" s="19">
        <f>E60-E65+E69</f>
        <v>1590.1201122499947</v>
      </c>
      <c r="F70" s="19">
        <f>F60-F65+F69</f>
        <v>1849.9952506100001</v>
      </c>
      <c r="G70" s="19"/>
      <c r="H70" s="19"/>
      <c r="I70" s="19"/>
      <c r="J70" s="50"/>
    </row>
    <row r="71" spans="2:10" ht="15">
      <c r="B71" s="9" t="str">
        <f>IF(Indice_index!$Z$1=1,"Notas:","Notes:")</f>
        <v>Notas:</v>
      </c>
      <c r="C71" s="9"/>
      <c r="D71" s="9"/>
      <c r="E71" s="9"/>
      <c r="F71" s="9"/>
      <c r="G71" s="9"/>
      <c r="H71" s="9"/>
      <c r="I71" s="9"/>
      <c r="J71" s="50"/>
    </row>
    <row r="72" spans="2:10" ht="15">
      <c r="B72" s="392" t="str">
        <f>+'3 - Conta AC + SS'!$B$61</f>
        <v>Os dados de 2024 são mensalmente revistos e atualizados face ao publicado nas Sínteses de Execução Orçamental de 2024.</v>
      </c>
      <c r="C72" s="392"/>
      <c r="D72" s="392"/>
      <c r="E72" s="392"/>
      <c r="F72" s="392"/>
      <c r="G72" s="392"/>
      <c r="H72" s="392"/>
      <c r="I72" s="392"/>
      <c r="J72" s="28"/>
    </row>
    <row r="73" spans="2:10" ht="15">
      <c r="B73" s="396" t="str">
        <f>IF(Indice_index!$Z$1=1,"Entidades em incumprimento no reporte da execução orçamental no mês em análise:","Non reporting entities are identified below ")</f>
        <v>Entidades em incumprimento no reporte da execução orçamental no mês em análise:</v>
      </c>
      <c r="C73" s="396"/>
      <c r="D73" s="396"/>
      <c r="E73" s="396"/>
      <c r="F73" s="396"/>
      <c r="G73" s="396"/>
      <c r="H73" s="396"/>
      <c r="I73" s="396"/>
      <c r="J73" s="50"/>
    </row>
    <row r="74" spans="2:10" ht="15">
      <c r="B74" s="262" t="s">
        <v>532</v>
      </c>
      <c r="C74" s="263"/>
      <c r="D74" s="263"/>
      <c r="E74" s="264"/>
      <c r="F74" s="264"/>
      <c r="G74" s="264"/>
      <c r="H74" s="264"/>
      <c r="I74" s="264"/>
      <c r="J74" s="50"/>
    </row>
    <row r="75" spans="2:10" ht="24.75" customHeight="1">
      <c r="B75" s="400" t="s">
        <v>625</v>
      </c>
      <c r="C75" s="400"/>
      <c r="D75" s="400"/>
      <c r="E75" s="400"/>
      <c r="F75" s="400"/>
      <c r="G75" s="400"/>
      <c r="H75" s="400"/>
      <c r="I75" s="400"/>
      <c r="J75" s="212"/>
    </row>
    <row r="76" spans="2:10" ht="24.75" customHeight="1">
      <c r="B76" s="404" t="str">
        <f>IF(Indice_index!$Z$1=1,B81,B82)</f>
        <v>Para as entidades identificadas considera-se na execução orçamental uma estimativa de execução para os meses em falta, a qual corresponde a um duodécimo do orçamento aprovado abatido dos cativos previstos na lei do OE2025 (Lei n.º 45-A/2024​, de 31 de dezembro).</v>
      </c>
      <c r="C76" s="404"/>
      <c r="D76" s="404"/>
      <c r="E76" s="404"/>
      <c r="F76" s="404"/>
      <c r="G76" s="404"/>
      <c r="H76" s="404"/>
      <c r="I76" s="404"/>
      <c r="J76" s="50"/>
    </row>
    <row r="77" spans="2:10" ht="15">
      <c r="B77" s="404" t="str">
        <f>IF(Indice_index!$Z$1=1,B84,B85)</f>
        <v>Esta estimativa apenas é utilizada para os meses em que haja falta de reporte. Nos restantes meses, é utilizada a informação efetivamente reportada pelas entidades.</v>
      </c>
      <c r="C77" s="404"/>
      <c r="D77" s="404"/>
      <c r="E77" s="404"/>
      <c r="F77" s="404"/>
      <c r="G77" s="404"/>
      <c r="H77" s="404"/>
      <c r="I77" s="404"/>
      <c r="J77" s="50"/>
    </row>
    <row r="78" spans="2:10" ht="15">
      <c r="B78" s="147" t="str">
        <f>IF(Indice_index!$Z$1=1,"Fonte: Entidade Orçamental.","Source: Budgetary Entity.")</f>
        <v>Fonte: Entidade Orçamental.</v>
      </c>
      <c r="C78" s="147"/>
      <c r="D78" s="147"/>
      <c r="E78" s="50"/>
      <c r="F78" s="50"/>
      <c r="J78" s="66"/>
    </row>
    <row r="79" spans="2:10" ht="14.85" customHeight="1"/>
    <row r="81" spans="2:9" s="192" customFormat="1" ht="15" hidden="1">
      <c r="B81" s="402" t="s">
        <v>531</v>
      </c>
      <c r="C81" s="403"/>
      <c r="D81" s="403"/>
      <c r="E81" s="403"/>
      <c r="F81" s="403"/>
      <c r="G81" s="403"/>
      <c r="H81" s="70"/>
      <c r="I81" s="70"/>
    </row>
    <row r="82" spans="2:9" s="192" customFormat="1" ht="15" hidden="1">
      <c r="B82" s="397" t="s">
        <v>529</v>
      </c>
      <c r="C82" s="397"/>
      <c r="D82" s="397"/>
      <c r="E82" s="397"/>
      <c r="F82" s="397"/>
      <c r="G82" s="397"/>
      <c r="H82" s="70"/>
      <c r="I82" s="70"/>
    </row>
    <row r="83" spans="2:9" s="192" customFormat="1" ht="15" hidden="1">
      <c r="B83" s="397"/>
      <c r="C83" s="397"/>
      <c r="D83" s="397"/>
      <c r="E83" s="397"/>
      <c r="F83" s="397"/>
      <c r="G83" s="397"/>
      <c r="H83" s="397"/>
      <c r="I83" s="397"/>
    </row>
    <row r="84" spans="2:9" s="192" customFormat="1" ht="15" hidden="1">
      <c r="B84" s="397" t="s">
        <v>9</v>
      </c>
      <c r="C84" s="397"/>
      <c r="D84" s="397"/>
      <c r="E84" s="397"/>
      <c r="F84" s="397"/>
      <c r="G84" s="397"/>
      <c r="H84" s="397"/>
      <c r="I84" s="397"/>
    </row>
    <row r="85" spans="2:9" s="192" customFormat="1" ht="15" hidden="1">
      <c r="B85" s="397" t="s">
        <v>10</v>
      </c>
      <c r="C85" s="397"/>
      <c r="D85" s="397"/>
      <c r="E85" s="397"/>
      <c r="F85" s="397"/>
      <c r="G85" s="397"/>
      <c r="H85" s="397"/>
      <c r="I85" s="397"/>
    </row>
    <row r="86" spans="2:9" s="192" customFormat="1" ht="15" hidden="1">
      <c r="B86" s="53"/>
      <c r="C86" s="53"/>
      <c r="D86" s="53"/>
      <c r="E86" s="67"/>
      <c r="F86" s="53"/>
      <c r="G86" s="53"/>
      <c r="H86" s="54"/>
      <c r="I86" s="54"/>
    </row>
    <row r="87" spans="2:9" ht="15" hidden="1">
      <c r="B87" s="405"/>
      <c r="C87" s="405"/>
      <c r="D87" s="405"/>
      <c r="E87" s="405"/>
      <c r="F87" s="405"/>
      <c r="G87" s="405"/>
      <c r="H87" s="405"/>
      <c r="I87" s="405"/>
    </row>
    <row r="88" spans="2:9" ht="15" hidden="1">
      <c r="B88" s="406"/>
      <c r="C88" s="406"/>
      <c r="D88" s="407"/>
      <c r="E88" s="407"/>
      <c r="F88" s="407"/>
      <c r="G88" s="407"/>
      <c r="H88" s="407"/>
      <c r="I88" s="407"/>
    </row>
    <row r="98" spans="2:7" ht="15" hidden="1">
      <c r="B98" s="402" t="s">
        <v>11</v>
      </c>
      <c r="C98" s="403"/>
      <c r="D98" s="403"/>
      <c r="E98" s="403"/>
      <c r="F98" s="403"/>
      <c r="G98" s="403"/>
    </row>
    <row r="99" spans="2:7" ht="15" hidden="1">
      <c r="B99" s="397" t="s">
        <v>12</v>
      </c>
      <c r="C99" s="397"/>
      <c r="D99" s="397"/>
      <c r="E99" s="397"/>
      <c r="F99" s="397"/>
      <c r="G99" s="397"/>
    </row>
  </sheetData>
  <mergeCells count="17">
    <mergeCell ref="B76:I76"/>
    <mergeCell ref="B10:B11"/>
    <mergeCell ref="E10:F10"/>
    <mergeCell ref="H10:I10"/>
    <mergeCell ref="B72:I72"/>
    <mergeCell ref="B73:I73"/>
    <mergeCell ref="B75:I75"/>
    <mergeCell ref="B98:G98"/>
    <mergeCell ref="B77:I77"/>
    <mergeCell ref="B99:G99"/>
    <mergeCell ref="B81:G81"/>
    <mergeCell ref="B83:I83"/>
    <mergeCell ref="B82:G82"/>
    <mergeCell ref="B87:I87"/>
    <mergeCell ref="B88:I88"/>
    <mergeCell ref="B84:I84"/>
    <mergeCell ref="B85:I85"/>
  </mergeCells>
  <conditionalFormatting sqref="C61:D70 G61:I70">
    <cfRule type="cellIs" dxfId="55" priority="7" operator="equal">
      <formula>0</formula>
    </cfRule>
  </conditionalFormatting>
  <conditionalFormatting sqref="C12:I33">
    <cfRule type="cellIs" dxfId="54" priority="1" operator="equal">
      <formula>0</formula>
    </cfRule>
  </conditionalFormatting>
  <conditionalFormatting sqref="C35:I58">
    <cfRule type="cellIs" dxfId="53" priority="2" operator="equal">
      <formula>0</formula>
    </cfRule>
  </conditionalFormatting>
  <conditionalFormatting sqref="E61:F64 E66:F70">
    <cfRule type="cellIs" dxfId="52" priority="3" operator="equal">
      <formula>0</formula>
    </cfRule>
  </conditionalFormatting>
  <pageMargins left="0.70866141732283472" right="0.70866141732283472" top="0.74803149606299213" bottom="0.74803149606299213" header="0.31496062992125984" footer="0.31496062992125984"/>
  <pageSetup paperSize="9" scale="63" orientation="portrait" r:id="rId1"/>
  <ignoredErrors>
    <ignoredError sqref="C18:D18 C27:D27 D25 D34:D36 C42:D42 D50 C52:D52 C59:D64 C70:D70 C36 E18:F18 E27:F27 E36:F36 E42:F42 E52:F52" formulaRange="1"/>
    <ignoredError sqref="B74" numberStoredAsText="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Folha15">
    <pageSetUpPr fitToPage="1"/>
  </sheetPr>
  <dimension ref="A1:J54"/>
  <sheetViews>
    <sheetView showGridLines="0" zoomScaleNormal="100" workbookViewId="0"/>
  </sheetViews>
  <sheetFormatPr defaultColWidth="0" defaultRowHeight="15" zeroHeight="1"/>
  <cols>
    <col min="1" max="1" width="8.5703125" style="68" customWidth="1"/>
    <col min="2" max="2" width="43" style="68" customWidth="1"/>
    <col min="3" max="9" width="10.42578125" style="68" customWidth="1"/>
    <col min="10" max="10" width="8.5703125" style="69" customWidth="1"/>
    <col min="11" max="16384" width="8.5703125" hidden="1"/>
  </cols>
  <sheetData>
    <row r="1" spans="1:10"/>
    <row r="2" spans="1:10"/>
    <row r="3" spans="1:10"/>
    <row r="4" spans="1:10"/>
    <row r="5" spans="1:10" ht="18" customHeight="1">
      <c r="A5"/>
      <c r="B5" s="270" t="str">
        <f>IF(Indice_index!$Z$1=1,"ANEXOS ESTATÍSTICOS","STATISTICAL ANNEXES")</f>
        <v>ANEXOS ESTATÍSTICOS</v>
      </c>
      <c r="C5"/>
      <c r="D5"/>
      <c r="E5"/>
      <c r="F5"/>
      <c r="G5"/>
      <c r="H5"/>
      <c r="I5"/>
      <c r="J5"/>
    </row>
    <row r="6" spans="1:10" ht="18" customHeight="1">
      <c r="A6"/>
      <c r="B6" s="271" t="str">
        <f>IF(Indice_index!$Z$1=1,"Agosto de 2025","August 2025")</f>
        <v>Agosto de 2025</v>
      </c>
      <c r="C6"/>
      <c r="D6"/>
      <c r="E6"/>
      <c r="F6"/>
      <c r="G6"/>
      <c r="H6"/>
      <c r="I6"/>
      <c r="J6"/>
    </row>
    <row r="7" spans="1:10" ht="48.75" customHeight="1">
      <c r="B7" s="12"/>
      <c r="C7" s="13"/>
      <c r="D7" s="11"/>
      <c r="E7" s="11"/>
      <c r="F7" s="11"/>
      <c r="G7" s="11"/>
      <c r="H7" s="11"/>
      <c r="I7" s="73"/>
    </row>
    <row r="8" spans="1:10" ht="15.75">
      <c r="B8" s="1" t="str">
        <f>IF(Indice_index!$Z$1=1,"Quadro 9 - Execução Orçamental da Caixa Geral de Aposentações","9 - Public Servants Social Scheme Budget Execution")</f>
        <v>Quadro 9 - Execução Orçamental da Caixa Geral de Aposentações</v>
      </c>
      <c r="C8" s="2"/>
      <c r="D8" s="2"/>
      <c r="E8" s="2"/>
      <c r="F8" s="2"/>
      <c r="G8" s="2"/>
      <c r="H8" s="2"/>
      <c r="I8" s="2"/>
    </row>
    <row r="9" spans="1:10">
      <c r="B9" s="3" t="str">
        <f>+'3 - Conta AC + SS'!B9</f>
        <v>Período: janeiro a agosto</v>
      </c>
      <c r="C9" s="3"/>
      <c r="D9" s="3"/>
      <c r="E9" s="3"/>
      <c r="F9" s="3"/>
      <c r="G9" s="3"/>
      <c r="H9" s="3"/>
      <c r="I9" s="3" t="str">
        <f>IF(Indice_index!$Z$1=1,"€ Milhões","€ Millions")</f>
        <v>€ Milhões</v>
      </c>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134">
        <f>+C13+C18+C27</f>
        <v>12186.82365122</v>
      </c>
      <c r="D12" s="134">
        <f>+D13+D18+D27</f>
        <v>12868.901026000001</v>
      </c>
      <c r="E12" s="134">
        <v>7913.086989899999</v>
      </c>
      <c r="F12" s="134">
        <v>8366.8762168899993</v>
      </c>
      <c r="G12" s="134">
        <v>65.016244976830379</v>
      </c>
      <c r="H12" s="134">
        <v>5.7346674890494924</v>
      </c>
      <c r="I12" s="134">
        <v>5.7289394024047136</v>
      </c>
    </row>
    <row r="13" spans="1:10" ht="14.1" customHeight="1">
      <c r="B13" s="125" t="str">
        <f>IF(Indice_index!$Z$1=1,"Contribuições para a Caixa Geral de Aposentações","Contributions to the Public Servants Social Scheme (CGA)")</f>
        <v>Contribuições para a Caixa Geral de Aposentações</v>
      </c>
      <c r="C13" s="4">
        <f>+C14+C15</f>
        <v>4329.1192844600009</v>
      </c>
      <c r="D13" s="4">
        <f>+D14+D15</f>
        <v>4294.8083999999999</v>
      </c>
      <c r="E13" s="4">
        <v>2749.5644154699994</v>
      </c>
      <c r="F13" s="4">
        <v>2849.3872692099999</v>
      </c>
      <c r="G13" s="4">
        <v>66.344921678228999</v>
      </c>
      <c r="H13" s="4">
        <v>3.6304970044841509</v>
      </c>
      <c r="I13" s="4">
        <v>1.2602306225841131</v>
      </c>
    </row>
    <row r="14" spans="1:10" ht="14.1" customHeight="1">
      <c r="B14" s="172" t="str">
        <f>IF(Indice_index!$Z$1=1,"Quotas e contribuições para a CGA","Fees and contributions to the CGA")</f>
        <v>Quotas e contribuições para a CGA</v>
      </c>
      <c r="C14" s="4">
        <v>4268.958833990001</v>
      </c>
      <c r="D14" s="4">
        <v>4220.6319999999996</v>
      </c>
      <c r="E14" s="4">
        <v>2710.6378261199993</v>
      </c>
      <c r="F14" s="4">
        <v>2810.8463396399998</v>
      </c>
      <c r="G14" s="4">
        <v>66.597759284391529</v>
      </c>
      <c r="H14" s="4">
        <v>3.6968610322773618</v>
      </c>
      <c r="I14" s="4">
        <v>1.2650994501766493</v>
      </c>
    </row>
    <row r="15" spans="1:10" ht="14.1" customHeight="1">
      <c r="B15" s="172" t="str">
        <f>IF(Indice_index!$Z$1=1,"Compensação por pagamento de pensões","Pension payment compensations")</f>
        <v>Compensação por pagamento de pensões</v>
      </c>
      <c r="C15" s="4">
        <f>+C16+C17</f>
        <v>60.160450469999994</v>
      </c>
      <c r="D15" s="4">
        <f>+D16+D17</f>
        <v>74.176400000000001</v>
      </c>
      <c r="E15" s="4">
        <v>38.92658935</v>
      </c>
      <c r="F15" s="4">
        <v>38.540929570000003</v>
      </c>
      <c r="G15" s="4">
        <v>51.958479475951926</v>
      </c>
      <c r="H15" s="4">
        <v>-0.99073611749650359</v>
      </c>
      <c r="I15" s="4">
        <v>-4.8688275925364921E-3</v>
      </c>
    </row>
    <row r="16" spans="1:10" ht="14.1" customHeight="1">
      <c r="B16" s="284" t="str">
        <f>IF(Indice_index!$Z$1=1,"Subsetores das Administrações Públicas","General Government subsectors")</f>
        <v>Subsetores das Administrações Públicas</v>
      </c>
      <c r="C16" s="4">
        <v>44.719331059999995</v>
      </c>
      <c r="D16" s="4">
        <v>54.530499999999996</v>
      </c>
      <c r="E16" s="4">
        <v>29.155676369999998</v>
      </c>
      <c r="F16" s="4">
        <v>28.296153880000006</v>
      </c>
      <c r="G16" s="4">
        <v>51.89050876115202</v>
      </c>
      <c r="H16" s="4">
        <v>-2.9480451048098693</v>
      </c>
      <c r="I16" s="4">
        <v>-1.0851188100863572E-2</v>
      </c>
    </row>
    <row r="17" spans="2:9" ht="14.1" customHeight="1">
      <c r="B17" s="284" t="str">
        <f>IF(Indice_index!$Z$1=1,"Outras entidades","Other entities")</f>
        <v>Outras entidades</v>
      </c>
      <c r="C17" s="4">
        <v>15.441119410000001</v>
      </c>
      <c r="D17" s="4">
        <v>19.645899999999997</v>
      </c>
      <c r="E17" s="4">
        <v>9.7709129800000003</v>
      </c>
      <c r="F17" s="4">
        <v>10.244775689999999</v>
      </c>
      <c r="G17" s="4">
        <v>52.147143627932536</v>
      </c>
      <c r="H17" s="4">
        <v>4.8497280752570857</v>
      </c>
      <c r="I17" s="4">
        <v>5.9823605083271251E-3</v>
      </c>
    </row>
    <row r="18" spans="2:9" ht="14.1" customHeight="1">
      <c r="B18" s="125" t="str">
        <f>IF(Indice_index!$Z$1=1,"Transferências correntes","Current transfers")</f>
        <v>Transferências correntes</v>
      </c>
      <c r="C18" s="4">
        <f>+C19+C26</f>
        <v>7763.8363064799996</v>
      </c>
      <c r="D18" s="4">
        <f>+D19+D26</f>
        <v>8231.8818260000007</v>
      </c>
      <c r="E18" s="4">
        <v>5092.99676163</v>
      </c>
      <c r="F18" s="4">
        <v>5467.3057730599994</v>
      </c>
      <c r="G18" s="4">
        <v>66.416232504599122</v>
      </c>
      <c r="H18" s="4">
        <v>7.349484575564559</v>
      </c>
      <c r="I18" s="4">
        <v>4.7255278810392163</v>
      </c>
    </row>
    <row r="19" spans="2:9" ht="14.1" customHeight="1">
      <c r="B19" s="172" t="str">
        <f>IF(Indice_index!$Z$1=1,"Orçamento do Estado","State Budget")</f>
        <v>Orçamento do Estado</v>
      </c>
      <c r="C19" s="4">
        <f>+C20+C21</f>
        <v>7126.1165639999999</v>
      </c>
      <c r="D19" s="4">
        <f>+D20+D21</f>
        <v>7567.6222260000004</v>
      </c>
      <c r="E19" s="4">
        <v>4683.0873000000001</v>
      </c>
      <c r="F19" s="4">
        <v>5040.6570009999996</v>
      </c>
      <c r="G19" s="4">
        <v>66.608200706450006</v>
      </c>
      <c r="H19" s="4">
        <v>7.6353413484305408</v>
      </c>
      <c r="I19" s="4">
        <v>4.5141996048533555</v>
      </c>
    </row>
    <row r="20" spans="2:9" ht="14.1" customHeight="1">
      <c r="B20" s="284" t="str">
        <f>IF(Indice_index!$Z$1=1,"Comparticipação do Orçamento do Estado","State Budget contributions")</f>
        <v>Comparticipação do Orçamento do Estado</v>
      </c>
      <c r="C20" s="4">
        <v>6541.1455640000004</v>
      </c>
      <c r="D20" s="4">
        <v>6962.3395710000004</v>
      </c>
      <c r="E20" s="4">
        <v>4343.8999999999996</v>
      </c>
      <c r="F20" s="4">
        <v>4660.3502010000002</v>
      </c>
      <c r="G20" s="4">
        <v>66.936554206743963</v>
      </c>
      <c r="H20" s="4">
        <v>7.2849329174244488</v>
      </c>
      <c r="I20" s="4">
        <v>3.9950794720998175</v>
      </c>
    </row>
    <row r="21" spans="2:9" ht="14.1" customHeight="1">
      <c r="B21" s="284" t="str">
        <f>IF(Indice_index!$Z$1=1,"Compensação por pagamento de pensões","Pension payment compensations")</f>
        <v>Compensação por pagamento de pensões</v>
      </c>
      <c r="C21" s="4">
        <f>+C22+C23+C24+C25</f>
        <v>584.971</v>
      </c>
      <c r="D21" s="4">
        <f>+D22+D23+D24+D25</f>
        <v>605.28265499999998</v>
      </c>
      <c r="E21" s="4">
        <v>339.1873000000005</v>
      </c>
      <c r="F21" s="4">
        <v>380.30679999999938</v>
      </c>
      <c r="G21" s="4">
        <v>62.831273432079328</v>
      </c>
      <c r="H21" s="4">
        <v>12.122947999526756</v>
      </c>
      <c r="I21" s="4">
        <v>0.51912013275353763</v>
      </c>
    </row>
    <row r="22" spans="2:9" ht="14.1" customHeight="1">
      <c r="B22" s="300" t="str">
        <f>IF(Indice_index!$Z$1=1,"Deficientes das Forças Armadas / Invalidez","Armed Forces handicapped / disability")</f>
        <v>Deficientes das Forças Armadas / Invalidez</v>
      </c>
      <c r="C22" s="4">
        <v>198.1824</v>
      </c>
      <c r="D22" s="4">
        <v>198.1</v>
      </c>
      <c r="E22" s="4">
        <v>124.6674</v>
      </c>
      <c r="F22" s="4">
        <v>134.99969999999999</v>
      </c>
      <c r="G22" s="4">
        <v>68.147248864209999</v>
      </c>
      <c r="H22" s="4">
        <v>8.2878924241622016</v>
      </c>
      <c r="I22" s="4">
        <v>0.13044188153186489</v>
      </c>
    </row>
    <row r="23" spans="2:9" ht="14.1" customHeight="1">
      <c r="B23" s="300" t="str">
        <f>IF(Indice_index!$Z$1=1,"Subvenções vitalícias","Lifetime grants")</f>
        <v>Subvenções vitalícias</v>
      </c>
      <c r="C23" s="4">
        <v>8.3996999999999993</v>
      </c>
      <c r="D23" s="4">
        <v>8.9</v>
      </c>
      <c r="E23" s="4">
        <v>5.6147</v>
      </c>
      <c r="F23" s="4">
        <v>6.0301</v>
      </c>
      <c r="G23" s="4">
        <v>67.753932584269663</v>
      </c>
      <c r="H23" s="4">
        <v>7.3984362477069121</v>
      </c>
      <c r="I23" s="4">
        <v>5.2442880663876121E-3</v>
      </c>
    </row>
    <row r="24" spans="2:9" ht="14.1" customHeight="1">
      <c r="B24" s="300" t="str">
        <f>IF(Indice_index!$Z$1=1,"Pensões de preço de sangue","Blood price pensions")</f>
        <v>Pensões de preço de sangue</v>
      </c>
      <c r="C24" s="4">
        <v>33.460999999999999</v>
      </c>
      <c r="D24" s="4">
        <v>34.491</v>
      </c>
      <c r="E24" s="4">
        <v>21.204999999999998</v>
      </c>
      <c r="F24" s="4">
        <v>21.94</v>
      </c>
      <c r="G24" s="4">
        <v>63.610797019512347</v>
      </c>
      <c r="H24" s="4">
        <v>3.4661636406508043</v>
      </c>
      <c r="I24" s="4">
        <v>9.2791327125539506E-3</v>
      </c>
    </row>
    <row r="25" spans="2:9" ht="14.1" customHeight="1">
      <c r="B25" s="300" t="str">
        <f>IF(Indice_index!$Z$1=1,"Outras","Others")</f>
        <v>Outras</v>
      </c>
      <c r="C25" s="4">
        <v>344.92789999999997</v>
      </c>
      <c r="D25" s="4">
        <v>363.79165500000005</v>
      </c>
      <c r="E25" s="4">
        <v>187.70020000000051</v>
      </c>
      <c r="F25" s="4">
        <v>217.33699999999939</v>
      </c>
      <c r="G25" s="4">
        <v>59.742162035025068</v>
      </c>
      <c r="H25" s="4">
        <v>15.789434427879566</v>
      </c>
      <c r="I25" s="4">
        <v>0.37415483044273123</v>
      </c>
    </row>
    <row r="26" spans="2:9" ht="14.1" customHeight="1">
      <c r="B26" s="284" t="str">
        <f>IF(Indice_index!$Z$1=1,"Outras transferências correntes","Other current transfers")</f>
        <v>Outras transferências correntes</v>
      </c>
      <c r="C26" s="4">
        <v>637.71974248000004</v>
      </c>
      <c r="D26" s="4">
        <v>664.25959999999998</v>
      </c>
      <c r="E26" s="4">
        <v>409.9094616299999</v>
      </c>
      <c r="F26" s="4">
        <v>426.64877205999983</v>
      </c>
      <c r="G26" s="4">
        <v>64.229221837365941</v>
      </c>
      <c r="H26" s="4">
        <v>4.0836604169701944</v>
      </c>
      <c r="I26" s="4">
        <v>0.21132827618586025</v>
      </c>
    </row>
    <row r="27" spans="2:9" ht="14.1" customHeight="1">
      <c r="B27" s="172" t="str">
        <f>IF(Indice_index!$Z$1=1,"Outras receitas correntes","Other current revenue")</f>
        <v>Outras receitas correntes</v>
      </c>
      <c r="C27" s="4">
        <v>93.868060279999995</v>
      </c>
      <c r="D27" s="4">
        <v>342.21080000000001</v>
      </c>
      <c r="E27" s="4">
        <v>70.525812800000011</v>
      </c>
      <c r="F27" s="4">
        <v>50.183174619999996</v>
      </c>
      <c r="G27" s="4">
        <v>14.664404109981334</v>
      </c>
      <c r="H27" s="4">
        <v>-28.844244925880545</v>
      </c>
      <c r="I27" s="4">
        <v>-0.25681910121862089</v>
      </c>
    </row>
    <row r="28" spans="2:9" ht="14.1" customHeight="1">
      <c r="B28" s="174" t="str">
        <f>IF(Indice_index!$Z$1=1,"Receita de capital","Capital revenue")</f>
        <v>Receita de capital</v>
      </c>
      <c r="C28" s="134">
        <f>+C29</f>
        <v>8.2210378899999998</v>
      </c>
      <c r="D28" s="335">
        <f>+D29</f>
        <v>0</v>
      </c>
      <c r="E28" s="134">
        <v>7.9119091199999998</v>
      </c>
      <c r="F28" s="134">
        <v>0</v>
      </c>
      <c r="G28" s="134" t="s">
        <v>4</v>
      </c>
      <c r="H28" s="134">
        <v>-100</v>
      </c>
      <c r="I28" s="134">
        <v>-9.9885244536252568E-2</v>
      </c>
    </row>
    <row r="29" spans="2:9" ht="14.1" customHeight="1">
      <c r="B29" s="125" t="str">
        <f>IF(Indice_index!$Z$1=1,"Transferências de capital","Capital transfers")</f>
        <v>Transferências de capital</v>
      </c>
      <c r="C29" s="4">
        <v>8.2210378899999998</v>
      </c>
      <c r="D29" s="295">
        <v>0</v>
      </c>
      <c r="E29" s="4">
        <v>7.9119091199999998</v>
      </c>
      <c r="F29" s="4">
        <v>0</v>
      </c>
      <c r="G29" s="4" t="s">
        <v>4</v>
      </c>
      <c r="H29" s="4">
        <v>-100</v>
      </c>
      <c r="I29" s="4">
        <v>-9.9885244536252568E-2</v>
      </c>
    </row>
    <row r="30" spans="2:9" ht="14.1" customHeight="1">
      <c r="B30" s="30" t="str">
        <f>IF(Indice_index!$Z$1=1,"Receita efetiva","Effective revenue")</f>
        <v>Receita efetiva</v>
      </c>
      <c r="C30" s="18">
        <f>+C12+C28</f>
        <v>12195.04468911</v>
      </c>
      <c r="D30" s="18">
        <f>+D12+D28</f>
        <v>12868.901026000001</v>
      </c>
      <c r="E30" s="18">
        <v>7920.998899019999</v>
      </c>
      <c r="F30" s="18">
        <v>8366.8762168899993</v>
      </c>
      <c r="G30" s="18">
        <v>65.016244976830379</v>
      </c>
      <c r="H30" s="18">
        <v>5.6290541578684614</v>
      </c>
      <c r="I30" s="18"/>
    </row>
    <row r="31" spans="2:9" ht="14.1" customHeight="1">
      <c r="B31" s="174" t="str">
        <f>IF(Indice_index!$Z$1=1,"Despesa corrente","Current expenditure")</f>
        <v>Despesa corrente</v>
      </c>
      <c r="C31" s="134">
        <f>+C32+C36+C37+C38+C44</f>
        <v>12397.1963641</v>
      </c>
      <c r="D31" s="134">
        <f>+D32+D36+D37+D38+D44</f>
        <v>12976.313891</v>
      </c>
      <c r="E31" s="134">
        <v>7892.0436543899996</v>
      </c>
      <c r="F31" s="134">
        <v>8436.8168667099999</v>
      </c>
      <c r="G31" s="134">
        <v>65.01705289790759</v>
      </c>
      <c r="H31" s="134">
        <v>6.9028154959199535</v>
      </c>
      <c r="I31" s="134">
        <v>6.9028154959199535</v>
      </c>
    </row>
    <row r="32" spans="2:9" ht="14.1" customHeight="1">
      <c r="B32" s="125" t="str">
        <f>IF(Indice_index!$Z$1=1,"Despesas com pessoal","Employees")</f>
        <v>Despesas com pessoal</v>
      </c>
      <c r="C32" s="4">
        <f>+C33+C34+C35</f>
        <v>7.72704551</v>
      </c>
      <c r="D32" s="4">
        <f>+D33+D34+D35</f>
        <v>8.1458999999999993</v>
      </c>
      <c r="E32" s="4">
        <v>4.97265771</v>
      </c>
      <c r="F32" s="4">
        <v>4.9980757899999997</v>
      </c>
      <c r="G32" s="4">
        <v>61.356949999386202</v>
      </c>
      <c r="H32" s="4">
        <v>0.51115683970935688</v>
      </c>
      <c r="I32" s="4">
        <v>3.2207221745232884E-4</v>
      </c>
    </row>
    <row r="33" spans="2:9" ht="14.1" customHeight="1">
      <c r="B33" s="172" t="str">
        <f>IF(Indice_index!$Z$1=1,"Remunerações certas e permanentes","Certain and permanent wages")</f>
        <v>Remunerações certas e permanentes</v>
      </c>
      <c r="C33" s="4">
        <v>8.3490339999999996E-2</v>
      </c>
      <c r="D33" s="4">
        <v>8.4000000000000005E-2</v>
      </c>
      <c r="E33" s="4">
        <v>5.5660240000000007E-2</v>
      </c>
      <c r="F33" s="4">
        <v>4.8974759999999999E-2</v>
      </c>
      <c r="G33" s="4">
        <v>58.303285714285714</v>
      </c>
      <c r="H33" s="4">
        <v>-12.011230997207354</v>
      </c>
      <c r="I33" s="4">
        <v>-8.4711644952460019E-5</v>
      </c>
    </row>
    <row r="34" spans="2:9" ht="17.25" hidden="1" customHeight="1">
      <c r="B34" s="172" t="str">
        <f>IF(Indice_index!$Z$1=1,"Abonos variáveis ou eventuais","Variable or contingent bonuses")</f>
        <v>Abonos variáveis ou eventuais</v>
      </c>
      <c r="C34" s="4">
        <v>0</v>
      </c>
      <c r="D34" s="4">
        <v>0</v>
      </c>
      <c r="E34" s="295"/>
      <c r="F34" s="295"/>
      <c r="G34" s="4" t="s">
        <v>4</v>
      </c>
      <c r="H34" s="4" t="s">
        <v>4</v>
      </c>
      <c r="I34" s="4">
        <v>0</v>
      </c>
    </row>
    <row r="35" spans="2:9" ht="14.1" customHeight="1">
      <c r="B35" s="172" t="str">
        <f>IF(Indice_index!$Z$1=1,"Segurança Social","Social security")</f>
        <v>Segurança Social</v>
      </c>
      <c r="C35" s="4">
        <v>7.64355517</v>
      </c>
      <c r="D35" s="4">
        <v>8.0618999999999996</v>
      </c>
      <c r="E35" s="4">
        <v>4.9169974700000001</v>
      </c>
      <c r="F35" s="4">
        <v>4.9491010299999996</v>
      </c>
      <c r="G35" s="4">
        <v>61.388767288108262</v>
      </c>
      <c r="H35" s="4">
        <v>0.6529098336102962</v>
      </c>
      <c r="I35" s="4">
        <v>4.0678386240478623E-4</v>
      </c>
    </row>
    <row r="36" spans="2:9" ht="14.1" customHeight="1">
      <c r="B36" s="125" t="str">
        <f>IF(Indice_index!$Z$1=1,"Aquisição de bens e serviços","Purchase of goods and services")</f>
        <v>Aquisição de bens e serviços</v>
      </c>
      <c r="C36" s="4">
        <v>29.364440670000004</v>
      </c>
      <c r="D36" s="4">
        <v>42.734302</v>
      </c>
      <c r="E36" s="4">
        <v>20.815004520000002</v>
      </c>
      <c r="F36" s="4">
        <v>24.197029449999999</v>
      </c>
      <c r="G36" s="4">
        <v>56.622030353976527</v>
      </c>
      <c r="H36" s="4">
        <v>16.248014391495293</v>
      </c>
      <c r="I36" s="4">
        <v>4.2853601400427169E-2</v>
      </c>
    </row>
    <row r="37" spans="2:9" ht="14.1" customHeight="1">
      <c r="B37" s="125" t="str">
        <f>IF(Indice_index!$Z$1=1,"Juros e outros encargos","Interests and other charges")</f>
        <v>Juros e outros encargos</v>
      </c>
      <c r="C37" s="4">
        <v>0.18092076999999998</v>
      </c>
      <c r="D37" s="4">
        <v>2.2999999999999998</v>
      </c>
      <c r="E37" s="4">
        <v>0.14437501999999999</v>
      </c>
      <c r="F37" s="4">
        <v>0.42138688000000002</v>
      </c>
      <c r="G37" s="4">
        <v>18.321168695652176</v>
      </c>
      <c r="H37" s="4">
        <v>191.86966000073974</v>
      </c>
      <c r="I37" s="4">
        <v>3.5100142894662063E-3</v>
      </c>
    </row>
    <row r="38" spans="2:9" ht="14.1" customHeight="1">
      <c r="B38" s="125" t="str">
        <f>IF(Indice_index!$Z$1=1,"Transferências","Transfers")</f>
        <v>Transferências</v>
      </c>
      <c r="C38" s="4">
        <f>+C40+C41+C42+C43</f>
        <v>12357.113320160001</v>
      </c>
      <c r="D38" s="4">
        <f>+D40+D41+D42+D43</f>
        <v>12914.033689</v>
      </c>
      <c r="E38" s="4">
        <v>7865.45693923</v>
      </c>
      <c r="F38" s="4">
        <v>8405.2261932599995</v>
      </c>
      <c r="G38" s="4">
        <v>65.085986266393718</v>
      </c>
      <c r="H38" s="4">
        <v>6.8625288803989175</v>
      </c>
      <c r="I38" s="4">
        <v>6.839410394413485</v>
      </c>
    </row>
    <row r="39" spans="2:9" ht="14.1" customHeight="1">
      <c r="B39" s="172" t="str">
        <f>IF(Indice_index!$Z$1=1,"Pensões e abonos da responsabilidade de:","Liability for pensions and allowances from:")</f>
        <v>Pensões e abonos da responsabilidade de:</v>
      </c>
      <c r="C39" s="4"/>
      <c r="D39" s="4"/>
      <c r="E39" s="4"/>
      <c r="F39" s="4"/>
      <c r="G39" s="4"/>
      <c r="H39" s="4"/>
      <c r="I39" s="4">
        <v>0</v>
      </c>
    </row>
    <row r="40" spans="2:9" ht="14.1" customHeight="1">
      <c r="B40" s="284" t="str">
        <f>IF(Indice_index!$Z$1=1,"Caixa Geral de Aposentações","Public Servants Social Scheme")</f>
        <v>Caixa Geral de Aposentações</v>
      </c>
      <c r="C40" s="4">
        <v>10853.856201049999</v>
      </c>
      <c r="D40" s="4">
        <v>11330.734629</v>
      </c>
      <c r="E40" s="4">
        <v>6937.7096107999996</v>
      </c>
      <c r="F40" s="4">
        <v>7402.4659354300002</v>
      </c>
      <c r="G40" s="4">
        <v>65.330856098986303</v>
      </c>
      <c r="H40" s="4">
        <v>6.6989878605831219</v>
      </c>
      <c r="I40" s="4">
        <v>5.8889223752769908</v>
      </c>
    </row>
    <row r="41" spans="2:9" ht="14.1" customHeight="1">
      <c r="B41" s="284" t="str">
        <f>IF(Indice_index!$Z$1=1,"Orçamento do Estado","State Budget")</f>
        <v>Orçamento do Estado</v>
      </c>
      <c r="C41" s="4">
        <v>569.53926869999998</v>
      </c>
      <c r="D41" s="4">
        <v>587.346</v>
      </c>
      <c r="E41" s="4">
        <v>329.24027562999999</v>
      </c>
      <c r="F41" s="4">
        <v>374.14621062999998</v>
      </c>
      <c r="G41" s="4">
        <v>63.701159219608208</v>
      </c>
      <c r="H41" s="4">
        <v>13.639259326360564</v>
      </c>
      <c r="I41" s="4">
        <v>0.56900261790899742</v>
      </c>
    </row>
    <row r="42" spans="2:9" ht="14.1" customHeight="1">
      <c r="B42" s="284" t="str">
        <f>IF(Indice_index!$Z$1=1,"Outras entidades","Other entities")</f>
        <v>Outras entidades</v>
      </c>
      <c r="C42" s="4">
        <v>690.53990180000005</v>
      </c>
      <c r="D42" s="4">
        <v>729.38599999999997</v>
      </c>
      <c r="E42" s="4">
        <v>442.96468307999999</v>
      </c>
      <c r="F42" s="4">
        <v>462.58909226000003</v>
      </c>
      <c r="G42" s="4">
        <v>63.421712544523757</v>
      </c>
      <c r="H42" s="4">
        <v>4.4302423939417874</v>
      </c>
      <c r="I42" s="4">
        <v>0.24866067699820493</v>
      </c>
    </row>
    <row r="43" spans="2:9" ht="14.1" customHeight="1">
      <c r="B43" s="172" t="str">
        <f>IF(Indice_index!$Z$1=1,"Outras transferências correntes","Other current transfers")</f>
        <v>Outras transferências correntes</v>
      </c>
      <c r="C43" s="4">
        <v>243.17794860999999</v>
      </c>
      <c r="D43" s="4">
        <v>266.56705999999997</v>
      </c>
      <c r="E43" s="4">
        <v>155.54236972000001</v>
      </c>
      <c r="F43" s="4">
        <v>166.02495493999999</v>
      </c>
      <c r="G43" s="4">
        <v>62.28262221896432</v>
      </c>
      <c r="H43" s="4">
        <v>6.7393760548140209</v>
      </c>
      <c r="I43" s="4">
        <v>0.13282472422930619</v>
      </c>
    </row>
    <row r="44" spans="2:9" ht="14.1" customHeight="1">
      <c r="B44" s="125" t="str">
        <f>IF(Indice_index!$Z$1=1,"Outras despesas correntes","Other current expenditure")</f>
        <v>Outras despesas correntes</v>
      </c>
      <c r="C44" s="4">
        <v>2.8106369900000003</v>
      </c>
      <c r="D44" s="4">
        <v>9.1</v>
      </c>
      <c r="E44" s="4">
        <v>0.65467790999999986</v>
      </c>
      <c r="F44" s="4">
        <v>1.9741813300000002</v>
      </c>
      <c r="G44" s="4">
        <v>21.694300329670334</v>
      </c>
      <c r="H44" s="4">
        <v>201.5500141130469</v>
      </c>
      <c r="I44" s="4">
        <v>1.67194135991128E-2</v>
      </c>
    </row>
    <row r="45" spans="2:9" ht="14.1" customHeight="1">
      <c r="B45" s="174" t="str">
        <f>IF(Indice_index!$Z$1=1,"Despesa de capital","Capital expenditure")</f>
        <v>Despesa de capital</v>
      </c>
      <c r="C45" s="134">
        <v>0</v>
      </c>
      <c r="D45" s="134">
        <v>0</v>
      </c>
      <c r="E45" s="134">
        <v>0</v>
      </c>
      <c r="F45" s="134">
        <v>0</v>
      </c>
      <c r="G45" s="134" t="s">
        <v>4</v>
      </c>
      <c r="H45" s="134" t="s">
        <v>4</v>
      </c>
      <c r="I45" s="134">
        <v>0</v>
      </c>
    </row>
    <row r="46" spans="2:9" ht="14.1" customHeight="1">
      <c r="B46" s="30" t="str">
        <f>IF(Indice_index!$Z$1=1,"Despesa efetiva","Effective expenditure")</f>
        <v>Despesa efetiva</v>
      </c>
      <c r="C46" s="18">
        <f>+C31+C45</f>
        <v>12397.1963641</v>
      </c>
      <c r="D46" s="18">
        <f>+D31+D45</f>
        <v>12976.313891</v>
      </c>
      <c r="E46" s="18">
        <v>7892.0436543899996</v>
      </c>
      <c r="F46" s="18">
        <v>8436.8168667099999</v>
      </c>
      <c r="G46" s="18">
        <v>65.01705289790759</v>
      </c>
      <c r="H46" s="18">
        <v>6.9028154959199535</v>
      </c>
      <c r="I46" s="18"/>
    </row>
    <row r="47" spans="2:9" ht="14.1" customHeight="1">
      <c r="B47" s="30" t="str">
        <f>IF(Indice_index!$Z$1=1,"Saldo global","Overall balance")</f>
        <v>Saldo global</v>
      </c>
      <c r="C47" s="18">
        <f>+C30-C46</f>
        <v>-202.15167499000017</v>
      </c>
      <c r="D47" s="18">
        <f>+D30-D46</f>
        <v>-107.41286499999842</v>
      </c>
      <c r="E47" s="18">
        <v>28.95524462999947</v>
      </c>
      <c r="F47" s="18">
        <v>-69.940649820000544</v>
      </c>
      <c r="G47" s="18"/>
      <c r="H47" s="18"/>
      <c r="I47" s="18"/>
    </row>
    <row r="48" spans="2:9" ht="14.1" customHeight="1">
      <c r="B48" s="125" t="str">
        <f>IF(Indice_index!$Z$1=1,"Ativos financeiros líquidos de reembolsos","Financial assets net of reimbursements")</f>
        <v>Ativos financeiros líquidos de reembolsos</v>
      </c>
      <c r="C48" s="4">
        <v>-222.32031388999999</v>
      </c>
      <c r="D48" s="4">
        <v>-107.412865</v>
      </c>
      <c r="E48" s="295">
        <v>-422.04275992000004</v>
      </c>
      <c r="F48" s="295">
        <v>-596.58605649000003</v>
      </c>
      <c r="G48" s="4"/>
      <c r="H48" s="4"/>
      <c r="I48" s="4"/>
    </row>
    <row r="49" spans="2:9" ht="13.5" customHeight="1">
      <c r="B49" s="125" t="str">
        <f>IF(Indice_index!$Z$1=1,"Passivos financeiros líquidos de amortizações","Financial liabilities net of amortizations")</f>
        <v>Passivos financeiros líquidos de amortizações</v>
      </c>
      <c r="C49" s="4">
        <v>0</v>
      </c>
      <c r="D49" s="4">
        <v>0</v>
      </c>
      <c r="E49" s="4">
        <v>0</v>
      </c>
      <c r="F49" s="4">
        <v>0</v>
      </c>
      <c r="G49" s="4"/>
      <c r="H49" s="4"/>
      <c r="I49" s="4"/>
    </row>
    <row r="50" spans="2:9" ht="14.1" customHeight="1">
      <c r="B50" s="173" t="str">
        <f>IF(Indice_index!$Z$1=1,"Poupança (+) / Utilização (-) de saldo da gerência anterior","Saving (+) / Usage (-) of balance from previous management")</f>
        <v>Poupança (+) / Utilização (-) de saldo da gerência anterior</v>
      </c>
      <c r="C50" s="19">
        <f>C47-C48+C49</f>
        <v>20.16863889999982</v>
      </c>
      <c r="D50" s="19">
        <f>D47-D48+D49</f>
        <v>1.5774048733874224E-12</v>
      </c>
      <c r="E50" s="19">
        <v>450.99800454999951</v>
      </c>
      <c r="F50" s="19">
        <v>526.64540666999949</v>
      </c>
      <c r="G50" s="19"/>
      <c r="H50" s="19"/>
      <c r="I50" s="19"/>
    </row>
    <row r="51" spans="2:9">
      <c r="B51" s="9" t="str">
        <f>IF(Indice_index!$Z$1=1,"Notas:","Notes:")</f>
        <v>Notas:</v>
      </c>
      <c r="C51" s="9"/>
      <c r="D51" s="9"/>
      <c r="E51" s="9"/>
      <c r="F51" s="9"/>
      <c r="G51" s="9"/>
      <c r="H51" s="9"/>
      <c r="I51" s="9"/>
    </row>
    <row r="52" spans="2:9">
      <c r="B52" s="392" t="str">
        <f>+'3 - Conta AC + SS'!$B$61</f>
        <v>Os dados de 2024 são mensalmente revistos e atualizados face ao publicado nas Sínteses de Execução Orçamental de 2024.</v>
      </c>
      <c r="C52" s="392"/>
      <c r="D52" s="392"/>
      <c r="E52" s="392"/>
      <c r="F52" s="392"/>
      <c r="G52" s="392"/>
      <c r="H52" s="392"/>
      <c r="I52" s="392"/>
    </row>
    <row r="53" spans="2:9">
      <c r="B53" s="147" t="str">
        <f>IF(Indice_index!$Z$1=1,"Fonte: Entidade Orçamental.","Source: Budgetary Entity.")</f>
        <v>Fonte: Entidade Orçamental.</v>
      </c>
      <c r="C53" s="147"/>
      <c r="D53" s="147"/>
      <c r="F53" s="160"/>
    </row>
    <row r="54" spans="2:9"/>
  </sheetData>
  <mergeCells count="4">
    <mergeCell ref="B10:B11"/>
    <mergeCell ref="E10:F10"/>
    <mergeCell ref="H10:I10"/>
    <mergeCell ref="B52:I52"/>
  </mergeCells>
  <conditionalFormatting sqref="C12:I29 C31:I45 C48:I50">
    <cfRule type="cellIs" dxfId="51" priority="1" operator="equal">
      <formula>0</formula>
    </cfRule>
  </conditionalFormatting>
  <pageMargins left="0.70866141732283472" right="0.70866141732283472" top="0.74803149606299213" bottom="0.74803149606299213" header="0.31496062992125984" footer="0.31496062992125984"/>
  <pageSetup paperSize="9" scale="75"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Folha16">
    <pageSetUpPr fitToPage="1"/>
  </sheetPr>
  <dimension ref="A1:O110"/>
  <sheetViews>
    <sheetView showGridLines="0" zoomScaleNormal="100" workbookViewId="0"/>
  </sheetViews>
  <sheetFormatPr defaultColWidth="0" defaultRowHeight="14.85" customHeight="1" zeroHeight="1"/>
  <cols>
    <col min="1" max="1" width="8.5703125" style="68" customWidth="1"/>
    <col min="2" max="2" width="63" style="71" customWidth="1"/>
    <col min="3" max="4" width="10.42578125" style="71" customWidth="1"/>
    <col min="5" max="6" width="10.42578125" style="72" customWidth="1"/>
    <col min="7" max="8" width="10.42578125" style="71" customWidth="1"/>
    <col min="9" max="9" width="8.5703125" style="71" customWidth="1"/>
    <col min="10" max="15" width="0" hidden="1" customWidth="1"/>
    <col min="16" max="16384" width="9.42578125" hidden="1"/>
  </cols>
  <sheetData>
    <row r="1" spans="1:9" ht="14.85" customHeight="1"/>
    <row r="2" spans="1:9" ht="15"/>
    <row r="3" spans="1:9" ht="15"/>
    <row r="4" spans="1:9" ht="15"/>
    <row r="5" spans="1:9" ht="18" customHeight="1">
      <c r="A5"/>
      <c r="B5" s="270" t="str">
        <f>IF(Indice_index!$Z$1=1,"ANEXOS ESTATÍSTICOS","STATISTICAL ANNEXES")</f>
        <v>ANEXOS ESTATÍSTICOS</v>
      </c>
      <c r="C5"/>
      <c r="D5"/>
      <c r="E5"/>
      <c r="F5"/>
      <c r="G5"/>
      <c r="H5"/>
      <c r="I5"/>
    </row>
    <row r="6" spans="1:9" ht="18" customHeight="1">
      <c r="A6"/>
      <c r="B6" s="271" t="str">
        <f>IF(Indice_index!$Z$1=1,"Agosto de 2025","August 2025")</f>
        <v>Agosto de 2025</v>
      </c>
      <c r="C6"/>
      <c r="D6"/>
      <c r="E6"/>
      <c r="F6"/>
      <c r="G6"/>
      <c r="H6"/>
      <c r="I6"/>
    </row>
    <row r="7" spans="1:9" ht="50.1" customHeight="1">
      <c r="B7" s="12"/>
      <c r="C7" s="13"/>
      <c r="D7" s="11"/>
      <c r="E7" s="11"/>
      <c r="F7" s="11"/>
      <c r="G7" s="73"/>
      <c r="H7" s="11"/>
    </row>
    <row r="8" spans="1:9" ht="15.75">
      <c r="B8" s="1" t="str">
        <f>IF(Indice_index!$Z$1=1,"Quadro 10 - Execução Orçamental da Segurança Social","10 - Social Security Budget Execution")</f>
        <v>Quadro 10 - Execução Orçamental da Segurança Social</v>
      </c>
      <c r="C8" s="2"/>
      <c r="D8" s="2"/>
      <c r="E8" s="2"/>
      <c r="F8" s="2"/>
      <c r="G8" s="2"/>
      <c r="H8" s="2"/>
    </row>
    <row r="9" spans="1:9" ht="15">
      <c r="B9" s="3" t="str">
        <f>+'3 - Conta AC + SS'!B9</f>
        <v>Período: janeiro a agosto</v>
      </c>
      <c r="C9" s="3"/>
      <c r="D9" s="3"/>
      <c r="E9" s="3"/>
      <c r="F9" s="3"/>
      <c r="G9" s="3"/>
      <c r="H9" s="3" t="str">
        <f>IF(Indice_index!$Z$1=1,"€ Milhões","€ Millions")</f>
        <v>€ Milhões</v>
      </c>
    </row>
    <row r="10" spans="1:9"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391" t="str">
        <f>IF(Indice_index!$Z$1=1,"Variação Homóloga Acumulada","YOY Change Rate")</f>
        <v>Variação Homóloga Acumulada</v>
      </c>
      <c r="H10" s="387"/>
    </row>
    <row r="11" spans="1:9" ht="26.85" customHeight="1">
      <c r="B11" s="389"/>
      <c r="C11" s="22">
        <v>2024</v>
      </c>
      <c r="D11" s="22">
        <v>2025</v>
      </c>
      <c r="E11" s="22">
        <v>2024</v>
      </c>
      <c r="F11" s="22">
        <v>2025</v>
      </c>
      <c r="G11" s="22" t="str">
        <f>IF(Indice_index!$Z$1=1,"Relativa (%)","Relative change (%)")</f>
        <v>Relativa (%)</v>
      </c>
      <c r="H11" s="22" t="str">
        <f>IF(Indice_index!$Z$1=1,"Contributo VHA (pp)","YOY Change Rate Contrib. (pp)")</f>
        <v>Contributo VHA (pp)</v>
      </c>
    </row>
    <row r="12" spans="1:9" ht="14.1" customHeight="1">
      <c r="B12" s="174" t="str">
        <f>IF(Indice_index!$Z$1=1,"Receita corrente","Current revenue")</f>
        <v>Receita corrente</v>
      </c>
      <c r="C12" s="134">
        <f>+SUM(C13:C15)+SUM(C26:C29)</f>
        <v>42190.185021020006</v>
      </c>
      <c r="D12" s="134">
        <f>+SUM(D13:D15)+SUM(D26:D29)</f>
        <v>45038.829181999994</v>
      </c>
      <c r="E12" s="134">
        <f>+SUM(E13:E15)+SUM(E26:E29)</f>
        <v>26804.969799020004</v>
      </c>
      <c r="F12" s="134">
        <f>+SUM(F13:F15)+SUM(F26:F29)</f>
        <v>29788.292770159991</v>
      </c>
      <c r="G12" s="134">
        <f>IF(IFERROR((F12-E12)/E12*100,"")&gt;500,"-",IFERROR((F12-E12)/E12*100,""))</f>
        <v>11.12973822954674</v>
      </c>
      <c r="H12" s="134">
        <f>IFERROR((F12-E12)/$E$34*100,"-")</f>
        <v>11.129469327824747</v>
      </c>
    </row>
    <row r="13" spans="1:9" ht="14.1" customHeight="1">
      <c r="B13" s="125" t="str">
        <f>IF(Indice_index!$Z$1=1,"Impostos indiretos","Indirect taxes")</f>
        <v>Impostos indiretos</v>
      </c>
      <c r="C13" s="4">
        <v>232.90479740999999</v>
      </c>
      <c r="D13" s="4">
        <v>256.82781899999998</v>
      </c>
      <c r="E13" s="4">
        <v>153.77091191999997</v>
      </c>
      <c r="F13" s="4">
        <v>153.50786047</v>
      </c>
      <c r="G13" s="4">
        <f>IF(IFERROR((F13-E13)/E13*100,"")&gt;500,"-",IFERROR((F13-E13)/E13*100,""))</f>
        <v>-0.17106710672095862</v>
      </c>
      <c r="H13" s="4">
        <f>IFERROR((F13-E13)/$E$34*100,"-")</f>
        <v>-9.8132956865071611E-4</v>
      </c>
    </row>
    <row r="14" spans="1:9" ht="14.1" customHeight="1">
      <c r="B14" s="125" t="str">
        <f>IF(Indice_index!$Z$1=1,"Contribuições e quotizações","Contributions and membership fees")</f>
        <v>Contribuições e quotizações</v>
      </c>
      <c r="C14" s="4">
        <v>27688.469554570001</v>
      </c>
      <c r="D14" s="4">
        <v>29460.531805999999</v>
      </c>
      <c r="E14" s="4">
        <v>17908.93972712</v>
      </c>
      <c r="F14" s="4">
        <v>19512.012585979995</v>
      </c>
      <c r="G14" s="4">
        <f>IF(IFERROR((F14-E14)/E14*100,"")&gt;500,"-",IFERROR((F14-E14)/E14*100,""))</f>
        <v>8.9512438105557894</v>
      </c>
      <c r="H14" s="4">
        <f>IFERROR((F14-E14)/$E$34*100,"-")</f>
        <v>5.9803616254572391</v>
      </c>
    </row>
    <row r="15" spans="1:9" ht="14.1" customHeight="1">
      <c r="B15" s="125" t="str">
        <f>IF(Indice_index!$Z$1=1,"Transferências correntes da Administração Central","Central Government current transfers")</f>
        <v>Transferências correntes da Administração Central</v>
      </c>
      <c r="C15" s="4">
        <v>12009.822730220005</v>
      </c>
      <c r="D15" s="4">
        <v>12309.906677999999</v>
      </c>
      <c r="E15" s="4">
        <v>7329.9333948200037</v>
      </c>
      <c r="F15" s="4">
        <v>8128.5125575999973</v>
      </c>
      <c r="G15" s="4">
        <f t="shared" ref="G15:G61" si="0">IF(IFERROR((F15-E15)/E15*100,"")&gt;500,"-",IFERROR((F15-E15)/E15*100,""))</f>
        <v>10.894766974886048</v>
      </c>
      <c r="H15" s="4">
        <f>IFERROR((F15-E15)/$E$34*100,"-")</f>
        <v>2.9791485481049715</v>
      </c>
    </row>
    <row r="16" spans="1:9" ht="14.1" customHeight="1">
      <c r="B16" s="297" t="str">
        <f>IF(Indice_index!$Z$1=1,"dos quais:","of which:")</f>
        <v>dos quais:</v>
      </c>
      <c r="C16" s="4"/>
      <c r="D16" s="4"/>
      <c r="E16" s="4"/>
      <c r="F16" s="4"/>
      <c r="G16" s="4"/>
      <c r="H16" s="4"/>
    </row>
    <row r="17" spans="2:8" ht="14.1" customHeight="1">
      <c r="B17" s="284" t="str">
        <f>IF(Indice_index!$Z$1=1,"Transferências do Orçamento do Estado","State Budget transfers")</f>
        <v>Transferências do Orçamento do Estado</v>
      </c>
      <c r="C17" s="4">
        <v>10881.410593150002</v>
      </c>
      <c r="D17" s="4">
        <v>11532.516492999999</v>
      </c>
      <c r="E17" s="4">
        <v>6854.1071002600011</v>
      </c>
      <c r="F17" s="4">
        <v>7320.5614638099996</v>
      </c>
      <c r="G17" s="4">
        <f t="shared" si="0"/>
        <v>6.8054723500352701</v>
      </c>
      <c r="H17" s="4">
        <f t="shared" ref="H17:H31" si="1">IFERROR((F17-E17)/$E$34*100,"-")</f>
        <v>1.7401366134944447</v>
      </c>
    </row>
    <row r="18" spans="2:8" ht="14.1" customHeight="1">
      <c r="B18" s="300" t="str">
        <f>IF(Indice_index!$Z$1=1,"Financiamento da Lei de Bases da Segurança Social","Social Security Framework Law financing")</f>
        <v>Financiamento da Lei de Bases da Segurança Social</v>
      </c>
      <c r="C18" s="4">
        <v>8768.8383623600002</v>
      </c>
      <c r="D18" s="4">
        <v>9346.5627999999997</v>
      </c>
      <c r="E18" s="4">
        <v>5797.6907760400009</v>
      </c>
      <c r="F18" s="4">
        <v>6231.1251999699989</v>
      </c>
      <c r="G18" s="4">
        <f t="shared" si="0"/>
        <v>7.4759838127490985</v>
      </c>
      <c r="H18" s="4">
        <f t="shared" si="1"/>
        <v>1.6169537034433099</v>
      </c>
    </row>
    <row r="19" spans="2:8" ht="14.1" hidden="1" customHeight="1">
      <c r="B19" s="300" t="str">
        <f>IF(Indice_index!$Z$1=1,"Medidas excecionais e temporárias (COVID-19)","Exceptional and temporary measures (COVID-19)")</f>
        <v>Medidas excecionais e temporárias (COVID-19)</v>
      </c>
      <c r="C19" s="4">
        <v>0</v>
      </c>
      <c r="D19" s="4">
        <v>0</v>
      </c>
      <c r="E19" s="4">
        <v>0</v>
      </c>
      <c r="F19" s="4">
        <v>0</v>
      </c>
      <c r="G19" s="4" t="str">
        <f t="shared" si="0"/>
        <v>-</v>
      </c>
      <c r="H19" s="4">
        <f t="shared" si="1"/>
        <v>0</v>
      </c>
    </row>
    <row r="20" spans="2:8" ht="14.1" customHeight="1">
      <c r="B20" s="300" t="str">
        <f>IF(Indice_index!$Z$1=1,"Restantes transferências","Other transfers")</f>
        <v>Restantes transferências</v>
      </c>
      <c r="C20" s="4">
        <v>14.16554283</v>
      </c>
      <c r="D20" s="4">
        <v>3</v>
      </c>
      <c r="E20" s="4">
        <v>5.9661000000000002E-4</v>
      </c>
      <c r="F20" s="4">
        <v>4.3370365899999994</v>
      </c>
      <c r="G20" s="4" t="str">
        <f t="shared" si="0"/>
        <v>-</v>
      </c>
      <c r="H20" s="4">
        <f t="shared" si="1"/>
        <v>1.6177355323658094E-2</v>
      </c>
    </row>
    <row r="21" spans="2:8" ht="14.1" customHeight="1">
      <c r="B21" s="300" t="str">
        <f>IF(Indice_index!$Z$1=1,"IVA Social","Social tax")</f>
        <v>IVA Social</v>
      </c>
      <c r="C21" s="4">
        <v>1085.0512839600001</v>
      </c>
      <c r="D21" s="4">
        <v>1142.559002</v>
      </c>
      <c r="E21" s="4">
        <v>723.36752264000006</v>
      </c>
      <c r="F21" s="4">
        <v>761.70600135999985</v>
      </c>
      <c r="G21" s="4">
        <f t="shared" si="0"/>
        <v>5.3000000027758754</v>
      </c>
      <c r="H21" s="4">
        <f t="shared" si="1"/>
        <v>0.14302404637961599</v>
      </c>
    </row>
    <row r="22" spans="2:8" ht="14.1" customHeight="1">
      <c r="B22" s="300" t="str">
        <f>IF(Indice_index!$Z$1=1,"Adicional ao IMI","Additional to the real estate municipal tax")</f>
        <v>Adicional ao IMI</v>
      </c>
      <c r="C22" s="4">
        <v>147.9</v>
      </c>
      <c r="D22" s="4">
        <v>155.73869999999999</v>
      </c>
      <c r="E22" s="4">
        <v>5.9946330000000003</v>
      </c>
      <c r="F22" s="4">
        <v>4.9553010000000004</v>
      </c>
      <c r="G22" s="4">
        <f t="shared" si="0"/>
        <v>-17.337708580325099</v>
      </c>
      <c r="H22" s="4">
        <f t="shared" si="1"/>
        <v>-3.8772917740805936E-3</v>
      </c>
    </row>
    <row r="23" spans="2:8" ht="14.1" customHeight="1">
      <c r="B23" s="300" t="str">
        <f>IF(Indice_index!$Z$1=1,"Consignação do IRC","Assignment of Corporate Income Tax")</f>
        <v>Consignação do IRC</v>
      </c>
      <c r="C23" s="4">
        <v>448.95970999999997</v>
      </c>
      <c r="D23" s="4">
        <v>472.75457499999999</v>
      </c>
      <c r="E23" s="4">
        <v>75.997765000000001</v>
      </c>
      <c r="F23" s="4">
        <v>75.997765000000001</v>
      </c>
      <c r="G23" s="4">
        <f t="shared" si="0"/>
        <v>0</v>
      </c>
      <c r="H23" s="4">
        <f t="shared" si="1"/>
        <v>0</v>
      </c>
    </row>
    <row r="24" spans="2:8" ht="14.1" customHeight="1">
      <c r="B24" s="300" t="str">
        <f>IF(Indice_index!$Z$1=1,"Adicional à contribuição do setor bancário","Additional contribution on the Banking sector")</f>
        <v>Adicional à contribuição do setor bancário</v>
      </c>
      <c r="C24" s="4">
        <v>34.381675999999999</v>
      </c>
      <c r="D24" s="4">
        <v>40.814279999999997</v>
      </c>
      <c r="E24" s="4">
        <v>3.8602910000000001</v>
      </c>
      <c r="F24" s="4">
        <v>3.8602910000000001</v>
      </c>
      <c r="G24" s="4">
        <f t="shared" si="0"/>
        <v>0</v>
      </c>
      <c r="H24" s="4">
        <f t="shared" si="1"/>
        <v>0</v>
      </c>
    </row>
    <row r="25" spans="2:8" ht="14.1" customHeight="1">
      <c r="B25" s="300" t="str">
        <f>IF(Indice_index!$Z$1=1,"Pensões bancários","Old age pension scheme from Banking regime")</f>
        <v>Pensões bancários</v>
      </c>
      <c r="C25" s="4">
        <v>382.11401799999999</v>
      </c>
      <c r="D25" s="4">
        <v>371.08713599999999</v>
      </c>
      <c r="E25" s="4">
        <v>247.19551596999997</v>
      </c>
      <c r="F25" s="4">
        <v>238.57986888999997</v>
      </c>
      <c r="G25" s="4">
        <f t="shared" si="0"/>
        <v>-3.4853573480862052</v>
      </c>
      <c r="H25" s="4">
        <f t="shared" si="1"/>
        <v>-3.2141199878061577E-2</v>
      </c>
    </row>
    <row r="26" spans="2:8" ht="14.1" customHeight="1">
      <c r="B26" s="125" t="str">
        <f>IF(Indice_index!$Z$1=1,"Transferências da UE  - Programas Operacionais (PO)","Transferências da UE  - Programas Operacionais (PO)")</f>
        <v>Transferências da UE  - Programas Operacionais (PO)</v>
      </c>
      <c r="C26" s="4">
        <v>863.40406559000007</v>
      </c>
      <c r="D26" s="4">
        <v>1472.8356229999999</v>
      </c>
      <c r="E26" s="4">
        <v>518.16313191000006</v>
      </c>
      <c r="F26" s="4">
        <v>784.95658744000002</v>
      </c>
      <c r="G26" s="4">
        <f t="shared" si="0"/>
        <v>51.488313062060811</v>
      </c>
      <c r="H26" s="4">
        <f t="shared" si="1"/>
        <v>0.99528934979872219</v>
      </c>
    </row>
    <row r="27" spans="2:8" ht="14.1" customHeight="1">
      <c r="B27" s="125" t="str">
        <f>IF(Indice_index!$Z$1=1,"Transferências da União Europeia - Plano de Recuperação e Resiliência","Recovery and Resilience Plan")</f>
        <v>Transferências da União Europeia - Plano de Recuperação e Resiliência</v>
      </c>
      <c r="C27" s="4">
        <v>139.69755906</v>
      </c>
      <c r="D27" s="4">
        <v>574.89149599999996</v>
      </c>
      <c r="E27" s="4">
        <v>94.908148520000012</v>
      </c>
      <c r="F27" s="4">
        <v>158.39968542</v>
      </c>
      <c r="G27" s="4">
        <f t="shared" si="0"/>
        <v>66.897877463725266</v>
      </c>
      <c r="H27" s="4">
        <f t="shared" si="1"/>
        <v>0.23685907269871842</v>
      </c>
    </row>
    <row r="28" spans="2:8" ht="14.1" customHeight="1">
      <c r="B28" s="125" t="str">
        <f>IF(Indice_index!$Z$1=1,"Outras transferências","Other transfers")</f>
        <v>Outras transferências</v>
      </c>
      <c r="C28" s="4">
        <v>3.07504804</v>
      </c>
      <c r="D28" s="4">
        <v>2</v>
      </c>
      <c r="E28" s="4">
        <v>1.75806061</v>
      </c>
      <c r="F28" s="4">
        <v>1.8112973300000001</v>
      </c>
      <c r="G28" s="4">
        <f t="shared" si="0"/>
        <v>3.0281504344722294</v>
      </c>
      <c r="H28" s="4">
        <f t="shared" si="1"/>
        <v>1.9860284926763759E-4</v>
      </c>
    </row>
    <row r="29" spans="2:8" ht="14.1" customHeight="1">
      <c r="B29" s="125" t="str">
        <f>IF(Indice_index!$Z$1=1,"Restantes receitas correntes","Other current revenue")</f>
        <v>Restantes receitas correntes</v>
      </c>
      <c r="C29" s="4">
        <v>1252.8112661300001</v>
      </c>
      <c r="D29" s="4">
        <v>961.83576000000005</v>
      </c>
      <c r="E29" s="4">
        <v>797.49642412000003</v>
      </c>
      <c r="F29" s="4">
        <v>1049.0921959199998</v>
      </c>
      <c r="G29" s="4">
        <f t="shared" si="0"/>
        <v>31.548200617654672</v>
      </c>
      <c r="H29" s="4">
        <f t="shared" si="1"/>
        <v>0.9385934584844855</v>
      </c>
    </row>
    <row r="30" spans="2:8" ht="14.1" customHeight="1">
      <c r="B30" s="174" t="str">
        <f>IF(Indice_index!$Z$1=1,"Receita de capital","Capital revenue")</f>
        <v>Receita de capital</v>
      </c>
      <c r="C30" s="134">
        <f>+C32+C33+C31</f>
        <v>1.88826775</v>
      </c>
      <c r="D30" s="134">
        <f>+D32+D33+D31</f>
        <v>6.9070759999999991</v>
      </c>
      <c r="E30" s="134">
        <f>+E32+E33+E31</f>
        <v>0.64764117000000032</v>
      </c>
      <c r="F30" s="134">
        <f>+F32+F33+F31</f>
        <v>0.22866092000000005</v>
      </c>
      <c r="G30" s="134">
        <f t="shared" si="0"/>
        <v>-64.693269885853624</v>
      </c>
      <c r="H30" s="134">
        <f t="shared" si="1"/>
        <v>-1.5630315210416227E-3</v>
      </c>
    </row>
    <row r="31" spans="2:8" ht="14.1" customHeight="1">
      <c r="B31" s="125" t="str">
        <f>IF(Indice_index!$Z$1=1,"Transferências da União Europeia - Plano de Recuperação e Resiliência","Transfers from the European Union - Recovery and Resilience Plan")</f>
        <v>Transferências da União Europeia - Plano de Recuperação e Resiliência</v>
      </c>
      <c r="C31" s="4">
        <v>0</v>
      </c>
      <c r="D31" s="4">
        <v>0.2185</v>
      </c>
      <c r="E31" s="4">
        <v>0</v>
      </c>
      <c r="F31" s="4">
        <v>0</v>
      </c>
      <c r="G31" s="4" t="str">
        <f t="shared" si="0"/>
        <v>-</v>
      </c>
      <c r="H31" s="4">
        <f t="shared" si="1"/>
        <v>0</v>
      </c>
    </row>
    <row r="32" spans="2:8" ht="14.1" customHeight="1">
      <c r="B32" s="125" t="str">
        <f>IF(Indice_index!$Z$1=1,"Transferências do Orçamento do Estado","State Budget transfers")</f>
        <v>Transferências do Orçamento do Estado</v>
      </c>
      <c r="C32" s="4">
        <v>0.50710699999999997</v>
      </c>
      <c r="D32" s="4">
        <v>6.1252709999999997</v>
      </c>
      <c r="E32" s="4">
        <v>0</v>
      </c>
      <c r="F32" s="4">
        <v>0</v>
      </c>
      <c r="G32" s="4" t="str">
        <f t="shared" si="0"/>
        <v>-</v>
      </c>
      <c r="H32" s="4">
        <f>IFERROR((F32-E32)/$E$34*100,"-")</f>
        <v>0</v>
      </c>
    </row>
    <row r="33" spans="2:8" ht="14.1" customHeight="1">
      <c r="B33" s="125" t="str">
        <f>IF(Indice_index!$Z$1=1,"Restantes receitas de capital","Other capital revenue")</f>
        <v>Restantes receitas de capital</v>
      </c>
      <c r="C33" s="4">
        <v>1.38116075</v>
      </c>
      <c r="D33" s="4">
        <v>0.56330499999999994</v>
      </c>
      <c r="E33" s="4">
        <v>0.64764117000000032</v>
      </c>
      <c r="F33" s="4">
        <v>0.22866092000000005</v>
      </c>
      <c r="G33" s="4">
        <f t="shared" si="0"/>
        <v>-64.693269885853624</v>
      </c>
      <c r="H33" s="4">
        <f>IFERROR((F33-E33)/$E$34*100,"-")</f>
        <v>-1.5630315210416227E-3</v>
      </c>
    </row>
    <row r="34" spans="2:8" ht="14.1" customHeight="1">
      <c r="B34" s="30" t="str">
        <f>IF(Indice_index!$Z$1=1,"Receita efetiva","Effective revenue")</f>
        <v>Receita efetiva</v>
      </c>
      <c r="C34" s="18">
        <f>+C12+C30</f>
        <v>42192.073288770007</v>
      </c>
      <c r="D34" s="18">
        <f>+D12+D30</f>
        <v>45045.736257999997</v>
      </c>
      <c r="E34" s="18">
        <f>+E12+E30</f>
        <v>26805.617440190003</v>
      </c>
      <c r="F34" s="18">
        <f>+F12+F30</f>
        <v>29788.521431079989</v>
      </c>
      <c r="G34" s="18">
        <f t="shared" si="0"/>
        <v>11.127906296303703</v>
      </c>
      <c r="H34" s="18"/>
    </row>
    <row r="35" spans="2:8" ht="14.1" customHeight="1">
      <c r="B35" s="174" t="str">
        <f>IF(Indice_index!$Z$1=1,"Despesa corrente","Current expenditure")</f>
        <v>Despesa corrente</v>
      </c>
      <c r="C35" s="134">
        <f>+C36+C58+C59+C60+C61+C64</f>
        <v>36581.602640379991</v>
      </c>
      <c r="D35" s="134">
        <f>+D36+D58+D59+D60+D61+D64</f>
        <v>39221.394489000006</v>
      </c>
      <c r="E35" s="134">
        <f>+E36+E58+E59+E60+E61+E64</f>
        <v>23434.521637139995</v>
      </c>
      <c r="F35" s="134">
        <f>+F36+F58+F59+F60+F61+F64</f>
        <v>25340.980821729994</v>
      </c>
      <c r="G35" s="134">
        <f t="shared" si="0"/>
        <v>8.135259657140022</v>
      </c>
      <c r="H35" s="134">
        <f t="shared" ref="H35:H61" si="2">IFERROR((F35-E35)/$E$68*100,"-")</f>
        <v>8.1243869542124934</v>
      </c>
    </row>
    <row r="36" spans="2:8" ht="14.1" customHeight="1">
      <c r="B36" s="125" t="str">
        <f>IF(Indice_index!$Z$1=1,"Prestações sociais","Social Benefits")</f>
        <v>Prestações sociais</v>
      </c>
      <c r="C36" s="4">
        <f>+C37+SUM(C45:C57)</f>
        <v>33184.530860869992</v>
      </c>
      <c r="D36" s="4">
        <f>+D37+SUM(D45:D57)</f>
        <v>35079.536159000003</v>
      </c>
      <c r="E36" s="4">
        <f>+E37+SUM(E45:E57)</f>
        <v>21203.007417769997</v>
      </c>
      <c r="F36" s="4">
        <f>+F37+SUM(F45:F57)</f>
        <v>22788.302074629995</v>
      </c>
      <c r="G36" s="4">
        <f t="shared" si="0"/>
        <v>7.4767443392552941</v>
      </c>
      <c r="H36" s="4">
        <f t="shared" si="2"/>
        <v>6.755742442787203</v>
      </c>
    </row>
    <row r="37" spans="2:8" ht="14.1" customHeight="1">
      <c r="B37" s="172" t="str">
        <f>IF(Indice_index!$Z$1=1,"      Pensões","      Pensions")</f>
        <v xml:space="preserve">      Pensões</v>
      </c>
      <c r="C37" s="4">
        <f>(SUM(C38:C44))</f>
        <v>23182.250170459993</v>
      </c>
      <c r="D37" s="4">
        <f>(SUM(D38:D44))</f>
        <v>23947.362729</v>
      </c>
      <c r="E37" s="4">
        <f>(SUM(E38:E44))</f>
        <v>14647.568449799997</v>
      </c>
      <c r="F37" s="4">
        <f>(SUM(F38:F44))</f>
        <v>15588.494973579998</v>
      </c>
      <c r="G37" s="4">
        <f t="shared" si="0"/>
        <v>6.4237728398726048</v>
      </c>
      <c r="H37" s="4">
        <f t="shared" si="2"/>
        <v>4.0097638787450656</v>
      </c>
    </row>
    <row r="38" spans="2:8" ht="14.1" customHeight="1">
      <c r="B38" s="172" t="str">
        <f>IF(Indice_index!$Z$1=1,"            Sobrevivência","            Survival")</f>
        <v xml:space="preserve">            Sobrevivência</v>
      </c>
      <c r="C38" s="4">
        <v>3120.87523908</v>
      </c>
      <c r="D38" s="4">
        <v>3250.0649450000001</v>
      </c>
      <c r="E38" s="4">
        <v>2006.9574095199998</v>
      </c>
      <c r="F38" s="4">
        <v>2125.3514148200002</v>
      </c>
      <c r="G38" s="4">
        <f t="shared" si="0"/>
        <v>5.8991787637544544</v>
      </c>
      <c r="H38" s="4">
        <f t="shared" si="2"/>
        <v>0.50453674533984216</v>
      </c>
    </row>
    <row r="39" spans="2:8" ht="14.1" customHeight="1">
      <c r="B39" s="172" t="str">
        <f>IF(Indice_index!$Z$1=1,"            Invalidez","            Disability")</f>
        <v xml:space="preserve">            Invalidez</v>
      </c>
      <c r="C39" s="4">
        <v>1289.8318585100001</v>
      </c>
      <c r="D39" s="4">
        <v>1340.030528</v>
      </c>
      <c r="E39" s="4">
        <v>831.43154332999995</v>
      </c>
      <c r="F39" s="4">
        <v>888.42662247999999</v>
      </c>
      <c r="G39" s="4">
        <f t="shared" si="0"/>
        <v>6.8550537452219755</v>
      </c>
      <c r="H39" s="4">
        <f t="shared" si="2"/>
        <v>0.2428848628092459</v>
      </c>
    </row>
    <row r="40" spans="2:8" ht="14.1" customHeight="1">
      <c r="B40" s="172" t="str">
        <f>IF(Indice_index!$Z$1=1,"            Velhice","            Old-age")</f>
        <v xml:space="preserve">            Velhice</v>
      </c>
      <c r="C40" s="4">
        <v>17374.613347709994</v>
      </c>
      <c r="D40" s="4">
        <v>18271.130075000001</v>
      </c>
      <c r="E40" s="4">
        <v>11171.049212349997</v>
      </c>
      <c r="F40" s="4">
        <v>11927.372748349999</v>
      </c>
      <c r="G40" s="4">
        <f t="shared" si="0"/>
        <v>6.770389438118837</v>
      </c>
      <c r="H40" s="4">
        <f t="shared" si="2"/>
        <v>3.2230771677200849</v>
      </c>
    </row>
    <row r="41" spans="2:8" ht="14.1" customHeight="1">
      <c r="B41" s="172" t="str">
        <f>IF(Indice_index!$Z$1=1,"            Beneficiários dos antigos combatentes","            War veteran beneficiaries")</f>
        <v xml:space="preserve">            Beneficiários dos antigos combatentes</v>
      </c>
      <c r="C41" s="4">
        <v>50.253030710000004</v>
      </c>
      <c r="D41" s="4">
        <v>52.337752999999999</v>
      </c>
      <c r="E41" s="4">
        <v>0.53821677000000001</v>
      </c>
      <c r="F41" s="4">
        <v>0.67076564000000005</v>
      </c>
      <c r="G41" s="4">
        <f t="shared" si="0"/>
        <v>24.627413597684821</v>
      </c>
      <c r="H41" s="4">
        <f t="shared" si="2"/>
        <v>5.6485778396310135E-4</v>
      </c>
    </row>
    <row r="42" spans="2:8" ht="14.1" customHeight="1">
      <c r="B42" s="172" t="str">
        <f>IF(Indice_index!$Z$1=1,"            Parcela de atualização extraordinária de pensões","            Portion of extraordinary pensions update")</f>
        <v xml:space="preserve">            Parcela de atualização extraordinária de pensões</v>
      </c>
      <c r="C42" s="4">
        <v>986.11758557999997</v>
      </c>
      <c r="D42" s="4">
        <v>1033.1994279999999</v>
      </c>
      <c r="E42" s="4">
        <v>637.10612575999994</v>
      </c>
      <c r="F42" s="4">
        <v>646.67342229000008</v>
      </c>
      <c r="G42" s="4">
        <f t="shared" si="0"/>
        <v>1.5016801978771381</v>
      </c>
      <c r="H42" s="4">
        <f t="shared" si="2"/>
        <v>4.0771090062508591E-2</v>
      </c>
    </row>
    <row r="43" spans="2:8" ht="14.1" customHeight="1">
      <c r="B43" s="172" t="str">
        <f>IF(Indice_index!$Z$1=1,"            Complemento excecional de pensão","            Exceptional pension supplement")</f>
        <v xml:space="preserve">            Complemento excecional de pensão</v>
      </c>
      <c r="C43" s="4">
        <v>0.48594207</v>
      </c>
      <c r="D43" s="4">
        <v>0.6</v>
      </c>
      <c r="E43" s="4">
        <v>0.48594207</v>
      </c>
      <c r="F43" s="4">
        <v>0</v>
      </c>
      <c r="G43" s="4">
        <f t="shared" si="0"/>
        <v>-100</v>
      </c>
      <c r="H43" s="4">
        <f t="shared" si="2"/>
        <v>-2.0708449705730586E-3</v>
      </c>
    </row>
    <row r="44" spans="2:8" ht="14.1" customHeight="1">
      <c r="B44" s="172" t="str">
        <f>IF(Indice_index!$Z$1=1,"            Suplemento extraordinário de pensão","            Extraordinary pension supplement")</f>
        <v xml:space="preserve">            Suplemento extraordinário de pensão</v>
      </c>
      <c r="C44" s="4">
        <v>360.07316680000002</v>
      </c>
      <c r="D44" s="4">
        <v>0</v>
      </c>
      <c r="E44" s="4">
        <v>0</v>
      </c>
      <c r="F44" s="4">
        <v>0</v>
      </c>
      <c r="G44" s="4" t="str">
        <f t="shared" si="0"/>
        <v>-</v>
      </c>
      <c r="H44" s="4">
        <f t="shared" si="2"/>
        <v>0</v>
      </c>
    </row>
    <row r="45" spans="2:8" ht="14.1" customHeight="1">
      <c r="B45" s="172" t="str">
        <f>IF(Indice_index!$Z$1=1,"Subsídio familiar a crianças e jovens","Family benefit")</f>
        <v>Subsídio familiar a crianças e jovens</v>
      </c>
      <c r="C45" s="4">
        <v>1359.1712037000002</v>
      </c>
      <c r="D45" s="4">
        <v>1403.203651</v>
      </c>
      <c r="E45" s="4">
        <v>896.91766456999994</v>
      </c>
      <c r="F45" s="4">
        <v>928.18192522000004</v>
      </c>
      <c r="G45" s="4">
        <f t="shared" si="0"/>
        <v>3.4857447773635726</v>
      </c>
      <c r="H45" s="4">
        <f t="shared" si="2"/>
        <v>0.13323282943116632</v>
      </c>
    </row>
    <row r="46" spans="2:8" ht="14.1" customHeight="1">
      <c r="B46" s="172" t="str">
        <f>IF(Indice_index!$Z$1=1,"Subsídio por doença","Illness benefit")</f>
        <v>Subsídio por doença</v>
      </c>
      <c r="C46" s="4">
        <v>920.34261673000003</v>
      </c>
      <c r="D46" s="4">
        <v>986.28231300000004</v>
      </c>
      <c r="E46" s="4">
        <v>620.46482335999997</v>
      </c>
      <c r="F46" s="4">
        <v>670.49548331999995</v>
      </c>
      <c r="G46" s="4">
        <f t="shared" si="0"/>
        <v>8.0634160191498374</v>
      </c>
      <c r="H46" s="4">
        <f t="shared" si="2"/>
        <v>0.21320594973927007</v>
      </c>
    </row>
    <row r="47" spans="2:8" ht="14.1" customHeight="1">
      <c r="B47" s="172" t="str">
        <f>IF(Indice_index!$Z$1=1,"Prestações de desemprego","Unemployment benefits")</f>
        <v>Prestações de desemprego</v>
      </c>
      <c r="C47" s="4">
        <v>1591.1218670599999</v>
      </c>
      <c r="D47" s="4">
        <v>1604.8506170000001</v>
      </c>
      <c r="E47" s="4">
        <v>1056.79370427</v>
      </c>
      <c r="F47" s="4">
        <v>1126.5352303600002</v>
      </c>
      <c r="G47" s="4">
        <f t="shared" si="0"/>
        <v>6.5993510188609106</v>
      </c>
      <c r="H47" s="4">
        <f t="shared" si="2"/>
        <v>0.29720392091914716</v>
      </c>
    </row>
    <row r="48" spans="2:8" ht="14.1" customHeight="1">
      <c r="B48" s="172" t="str">
        <f>IF(Indice_index!$Z$1=1,"Complemento Solidário para Idosos","Elderly pension supplement")</f>
        <v>Complemento Solidário para Idosos</v>
      </c>
      <c r="C48" s="4">
        <v>398.66373706999997</v>
      </c>
      <c r="D48" s="4">
        <v>406.77725900000002</v>
      </c>
      <c r="E48" s="4">
        <v>239.71668710999998</v>
      </c>
      <c r="F48" s="4">
        <v>353.38626970000001</v>
      </c>
      <c r="G48" s="4">
        <f t="shared" si="0"/>
        <v>47.418301979886749</v>
      </c>
      <c r="H48" s="4">
        <f t="shared" si="2"/>
        <v>0.4844035903572631</v>
      </c>
    </row>
    <row r="49" spans="2:8" ht="14.1" customHeight="1">
      <c r="B49" s="172" t="str">
        <f>IF(Indice_index!$Z$1=1,"Prestação Social para a Inclusão","Social benefits for inclusion")</f>
        <v>Prestação Social para a Inclusão</v>
      </c>
      <c r="C49" s="4">
        <v>711.93368003</v>
      </c>
      <c r="D49" s="4">
        <v>788.10452399999997</v>
      </c>
      <c r="E49" s="4">
        <v>468.62678653999996</v>
      </c>
      <c r="F49" s="4">
        <v>528.22179099000004</v>
      </c>
      <c r="G49" s="4">
        <f t="shared" si="0"/>
        <v>12.716943666410183</v>
      </c>
      <c r="H49" s="4">
        <f t="shared" si="2"/>
        <v>0.25396445966607034</v>
      </c>
    </row>
    <row r="50" spans="2:8" ht="14.1" customHeight="1">
      <c r="B50" s="172" t="str">
        <f>IF(Indice_index!$Z$1=1,"Prestações de parentalidade","Parenthood benefits")</f>
        <v>Prestações de parentalidade</v>
      </c>
      <c r="C50" s="4">
        <v>890.91562321000015</v>
      </c>
      <c r="D50" s="4">
        <v>956.93889999999999</v>
      </c>
      <c r="E50" s="4">
        <v>587.38030570000001</v>
      </c>
      <c r="F50" s="4">
        <v>661.65711213000009</v>
      </c>
      <c r="G50" s="4">
        <f t="shared" si="0"/>
        <v>12.645436986771633</v>
      </c>
      <c r="H50" s="4">
        <f t="shared" si="2"/>
        <v>0.31653104458684606</v>
      </c>
    </row>
    <row r="51" spans="2:8" ht="14.1" customHeight="1">
      <c r="B51" s="172" t="str">
        <f>IF(Indice_index!$Z$1=1,"Medidas excecionais e temporárias (COVID-19)","Exceptional and temporary measures (COVID-19)")</f>
        <v>Medidas excecionais e temporárias (COVID-19)</v>
      </c>
      <c r="C51" s="4">
        <v>3.4792194700000008</v>
      </c>
      <c r="D51" s="4">
        <v>15</v>
      </c>
      <c r="E51" s="4">
        <v>1.64557946</v>
      </c>
      <c r="F51" s="4">
        <v>0.42388788999999999</v>
      </c>
      <c r="G51" s="4">
        <f t="shared" si="0"/>
        <v>-74.240813020356981</v>
      </c>
      <c r="H51" s="4">
        <f t="shared" si="2"/>
        <v>-5.2062457636689154E-3</v>
      </c>
    </row>
    <row r="52" spans="2:8" ht="14.1" customHeight="1">
      <c r="B52" s="172" t="str">
        <f>IF(Indice_index!$Z$1=1,"Garantia Infância","European Child Guarantee")</f>
        <v>Garantia Infância</v>
      </c>
      <c r="C52" s="4">
        <v>83.087833860000003</v>
      </c>
      <c r="D52" s="4">
        <v>86.636215000000007</v>
      </c>
      <c r="E52" s="4">
        <v>54.249842480000005</v>
      </c>
      <c r="F52" s="4">
        <v>57.105807009999999</v>
      </c>
      <c r="G52" s="4">
        <f t="shared" si="0"/>
        <v>5.2644660324182277</v>
      </c>
      <c r="H52" s="4">
        <f t="shared" si="2"/>
        <v>1.2170709531458219E-2</v>
      </c>
    </row>
    <row r="53" spans="2:8" ht="14.1" customHeight="1">
      <c r="B53" s="172" t="str">
        <f>IF(Indice_index!$Z$1=1,"Complemento ao apoio extraordinário para crianças e jovens","Complement to the extraordinary support for children and young people")</f>
        <v>Complemento ao apoio extraordinário para crianças e jovens</v>
      </c>
      <c r="C53" s="4">
        <v>2.0639139200000001</v>
      </c>
      <c r="D53" s="4">
        <v>5</v>
      </c>
      <c r="E53" s="4">
        <v>1.8214872399999997</v>
      </c>
      <c r="F53" s="4">
        <v>0.14747988999999997</v>
      </c>
      <c r="G53" s="4">
        <f>IF(IFERROR((F53-E53)/E53*100,"")&gt;500,"-",IFERROR((F53-E53)/E53*100,""))</f>
        <v>-91.903325658213234</v>
      </c>
      <c r="H53" s="4">
        <f t="shared" si="2"/>
        <v>-7.1337921029348897E-3</v>
      </c>
    </row>
    <row r="54" spans="2:8" ht="14.1" customHeight="1">
      <c r="B54" s="172" t="str">
        <f>IF(Indice_index!$Z$1=1,"Outras prestações","Other benefits")</f>
        <v>Outras prestações</v>
      </c>
      <c r="C54" s="4">
        <v>704.62334267999995</v>
      </c>
      <c r="D54" s="4">
        <v>780.22730100000001</v>
      </c>
      <c r="E54" s="4">
        <v>483.65497434000002</v>
      </c>
      <c r="F54" s="4">
        <v>386.89029022000005</v>
      </c>
      <c r="G54" s="4">
        <f>IF(IFERROR((F54-E54)/E54*100,"")&gt;500,"-",IFERROR((F54-E54)/E54*100,""))</f>
        <v>-20.006965554741981</v>
      </c>
      <c r="H54" s="4">
        <f t="shared" si="2"/>
        <v>-0.41236326675521762</v>
      </c>
    </row>
    <row r="55" spans="2:8" ht="14.1" customHeight="1">
      <c r="B55" s="172" t="str">
        <f>IF(Indice_index!$Z$1=1,"Ação social","Social assistance")</f>
        <v>Ação social</v>
      </c>
      <c r="C55" s="4">
        <v>2953.6711378800005</v>
      </c>
      <c r="D55" s="4">
        <v>3697.2694110000002</v>
      </c>
      <c r="E55" s="4">
        <v>1887.0088828199998</v>
      </c>
      <c r="F55" s="4">
        <v>2232.2554804699998</v>
      </c>
      <c r="G55" s="4">
        <f t="shared" si="0"/>
        <v>18.295970983138865</v>
      </c>
      <c r="H55" s="4">
        <f t="shared" si="2"/>
        <v>1.4712703930963682</v>
      </c>
    </row>
    <row r="56" spans="2:8" ht="14.1" customHeight="1">
      <c r="B56" s="172" t="str">
        <f>IF(Indice_index!$Z$1=1,"Rendimento Social de Inserção","Social Integration Income")</f>
        <v>Rendimento Social de Inserção</v>
      </c>
      <c r="C56" s="4">
        <v>357.62175327999989</v>
      </c>
      <c r="D56" s="4">
        <v>373.82532500000002</v>
      </c>
      <c r="E56" s="4">
        <v>240.67470445000001</v>
      </c>
      <c r="F56" s="4">
        <v>231.58840698</v>
      </c>
      <c r="G56" s="4">
        <f t="shared" si="0"/>
        <v>-3.7753437739808993</v>
      </c>
      <c r="H56" s="4">
        <f t="shared" si="2"/>
        <v>-3.8721309757931061E-2</v>
      </c>
    </row>
    <row r="57" spans="2:8" ht="14.1" customHeight="1">
      <c r="B57" s="172" t="str">
        <f>IF(Indice_index!$Z$1=1,"Subsídio de Apoio ao Cuidador Informal","Social Benefit for Informal Caregivers")</f>
        <v>Subsídio de Apoio ao Cuidador Informal</v>
      </c>
      <c r="C57" s="4">
        <v>25.584761520000001</v>
      </c>
      <c r="D57" s="4">
        <v>28.057914</v>
      </c>
      <c r="E57" s="4">
        <v>16.483525629999999</v>
      </c>
      <c r="F57" s="4">
        <v>22.917936869999998</v>
      </c>
      <c r="G57" s="4">
        <f t="shared" si="0"/>
        <v>39.035406529106723</v>
      </c>
      <c r="H57" s="4">
        <f t="shared" si="2"/>
        <v>2.7420281094313888E-2</v>
      </c>
    </row>
    <row r="58" spans="2:8" ht="14.1" customHeight="1">
      <c r="B58" s="125" t="str">
        <f>IF(Indice_index!$Z$1=1,"Pensão velhice do regime substitutivo dos bancários","Old age pension scheme from Banking regime")</f>
        <v>Pensão velhice do regime substitutivo dos bancários</v>
      </c>
      <c r="C58" s="4">
        <v>390.75305714000001</v>
      </c>
      <c r="D58" s="4">
        <v>382.18832900000001</v>
      </c>
      <c r="E58" s="4">
        <v>252.90309088999999</v>
      </c>
      <c r="F58" s="4">
        <v>244.52577565999997</v>
      </c>
      <c r="G58" s="4">
        <f t="shared" si="0"/>
        <v>-3.3124605952893349</v>
      </c>
      <c r="H58" s="4">
        <f t="shared" si="2"/>
        <v>-3.5699977799721339E-2</v>
      </c>
    </row>
    <row r="59" spans="2:8" ht="14.1" customHeight="1">
      <c r="B59" s="125" t="str">
        <f>IF(Indice_index!$Z$1=1,"Administração","Administration")</f>
        <v>Administração</v>
      </c>
      <c r="C59" s="4">
        <v>388.86957275000015</v>
      </c>
      <c r="D59" s="4">
        <v>477.21807000000001</v>
      </c>
      <c r="E59" s="4">
        <v>243.63213637000001</v>
      </c>
      <c r="F59" s="4">
        <v>253.27558450000001</v>
      </c>
      <c r="G59" s="4">
        <f t="shared" si="0"/>
        <v>3.9582003727762145</v>
      </c>
      <c r="H59" s="4">
        <f t="shared" si="2"/>
        <v>4.1095610550847463E-2</v>
      </c>
    </row>
    <row r="60" spans="2:8" ht="14.1" customHeight="1">
      <c r="B60" s="125" t="str">
        <f>IF(Indice_index!$Z$1=1,"Transferências correntes","Current transfers")</f>
        <v>Transferências correntes</v>
      </c>
      <c r="C60" s="4">
        <v>1649.1780649300003</v>
      </c>
      <c r="D60" s="4">
        <v>1795.2067890000001</v>
      </c>
      <c r="E60" s="4">
        <v>1154.0957798599998</v>
      </c>
      <c r="F60" s="4">
        <v>1234.0043662100002</v>
      </c>
      <c r="G60" s="4">
        <f>IF(IFERROR((F60-E60)/E60*100,"")&gt;500,"-",IFERROR((F60-E60)/E60*100,""))</f>
        <v>6.9239128800638969</v>
      </c>
      <c r="H60" s="4">
        <f t="shared" si="2"/>
        <v>0.34053090762135763</v>
      </c>
    </row>
    <row r="61" spans="2:8" ht="14.1" customHeight="1">
      <c r="B61" s="125" t="str">
        <f>IF(Indice_index!$Z$1=1,"Ações de Formação Profissional","Vocational Training Programs")</f>
        <v>Ações de Formação Profissional</v>
      </c>
      <c r="C61" s="4">
        <v>895.04153439999993</v>
      </c>
      <c r="D61" s="4">
        <v>1201.165139</v>
      </c>
      <c r="E61" s="4">
        <v>527.97179980999999</v>
      </c>
      <c r="F61" s="4">
        <v>745.4275319699999</v>
      </c>
      <c r="G61" s="4">
        <f t="shared" si="0"/>
        <v>41.186997532492306</v>
      </c>
      <c r="H61" s="4">
        <f t="shared" si="2"/>
        <v>0.9266888731527565</v>
      </c>
    </row>
    <row r="62" spans="2:8" ht="14.1" customHeight="1">
      <c r="B62" s="297" t="str">
        <f>IF(Indice_index!$Z$1=1,"dos quais:","of which:")</f>
        <v>dos quais:</v>
      </c>
      <c r="C62" s="4">
        <v>0</v>
      </c>
      <c r="D62" s="4">
        <v>0</v>
      </c>
      <c r="E62" s="4">
        <v>0</v>
      </c>
      <c r="F62" s="4">
        <v>0</v>
      </c>
      <c r="G62" s="4"/>
      <c r="H62" s="4"/>
    </row>
    <row r="63" spans="2:8" ht="14.1" customHeight="1">
      <c r="B63" s="172" t="str">
        <f>IF(Indice_index!$Z$1=1,"Com suporte no Fundo Social Europeu","Supported by the European Social Fund")</f>
        <v>Com suporte no Fundo Social Europeu</v>
      </c>
      <c r="C63" s="4">
        <v>853.37224771000001</v>
      </c>
      <c r="D63" s="4">
        <v>1093.2182319999999</v>
      </c>
      <c r="E63" s="4">
        <v>504.38879648</v>
      </c>
      <c r="F63" s="4">
        <v>681.25375330999998</v>
      </c>
      <c r="G63" s="4">
        <f t="shared" ref="G63:G67" si="3">IF(IFERROR((F63-E63)/E63*100,"")&gt;500,"-",IFERROR((F63-E63)/E63*100,""))</f>
        <v>35.065203284508925</v>
      </c>
      <c r="H63" s="4">
        <f>IFERROR((F63-E63)/$E$68*100,"-")</f>
        <v>0.75371104691970092</v>
      </c>
    </row>
    <row r="64" spans="2:8" ht="14.1" customHeight="1">
      <c r="B64" s="125" t="str">
        <f>IF(Indice_index!$Z$1=1,"Subsídios Correntes - Programas Operacionais (PO)","Subsídios Correntes - Programas Operacionais (PO)")</f>
        <v>Subsídios Correntes - Programas Operacionais (PO)</v>
      </c>
      <c r="C64" s="4">
        <v>73.229550290000006</v>
      </c>
      <c r="D64" s="4">
        <v>286.08000299999998</v>
      </c>
      <c r="E64" s="4">
        <v>52.911412440000007</v>
      </c>
      <c r="F64" s="4">
        <v>75.445488759999989</v>
      </c>
      <c r="G64" s="4">
        <f t="shared" si="3"/>
        <v>42.588309933235983</v>
      </c>
      <c r="H64" s="4">
        <f>IFERROR((F64-E64)/$E$68*100,"-")</f>
        <v>9.602909790004685E-2</v>
      </c>
    </row>
    <row r="65" spans="2:8" ht="14.1" customHeight="1">
      <c r="B65" s="174" t="str">
        <f>IF(Indice_index!$Z$1=1,"Despesa de Capital","Capital expenditure")</f>
        <v>Despesa de Capital</v>
      </c>
      <c r="C65" s="134">
        <f>+C66+C67</f>
        <v>74.219772540000008</v>
      </c>
      <c r="D65" s="134">
        <f>+D66+D67</f>
        <v>165.36738199999999</v>
      </c>
      <c r="E65" s="134">
        <f>+E66+E67</f>
        <v>31.361946869999997</v>
      </c>
      <c r="F65" s="134">
        <f>+F66+F67</f>
        <v>39.139774249999995</v>
      </c>
      <c r="G65" s="134">
        <f t="shared" si="3"/>
        <v>24.800205842578158</v>
      </c>
      <c r="H65" s="134">
        <f>IFERROR((F65-E65)/$E$68*100,"-")</f>
        <v>3.3145256824251554E-2</v>
      </c>
    </row>
    <row r="66" spans="2:8" ht="14.1" customHeight="1">
      <c r="B66" s="125" t="str">
        <f>IF(Indice_index!$Z$1=1,"PIDDAC","PIDDAC - Central Admin. Invest. and Expend. Develop. Program")</f>
        <v>PIDDAC</v>
      </c>
      <c r="C66" s="4">
        <v>0.22939634999999997</v>
      </c>
      <c r="D66" s="4">
        <v>7.1252709999999997</v>
      </c>
      <c r="E66" s="4">
        <v>0</v>
      </c>
      <c r="F66" s="4">
        <v>6.5937000000000005E-4</v>
      </c>
      <c r="G66" s="4" t="str">
        <f t="shared" si="3"/>
        <v>-</v>
      </c>
      <c r="H66" s="4">
        <f>IFERROR((F66-E66)/$E$68*100,"-")</f>
        <v>2.809909107574814E-6</v>
      </c>
    </row>
    <row r="67" spans="2:8" ht="14.1" customHeight="1">
      <c r="B67" s="125" t="str">
        <f>IF(Indice_index!$Z$1=1,"Outras","Others")</f>
        <v>Outras</v>
      </c>
      <c r="C67" s="4">
        <v>73.990376190000006</v>
      </c>
      <c r="D67" s="4">
        <v>158.24211099999999</v>
      </c>
      <c r="E67" s="4">
        <v>31.361946869999997</v>
      </c>
      <c r="F67" s="4">
        <v>39.139114879999994</v>
      </c>
      <c r="G67" s="4">
        <f t="shared" si="3"/>
        <v>24.798103390192999</v>
      </c>
      <c r="H67" s="4">
        <f>IFERROR((F67-E67)/$E$68*100,"-")</f>
        <v>3.3142446915143974E-2</v>
      </c>
    </row>
    <row r="68" spans="2:8" ht="14.1" customHeight="1">
      <c r="B68" s="30" t="str">
        <f>IF(Indice_index!$Z$1=1,"Despesa efetiva","Effective expenditure")</f>
        <v>Despesa efetiva</v>
      </c>
      <c r="C68" s="18">
        <f>+C35+C65</f>
        <v>36655.822412919988</v>
      </c>
      <c r="D68" s="18">
        <f>+D35+D65</f>
        <v>39386.761871000002</v>
      </c>
      <c r="E68" s="18">
        <f>+E35+E65</f>
        <v>23465.883584009996</v>
      </c>
      <c r="F68" s="18">
        <f>+F35+F65</f>
        <v>25380.120595979995</v>
      </c>
      <c r="G68" s="18">
        <f>IF(IFERROR((F68-E68)/E68*100,"")&gt;500,"-",IFERROR((F68-E68)/E68*100,""))</f>
        <v>8.1575322110367452</v>
      </c>
      <c r="H68" s="18"/>
    </row>
    <row r="69" spans="2:8" ht="14.1" customHeight="1">
      <c r="B69" s="30" t="str">
        <f>IF(Indice_index!$Z$1=1,"Saldo global","Overall balance")</f>
        <v>Saldo global</v>
      </c>
      <c r="C69" s="18">
        <f>+C34-C68</f>
        <v>5536.2508758500189</v>
      </c>
      <c r="D69" s="18">
        <f>+D34-D68</f>
        <v>5658.9743869999947</v>
      </c>
      <c r="E69" s="18">
        <f>+E34-E68</f>
        <v>3339.7338561800061</v>
      </c>
      <c r="F69" s="18">
        <f>+F34-F68</f>
        <v>4408.4008350999939</v>
      </c>
      <c r="G69" s="18"/>
      <c r="H69" s="18"/>
    </row>
    <row r="70" spans="2:8" ht="14.1" customHeight="1">
      <c r="B70" s="125" t="str">
        <f>IF(Indice_index!$Z$1=1,"Ativos financeiros líquidos de reembolsos","Financial assets net of reimbursements")</f>
        <v>Ativos financeiros líquidos de reembolsos</v>
      </c>
      <c r="C70" s="310">
        <v>3921.814486949997</v>
      </c>
      <c r="D70" s="4">
        <v>582.79303200000004</v>
      </c>
      <c r="E70" s="311">
        <v>-674.83210584000585</v>
      </c>
      <c r="F70" s="310">
        <v>965.45740436000256</v>
      </c>
      <c r="G70" s="4"/>
      <c r="H70" s="4"/>
    </row>
    <row r="71" spans="2:8" ht="12.75" hidden="1" customHeight="1">
      <c r="B71" s="125" t="str">
        <f>IF(Indice_index!$Z$1=1,"Alienação de partes de capital","Disposal of Capital Shares")</f>
        <v>Alienação de partes de capital</v>
      </c>
      <c r="C71" s="312">
        <v>0</v>
      </c>
      <c r="D71" s="4">
        <v>0</v>
      </c>
      <c r="E71" s="4">
        <v>0</v>
      </c>
      <c r="F71" s="312">
        <v>0</v>
      </c>
      <c r="G71" s="4"/>
      <c r="H71" s="4"/>
    </row>
    <row r="72" spans="2:8" ht="14.1" customHeight="1">
      <c r="B72" s="125" t="str">
        <f>IF(Indice_index!$Z$1=1,"Passivos financeiros líquidos de amortizações","Financial liabilities net of amortizations")</f>
        <v>Passivos financeiros líquidos de amortizações</v>
      </c>
      <c r="C72" s="312">
        <v>-0.11339467</v>
      </c>
      <c r="D72" s="4">
        <v>-40</v>
      </c>
      <c r="E72" s="4">
        <v>0</v>
      </c>
      <c r="F72" s="312">
        <v>0</v>
      </c>
      <c r="G72" s="4"/>
      <c r="H72" s="4"/>
    </row>
    <row r="73" spans="2:8" ht="14.1" customHeight="1">
      <c r="B73" s="173" t="str">
        <f>IF(Indice_index!$Z$1=1,"Poupança (+) / Utilização (-) de saldo da gerência anterior","Saving (+) / Usage (-) of balance from previous management")</f>
        <v>Poupança (+) / Utilização (-) de saldo da gerência anterior</v>
      </c>
      <c r="C73" s="19">
        <f>(+C69-C70+C72)</f>
        <v>1614.322994230022</v>
      </c>
      <c r="D73" s="19">
        <f>(+D69-D70+D72)</f>
        <v>5036.1813549999952</v>
      </c>
      <c r="E73" s="19">
        <f>(+E69-E70+E72)</f>
        <v>4014.5659620200122</v>
      </c>
      <c r="F73" s="19">
        <f>(+F69-F70+F72)</f>
        <v>3442.9434307399915</v>
      </c>
      <c r="G73" s="19"/>
      <c r="H73" s="19"/>
    </row>
    <row r="74" spans="2:8" ht="15">
      <c r="B74" s="9" t="str">
        <f>IF(Indice_index!$Z$1=1,"Notas:","Notes:")</f>
        <v>Notas:</v>
      </c>
      <c r="C74" s="9"/>
      <c r="D74" s="9"/>
      <c r="E74" s="9"/>
      <c r="F74" s="9"/>
      <c r="G74" s="9"/>
      <c r="H74" s="9"/>
    </row>
    <row r="75" spans="2:8" ht="15">
      <c r="B75" s="409" t="str">
        <f>IF(Indice_index!$Z$1=1,"Valores consolidados - são excluídas transferências intra-setoriais.","Consolidated data - transfers within the subsector are excluded.")</f>
        <v>Valores consolidados - são excluídas transferências intra-setoriais.</v>
      </c>
      <c r="C75" s="409"/>
      <c r="D75" s="409"/>
      <c r="E75" s="409"/>
      <c r="F75" s="409"/>
      <c r="G75" s="409"/>
      <c r="H75" s="409"/>
    </row>
    <row r="76" spans="2:8" ht="15">
      <c r="B76" s="409"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76" s="409"/>
      <c r="D76" s="409"/>
      <c r="E76" s="409"/>
      <c r="F76" s="409"/>
      <c r="G76" s="409"/>
      <c r="H76" s="409"/>
    </row>
    <row r="77" spans="2:8" ht="15">
      <c r="B77" s="392" t="str">
        <f>+'3 - Conta AC + SS'!$B$61</f>
        <v>Os dados de 2024 são mensalmente revistos e atualizados face ao publicado nas Sínteses de Execução Orçamental de 2024.</v>
      </c>
      <c r="C77" s="392"/>
      <c r="D77" s="392"/>
      <c r="E77" s="392"/>
      <c r="F77" s="392"/>
      <c r="G77" s="392"/>
      <c r="H77" s="392"/>
    </row>
    <row r="78" spans="2:8" ht="57.75" customHeight="1">
      <c r="B78" s="408" t="str">
        <f>IF(Indice_index!$Z$1=1,B109,B110)</f>
        <v>A linha de despesa "Pensão velhice do regime substitutivo dos bancários" inclui:
- a partir de agosto de 2017, os complementos de pensões dos trabalhadores da Companhia Carris de Ferro de Lisboa, S.A. (Carris), cujo processamento de despesa fica a cargo do Instituto da Segurança Social, I.P., em cumprimento do disposto no Decreto-Lei n.º 95/2017, de 10 de agosto;
- a partir de janeiro de 2020, os complementos de pensões dos trabalhadores da Sociedade de Transportes Coletivos do Porto, S.A. (STCP), cujo processamento de despesa fica a cargo do Instituto da Segurança Social, I.P., em cumprimento do disposto no Decreto-Lei n.º 151/2019, de 11 de outubro.</v>
      </c>
      <c r="C78" s="408"/>
      <c r="D78" s="408"/>
      <c r="E78" s="408"/>
      <c r="F78" s="408"/>
      <c r="G78" s="408"/>
      <c r="H78" s="408"/>
    </row>
    <row r="79" spans="2:8" ht="15">
      <c r="B79" s="71" t="str">
        <f>IF(Indice_index!$Z$1=1,"Fonte: Instituto de Gestão Financeira da Segurança Social, I.P.","Souce: Social Security Finance Management Institute.")</f>
        <v>Fonte: Instituto de Gestão Financeira da Segurança Social, I.P.</v>
      </c>
      <c r="E79" s="74"/>
      <c r="F79" s="74"/>
    </row>
    <row r="80" spans="2:8" ht="14.85" customHeight="1"/>
    <row r="109" spans="2:2" ht="102" hidden="1">
      <c r="B109" s="162" t="s">
        <v>428</v>
      </c>
    </row>
    <row r="110" spans="2:2" ht="79.5" hidden="1">
      <c r="B110" s="162" t="s">
        <v>427</v>
      </c>
    </row>
  </sheetData>
  <mergeCells count="7">
    <mergeCell ref="B78:H78"/>
    <mergeCell ref="B10:B11"/>
    <mergeCell ref="E10:F10"/>
    <mergeCell ref="G10:H10"/>
    <mergeCell ref="B75:H75"/>
    <mergeCell ref="B76:H76"/>
    <mergeCell ref="B77:H77"/>
  </mergeCells>
  <conditionalFormatting sqref="C12:H33 C35:H67">
    <cfRule type="cellIs" dxfId="50" priority="2" operator="equal">
      <formula>0</formula>
    </cfRule>
  </conditionalFormatting>
  <conditionalFormatting sqref="C70:H73">
    <cfRule type="cellIs" dxfId="49" priority="1" operator="equal">
      <formula>0</formula>
    </cfRule>
  </conditionalFormatting>
  <pageMargins left="0.70866141732283472" right="0.70866141732283472" top="0.74803149606299213" bottom="0.74803149606299213" header="0.31496062992125984" footer="0.31496062992125984"/>
  <pageSetup paperSize="9" scale="66" orientation="portrait" r:id="rId1"/>
  <ignoredErrors>
    <ignoredError sqref="C12:F12 C36:F37" formulaRange="1"/>
    <ignoredError sqref="B75:H78" unlockedFormula="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Folha17">
    <pageSetUpPr fitToPage="1"/>
  </sheetPr>
  <dimension ref="A1:I72"/>
  <sheetViews>
    <sheetView showGridLines="0" zoomScaleNormal="100" workbookViewId="0"/>
  </sheetViews>
  <sheetFormatPr defaultColWidth="0" defaultRowHeight="14.85" customHeight="1" zeroHeight="1"/>
  <cols>
    <col min="1" max="1" width="8.5703125" style="75" customWidth="1"/>
    <col min="2" max="2" width="43.5703125" style="76" customWidth="1"/>
    <col min="3" max="6" width="10.42578125" style="77" customWidth="1"/>
    <col min="7" max="7" width="10.42578125" style="78" customWidth="1"/>
    <col min="8" max="8" width="10.42578125" style="77" customWidth="1"/>
    <col min="9" max="9" width="8.5703125" style="75" customWidth="1"/>
    <col min="10" max="16384" width="9.42578125" hidden="1"/>
  </cols>
  <sheetData>
    <row r="1" spans="1:9" ht="14.85" customHeight="1"/>
    <row r="2" spans="1:9" ht="15"/>
    <row r="3" spans="1:9" ht="15"/>
    <row r="4" spans="1:9" ht="15"/>
    <row r="5" spans="1:9" ht="18" customHeight="1">
      <c r="A5"/>
      <c r="B5" s="270" t="str">
        <f>IF(Indice_index!$Z$1=1,"ANEXOS ESTATÍSTICOS","STATISTICAL ANNEXES")</f>
        <v>ANEXOS ESTATÍSTICOS</v>
      </c>
      <c r="C5"/>
      <c r="D5"/>
      <c r="E5"/>
      <c r="F5"/>
      <c r="G5"/>
      <c r="H5"/>
      <c r="I5"/>
    </row>
    <row r="6" spans="1:9" ht="18" customHeight="1">
      <c r="A6"/>
      <c r="B6" s="271" t="str">
        <f>IF(Indice_index!$Z$1=1,"Agosto de 2025","August 2025")</f>
        <v>Agosto de 2025</v>
      </c>
      <c r="C6"/>
      <c r="D6"/>
      <c r="E6"/>
      <c r="F6"/>
      <c r="G6"/>
      <c r="H6"/>
      <c r="I6"/>
    </row>
    <row r="7" spans="1:9" ht="50.1" customHeight="1">
      <c r="B7" s="12"/>
      <c r="C7" s="13"/>
      <c r="D7" s="11"/>
      <c r="E7" s="11"/>
      <c r="F7" s="11"/>
      <c r="G7" s="11"/>
      <c r="H7" s="11"/>
    </row>
    <row r="8" spans="1:9" ht="15.75">
      <c r="B8" s="1" t="str">
        <f>IF(Indice_index!$Z$1=1,"Quadro 11 - Execução Orçamental da Segurança Social por Classificação Económica","11 - Social Security Budget Execution by Economic Categories")</f>
        <v>Quadro 11 - Execução Orçamental da Segurança Social por Classificação Económica</v>
      </c>
      <c r="C8" s="2"/>
      <c r="D8" s="2"/>
      <c r="E8" s="2"/>
      <c r="F8" s="2"/>
      <c r="G8" s="2"/>
      <c r="H8" s="2"/>
    </row>
    <row r="9" spans="1:9" ht="15">
      <c r="B9" s="3" t="str">
        <f>+'3 - Conta AC + SS'!B9</f>
        <v>Período: janeiro a agosto</v>
      </c>
      <c r="C9" s="3"/>
      <c r="D9" s="3"/>
      <c r="E9" s="3"/>
      <c r="F9" s="3"/>
      <c r="G9" s="3"/>
      <c r="H9" s="3" t="str">
        <f>IF(Indice_index!$Z$1=1,"€ Milhões","€ Millions")</f>
        <v>€ Milhões</v>
      </c>
    </row>
    <row r="10" spans="1:9"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391" t="str">
        <f>IF(Indice_index!$Z$1=1,"Variação Homóloga Acumulada","YOY Change Rate")</f>
        <v>Variação Homóloga Acumulada</v>
      </c>
      <c r="H10" s="387"/>
    </row>
    <row r="11" spans="1:9" ht="26.85" customHeight="1">
      <c r="B11" s="389"/>
      <c r="C11" s="22">
        <v>2024</v>
      </c>
      <c r="D11" s="22">
        <v>2025</v>
      </c>
      <c r="E11" s="22">
        <v>2024</v>
      </c>
      <c r="F11" s="22">
        <v>2025</v>
      </c>
      <c r="G11" s="22" t="str">
        <f>IF(Indice_index!$Z$1=1,"Relativa (%)","Relative change (%)")</f>
        <v>Relativa (%)</v>
      </c>
      <c r="H11" s="22" t="str">
        <f>IF(Indice_index!$Z$1=1,"Contributo VHA (pp)","YOY Change Rate Contrib. (pp)")</f>
        <v>Contributo VHA (pp)</v>
      </c>
    </row>
    <row r="12" spans="1:9" ht="14.1" customHeight="1">
      <c r="B12" s="174" t="str">
        <f>IF(Indice_index!$Z$1=1,"Receita corrente","Current revenue")</f>
        <v>Receita corrente</v>
      </c>
      <c r="C12" s="134">
        <f>+C13+C16+C17+C18+C23</f>
        <v>42190.197021020002</v>
      </c>
      <c r="D12" s="134">
        <f>+D13+D16+D17+D18+D23</f>
        <v>45038.829192001351</v>
      </c>
      <c r="E12" s="134">
        <f>+E13+E16+E17+E18+E23</f>
        <v>26804.973799020001</v>
      </c>
      <c r="F12" s="134">
        <f>+F13+F16+F17+F18+F23</f>
        <v>29788.308770159994</v>
      </c>
      <c r="G12" s="134">
        <f t="shared" ref="G12:G31" si="0">IF(IFERROR((F12-E12)/E12*100,"")&gt;500,"-",IFERROR((F12-E12)/E12*100,""))</f>
        <v>11.129781336511007</v>
      </c>
      <c r="H12" s="134">
        <f t="shared" ref="H12:H31" si="1">IFERROR((F12-E12)/$E$32*100,"-")</f>
        <v>11.129514094560797</v>
      </c>
    </row>
    <row r="13" spans="1:9" ht="14.1" customHeight="1">
      <c r="B13" s="125" t="str">
        <f>IF(Indice_index!$Z$1=1,"Receitas fiscais","Tax revenue")</f>
        <v>Receitas fiscais</v>
      </c>
      <c r="C13" s="4">
        <f>+C14+C15</f>
        <v>232.90479740999996</v>
      </c>
      <c r="D13" s="4">
        <f>+D14+D15</f>
        <v>256.82781899999998</v>
      </c>
      <c r="E13" s="4">
        <f>+E14+E15</f>
        <v>153.77091191999997</v>
      </c>
      <c r="F13" s="4">
        <f>+F14+F15</f>
        <v>153.50786047</v>
      </c>
      <c r="G13" s="4">
        <f t="shared" si="0"/>
        <v>-0.17106710672095862</v>
      </c>
      <c r="H13" s="4">
        <f t="shared" si="1"/>
        <v>-9.8132956865071611E-4</v>
      </c>
    </row>
    <row r="14" spans="1:9" ht="15" hidden="1">
      <c r="B14" s="172" t="str">
        <f>IF(Indice_index!$Z$1=1,"Impostos diretos","Direct taxes")</f>
        <v>Impostos diretos</v>
      </c>
      <c r="C14" s="4">
        <v>0</v>
      </c>
      <c r="D14" s="4">
        <v>0</v>
      </c>
      <c r="E14" s="4">
        <v>0</v>
      </c>
      <c r="F14" s="4">
        <v>0</v>
      </c>
      <c r="G14" s="4" t="str">
        <f t="shared" si="0"/>
        <v>-</v>
      </c>
      <c r="H14" s="4">
        <f t="shared" si="1"/>
        <v>0</v>
      </c>
    </row>
    <row r="15" spans="1:9" ht="14.1" customHeight="1">
      <c r="B15" s="172" t="str">
        <f>IF(Indice_index!$Z$1=1,"Impostos indiretos","Indirect taxes")</f>
        <v>Impostos indiretos</v>
      </c>
      <c r="C15" s="4">
        <v>232.90479740999996</v>
      </c>
      <c r="D15" s="4">
        <v>256.82781899999998</v>
      </c>
      <c r="E15" s="4">
        <v>153.77091191999997</v>
      </c>
      <c r="F15" s="4">
        <v>153.50786047</v>
      </c>
      <c r="G15" s="4">
        <f t="shared" si="0"/>
        <v>-0.17106710672095862</v>
      </c>
      <c r="H15" s="4">
        <f t="shared" si="1"/>
        <v>-9.8132956865071611E-4</v>
      </c>
    </row>
    <row r="16" spans="1:9" ht="14.1" customHeight="1">
      <c r="B16" s="125" t="str">
        <f>IF(Indice_index!$Z$1=1,"Contribuições para Segurança Social, CGA e ADSE","Contributions to the Social Security, Public Servants Social and ADSE")</f>
        <v>Contribuições para Segurança Social, CGA e ADSE</v>
      </c>
      <c r="C16" s="4">
        <v>27688.469554570001</v>
      </c>
      <c r="D16" s="4">
        <v>29460.531805999999</v>
      </c>
      <c r="E16" s="4">
        <v>17908.93972712</v>
      </c>
      <c r="F16" s="4">
        <v>19512.012585979999</v>
      </c>
      <c r="G16" s="4">
        <f t="shared" si="0"/>
        <v>8.9512438105558108</v>
      </c>
      <c r="H16" s="4">
        <f t="shared" si="1"/>
        <v>5.9803616254572516</v>
      </c>
    </row>
    <row r="17" spans="2:8" ht="14.1" customHeight="1">
      <c r="B17" s="125" t="str">
        <f>IF(Indice_index!$Z$1=1,"Taxas, multas e outras penalidades","Taxes, fines and other penalties")</f>
        <v>Taxas, multas e outras penalidades</v>
      </c>
      <c r="C17" s="4">
        <v>138.288331</v>
      </c>
      <c r="D17" s="4">
        <v>98.206166999999994</v>
      </c>
      <c r="E17" s="4">
        <v>88.640309860000002</v>
      </c>
      <c r="F17" s="4">
        <v>118.75725346999999</v>
      </c>
      <c r="G17" s="4">
        <f t="shared" si="0"/>
        <v>33.976577538556896</v>
      </c>
      <c r="H17" s="4">
        <f t="shared" si="1"/>
        <v>0.11235310537874527</v>
      </c>
    </row>
    <row r="18" spans="2:8" ht="14.1" customHeight="1">
      <c r="B18" s="125" t="str">
        <f>IF(Indice_index!$Z$1=1,"Transferências correntes","Current transfers")</f>
        <v>Transferências correntes</v>
      </c>
      <c r="C18" s="4">
        <f>SUM(C19:C22)</f>
        <v>13016.03506806</v>
      </c>
      <c r="D18" s="4">
        <f>SUM(D19:D22)</f>
        <v>14359.633797001356</v>
      </c>
      <c r="E18" s="4">
        <f>SUM(E19:E22)</f>
        <v>7944.7627358600012</v>
      </c>
      <c r="F18" s="4">
        <f>SUM(F19:F22)</f>
        <v>9071.962396869998</v>
      </c>
      <c r="G18" s="4">
        <f t="shared" si="0"/>
        <v>14.187958765869679</v>
      </c>
      <c r="H18" s="4">
        <f t="shared" si="1"/>
        <v>4.205087472896528</v>
      </c>
    </row>
    <row r="19" spans="2:8" ht="13.5" customHeight="1">
      <c r="B19" s="172" t="str">
        <f>IF(Indice_index!$Z$1=1,"Administração Central","Central Administration")</f>
        <v>Administração Central</v>
      </c>
      <c r="C19" s="4">
        <v>12009.822730219999</v>
      </c>
      <c r="D19" s="4">
        <v>12309.906677997646</v>
      </c>
      <c r="E19" s="4">
        <v>7329.933394820001</v>
      </c>
      <c r="F19" s="4">
        <v>8128.5125575999991</v>
      </c>
      <c r="G19" s="4">
        <f t="shared" si="0"/>
        <v>10.894766974886116</v>
      </c>
      <c r="H19" s="4">
        <f t="shared" si="1"/>
        <v>2.9791485481049889</v>
      </c>
    </row>
    <row r="20" spans="2:8" ht="15" hidden="1">
      <c r="B20" s="172" t="str">
        <f>IF(Indice_index!$Z$1=1,"Outros subsectores das AP","Other General Government subsectors")</f>
        <v>Outros subsectores das AP</v>
      </c>
      <c r="C20" s="4">
        <v>0</v>
      </c>
      <c r="D20" s="4">
        <v>0</v>
      </c>
      <c r="E20" s="4">
        <v>0</v>
      </c>
      <c r="F20" s="4">
        <v>0</v>
      </c>
      <c r="G20" s="4" t="str">
        <f t="shared" si="0"/>
        <v>-</v>
      </c>
      <c r="H20" s="4">
        <f t="shared" si="1"/>
        <v>0</v>
      </c>
    </row>
    <row r="21" spans="2:8" ht="14.1" customHeight="1">
      <c r="B21" s="172" t="str">
        <f>IF(Indice_index!$Z$1=1,"União Europeia","European Union")</f>
        <v>União Europeia</v>
      </c>
      <c r="C21" s="4">
        <v>1003.10162465</v>
      </c>
      <c r="D21" s="4">
        <v>2047.7271190037097</v>
      </c>
      <c r="E21" s="4">
        <v>613.07128043000012</v>
      </c>
      <c r="F21" s="4">
        <v>941.6385419400001</v>
      </c>
      <c r="G21" s="4">
        <f t="shared" si="0"/>
        <v>53.593647590137849</v>
      </c>
      <c r="H21" s="4">
        <f t="shared" si="1"/>
        <v>1.2257403219422767</v>
      </c>
    </row>
    <row r="22" spans="2:8" ht="14.1" customHeight="1">
      <c r="B22" s="172" t="str">
        <f>IF(Indice_index!$Z$1=1,"Outras transferências","Other transfers")</f>
        <v>Outras transferências</v>
      </c>
      <c r="C22" s="4">
        <v>3.1107131899999558</v>
      </c>
      <c r="D22" s="4">
        <v>2</v>
      </c>
      <c r="E22" s="4">
        <v>1.75806061</v>
      </c>
      <c r="F22" s="4">
        <v>1.8112973300000001</v>
      </c>
      <c r="G22" s="4">
        <f t="shared" si="0"/>
        <v>3.0281504344722294</v>
      </c>
      <c r="H22" s="4">
        <f t="shared" si="1"/>
        <v>1.9860284926763759E-4</v>
      </c>
    </row>
    <row r="23" spans="2:8" ht="14.1" customHeight="1">
      <c r="B23" s="125" t="str">
        <f>IF(Indice_index!$Z$1=1,"Outras receitas correntes","Other current revenue")</f>
        <v>Outras receitas correntes</v>
      </c>
      <c r="C23" s="4">
        <v>1114.4992699800002</v>
      </c>
      <c r="D23" s="4">
        <v>863.62960299999997</v>
      </c>
      <c r="E23" s="4">
        <v>708.86011426000016</v>
      </c>
      <c r="F23" s="4">
        <v>932.06867337000017</v>
      </c>
      <c r="G23" s="4">
        <f t="shared" si="0"/>
        <v>31.488378965011165</v>
      </c>
      <c r="H23" s="4">
        <f t="shared" si="1"/>
        <v>0.83269322039693283</v>
      </c>
    </row>
    <row r="24" spans="2:8" ht="14.1" customHeight="1">
      <c r="B24" s="174" t="str">
        <f>IF(Indice_index!$Z$1=1,"Receita de capital","Capital revenue")</f>
        <v>Receita de capital</v>
      </c>
      <c r="C24" s="134">
        <f>+C25+C26+C31</f>
        <v>1.8762677499999998</v>
      </c>
      <c r="D24" s="134">
        <f>+D25+D26+D31</f>
        <v>6.9070660000000004</v>
      </c>
      <c r="E24" s="134">
        <f>+E25+E26+E31</f>
        <v>0.64364117000000021</v>
      </c>
      <c r="F24" s="134">
        <f>+F25+F26+F31</f>
        <v>0.21266092</v>
      </c>
      <c r="G24" s="134">
        <f t="shared" si="0"/>
        <v>-66.959708310765777</v>
      </c>
      <c r="H24" s="134">
        <f t="shared" si="1"/>
        <v>-1.6077982570691547E-3</v>
      </c>
    </row>
    <row r="25" spans="2:8" ht="14.1" customHeight="1">
      <c r="B25" s="125" t="str">
        <f>IF(Indice_index!$Z$1=1,"Venda de bens de investimento","Sale of investment goods")</f>
        <v>Venda de bens de investimento</v>
      </c>
      <c r="C25" s="4">
        <v>1.2519401499999998</v>
      </c>
      <c r="D25" s="4">
        <v>0.548095</v>
      </c>
      <c r="E25" s="4">
        <v>0.63570229000000023</v>
      </c>
      <c r="F25" s="4">
        <v>0.20959546000000001</v>
      </c>
      <c r="G25" s="4">
        <f t="shared" si="0"/>
        <v>-67.029305494557846</v>
      </c>
      <c r="H25" s="4">
        <f t="shared" si="1"/>
        <v>-1.5896176648448801E-3</v>
      </c>
    </row>
    <row r="26" spans="2:8" ht="14.1" customHeight="1">
      <c r="B26" s="125" t="str">
        <f>IF(Indice_index!$Z$1=1,"Transferências de capital","Capital transfers")</f>
        <v>Transferências de capital</v>
      </c>
      <c r="C26" s="4">
        <f t="shared" ref="C26" si="2">+SUM(C27:C30)</f>
        <v>0.61556542000000003</v>
      </c>
      <c r="D26" s="4">
        <f>+SUM(D27:D30)</f>
        <v>6.3437710000000003</v>
      </c>
      <c r="E26" s="4">
        <f t="shared" ref="E26:F26" si="3">+SUM(E27:E30)</f>
        <v>0</v>
      </c>
      <c r="F26" s="4">
        <f t="shared" si="3"/>
        <v>0</v>
      </c>
      <c r="G26" s="4" t="str">
        <f t="shared" si="0"/>
        <v>-</v>
      </c>
      <c r="H26" s="4">
        <f t="shared" si="1"/>
        <v>0</v>
      </c>
    </row>
    <row r="27" spans="2:8" ht="14.1" customHeight="1">
      <c r="B27" s="172" t="str">
        <f>IF(Indice_index!$Z$1=1,"Administração Central","Central Administration")</f>
        <v>Administração Central</v>
      </c>
      <c r="C27" s="4">
        <v>0.50710699999999997</v>
      </c>
      <c r="D27" s="4">
        <v>6.3437710000000003</v>
      </c>
      <c r="E27" s="4">
        <v>0</v>
      </c>
      <c r="F27" s="4">
        <v>0</v>
      </c>
      <c r="G27" s="4" t="str">
        <f t="shared" si="0"/>
        <v>-</v>
      </c>
      <c r="H27" s="4">
        <f t="shared" si="1"/>
        <v>0</v>
      </c>
    </row>
    <row r="28" spans="2:8" ht="15" hidden="1">
      <c r="B28" s="172" t="str">
        <f>IF(Indice_index!$Z$1=1,"Outros subsectores das AP","Other General Government subsectors")</f>
        <v>Outros subsectores das AP</v>
      </c>
      <c r="C28" s="4">
        <v>0</v>
      </c>
      <c r="D28" s="4">
        <v>0</v>
      </c>
      <c r="E28" s="4">
        <v>0</v>
      </c>
      <c r="F28" s="4">
        <v>0</v>
      </c>
      <c r="G28" s="4" t="str">
        <f t="shared" si="0"/>
        <v>-</v>
      </c>
      <c r="H28" s="4">
        <f t="shared" si="1"/>
        <v>0</v>
      </c>
    </row>
    <row r="29" spans="2:8" ht="15" hidden="1">
      <c r="B29" s="172" t="str">
        <f>IF(Indice_index!$Z$1=1,"União Europeia","European Union")</f>
        <v>União Europeia</v>
      </c>
      <c r="C29" s="4">
        <v>0</v>
      </c>
      <c r="D29" s="4">
        <v>0</v>
      </c>
      <c r="E29" s="4">
        <v>0</v>
      </c>
      <c r="F29" s="4">
        <v>0</v>
      </c>
      <c r="G29" s="4" t="str">
        <f t="shared" si="0"/>
        <v>-</v>
      </c>
      <c r="H29" s="4">
        <f t="shared" si="1"/>
        <v>0</v>
      </c>
    </row>
    <row r="30" spans="2:8" ht="15">
      <c r="B30" s="172" t="str">
        <f>IF(Indice_index!$Z$1=1,"Outras transferências","Other transfers")</f>
        <v>Outras transferências</v>
      </c>
      <c r="C30" s="4">
        <v>0.10845842</v>
      </c>
      <c r="D30" s="4">
        <v>0</v>
      </c>
      <c r="E30" s="4">
        <v>0</v>
      </c>
      <c r="F30" s="4">
        <v>0</v>
      </c>
      <c r="G30" s="4" t="str">
        <f t="shared" si="0"/>
        <v>-</v>
      </c>
      <c r="H30" s="4">
        <f t="shared" si="1"/>
        <v>0</v>
      </c>
    </row>
    <row r="31" spans="2:8" ht="14.1" customHeight="1">
      <c r="B31" s="125" t="str">
        <f>IF(Indice_index!$Z$1=1,"Outras receitas de capital","Other capital revenue")</f>
        <v>Outras receitas de capital</v>
      </c>
      <c r="C31" s="4">
        <v>8.7621799999999996E-3</v>
      </c>
      <c r="D31" s="4">
        <v>1.52E-2</v>
      </c>
      <c r="E31" s="4">
        <v>7.9388800000000006E-3</v>
      </c>
      <c r="F31" s="4">
        <v>3.0654599999999999E-3</v>
      </c>
      <c r="G31" s="4">
        <f t="shared" si="0"/>
        <v>-61.386744729735177</v>
      </c>
      <c r="H31" s="4">
        <f t="shared" si="1"/>
        <v>-1.8180592224274678E-5</v>
      </c>
    </row>
    <row r="32" spans="2:8" ht="14.1" customHeight="1">
      <c r="B32" s="30" t="str">
        <f>IF(Indice_index!$Z$1=1,"Receita efetiva","Effective revenue")</f>
        <v>Receita efetiva</v>
      </c>
      <c r="C32" s="18">
        <f>+C12+C24</f>
        <v>42192.07328877</v>
      </c>
      <c r="D32" s="18">
        <f>+D12+D24</f>
        <v>45045.736258001351</v>
      </c>
      <c r="E32" s="18">
        <f>+E12+E24</f>
        <v>26805.617440190003</v>
      </c>
      <c r="F32" s="18">
        <f>+F12+F24</f>
        <v>29788.521431079993</v>
      </c>
      <c r="G32" s="18">
        <f t="shared" ref="G32:G55" si="4">IF(IFERROR((F32-E32)/E32*100,"")&gt;500,"-",IFERROR((F32-E32)/E32*100,""))</f>
        <v>11.127906296303717</v>
      </c>
      <c r="H32" s="18"/>
    </row>
    <row r="33" spans="2:8" ht="14.1" customHeight="1">
      <c r="B33" s="174" t="str">
        <f>IF(Indice_index!$Z$1=1,"Despesa corrente","Current Expenditure")</f>
        <v>Despesa corrente</v>
      </c>
      <c r="C33" s="134">
        <f>+C34+C38+C39+C40+C45+C46</f>
        <v>36488.520517340003</v>
      </c>
      <c r="D33" s="134">
        <f>+D34+D38+D39+D40+D45+D46</f>
        <v>39125.150488999359</v>
      </c>
      <c r="E33" s="134">
        <f>+E34+E38+E39+E40+E45+E46</f>
        <v>23377.647990669997</v>
      </c>
      <c r="F33" s="134">
        <f>+F34+F38+F39+F40+F45+F46</f>
        <v>25304.160641129991</v>
      </c>
      <c r="G33" s="134">
        <f t="shared" si="4"/>
        <v>8.2408318032201695</v>
      </c>
      <c r="H33" s="134">
        <f t="shared" ref="H33:H54" si="5">IFERROR((F33-E33)/$E$55*100,"-")</f>
        <v>8.2098449161861033</v>
      </c>
    </row>
    <row r="34" spans="2:8" ht="14.1" customHeight="1">
      <c r="B34" s="125" t="str">
        <f>IF(Indice_index!$Z$1=1,"Despesas com pessoal","Employees")</f>
        <v>Despesas com pessoal</v>
      </c>
      <c r="C34" s="4">
        <f>+C35+C36+C37</f>
        <v>343.43857215999998</v>
      </c>
      <c r="D34" s="4">
        <f>+D35+D36+D37</f>
        <v>377.40724799999998</v>
      </c>
      <c r="E34" s="4">
        <f>+E35+E36+E37</f>
        <v>220.59621822</v>
      </c>
      <c r="F34" s="4">
        <f>+F35+F36+F37</f>
        <v>229.13529289000002</v>
      </c>
      <c r="G34" s="4">
        <f t="shared" si="4"/>
        <v>3.8709070984544369</v>
      </c>
      <c r="H34" s="4">
        <f t="shared" si="5"/>
        <v>3.6389316598411284E-2</v>
      </c>
    </row>
    <row r="35" spans="2:8" ht="14.1" customHeight="1">
      <c r="B35" s="172" t="str">
        <f>IF(Indice_index!$Z$1=1,"Remunerações certas e permanentes","Certain and permanent wages")</f>
        <v>Remunerações certas e permanentes</v>
      </c>
      <c r="C35" s="4">
        <v>274.90866547999997</v>
      </c>
      <c r="D35" s="4">
        <v>302.48836599999998</v>
      </c>
      <c r="E35" s="4">
        <v>177.5994417</v>
      </c>
      <c r="F35" s="4">
        <v>183.43154107000001</v>
      </c>
      <c r="G35" s="4">
        <f t="shared" si="4"/>
        <v>3.283850058409282</v>
      </c>
      <c r="H35" s="4">
        <f t="shared" si="5"/>
        <v>2.485352554111403E-2</v>
      </c>
    </row>
    <row r="36" spans="2:8" ht="14.1" customHeight="1">
      <c r="B36" s="172" t="str">
        <f>IF(Indice_index!$Z$1=1,"Abonos variáveis ou eventuais","Variable or contingent bonuses")</f>
        <v>Abonos variáveis ou eventuais</v>
      </c>
      <c r="C36" s="4">
        <v>6.6891858600000003</v>
      </c>
      <c r="D36" s="4">
        <v>6.8466940000000003</v>
      </c>
      <c r="E36" s="4">
        <v>3.7836965900000004</v>
      </c>
      <c r="F36" s="4">
        <v>4.6244453100000014</v>
      </c>
      <c r="G36" s="4">
        <f t="shared" si="4"/>
        <v>22.220299646172233</v>
      </c>
      <c r="H36" s="4">
        <f t="shared" si="5"/>
        <v>3.5828555826165425E-3</v>
      </c>
    </row>
    <row r="37" spans="2:8" ht="14.1" customHeight="1">
      <c r="B37" s="172" t="str">
        <f>IF(Indice_index!$Z$1=1,"Segurança Social","Social security")</f>
        <v>Segurança Social</v>
      </c>
      <c r="C37" s="4">
        <v>61.840720820000008</v>
      </c>
      <c r="D37" s="4">
        <v>68.072187999999997</v>
      </c>
      <c r="E37" s="4">
        <v>39.213079929999992</v>
      </c>
      <c r="F37" s="4">
        <v>41.079306510000016</v>
      </c>
      <c r="G37" s="4">
        <f t="shared" si="4"/>
        <v>4.7591940835340161</v>
      </c>
      <c r="H37" s="4">
        <f t="shared" si="5"/>
        <v>7.9529354746807786E-3</v>
      </c>
    </row>
    <row r="38" spans="2:8" ht="14.1" customHeight="1">
      <c r="B38" s="125" t="str">
        <f>IF(Indice_index!$Z$1=1,"Aquisição de bens e serviços","Purchase of goods and services")</f>
        <v>Aquisição de bens e serviços</v>
      </c>
      <c r="C38" s="4">
        <v>113.26162645999999</v>
      </c>
      <c r="D38" s="4">
        <v>264.85666099999997</v>
      </c>
      <c r="E38" s="4">
        <v>55.757672459999995</v>
      </c>
      <c r="F38" s="4">
        <v>59.576565670000008</v>
      </c>
      <c r="G38" s="4">
        <f t="shared" si="4"/>
        <v>6.849090074087381</v>
      </c>
      <c r="H38" s="4">
        <f t="shared" si="5"/>
        <v>1.6274235727489348E-2</v>
      </c>
    </row>
    <row r="39" spans="2:8" ht="14.1" customHeight="1">
      <c r="B39" s="125" t="str">
        <f>IF(Indice_index!$Z$1=1,"Juros e outros encargos","Interests")</f>
        <v>Juros e outros encargos</v>
      </c>
      <c r="C39" s="4">
        <v>7.8518955199999994</v>
      </c>
      <c r="D39" s="4">
        <v>11.973628</v>
      </c>
      <c r="E39" s="4">
        <v>4.9286621899999998</v>
      </c>
      <c r="F39" s="4">
        <v>4.665571149999999</v>
      </c>
      <c r="G39" s="4">
        <f t="shared" si="4"/>
        <v>-5.3379807716138243</v>
      </c>
      <c r="H39" s="4">
        <f t="shared" si="5"/>
        <v>-1.1211640041514355E-3</v>
      </c>
    </row>
    <row r="40" spans="2:8" ht="14.1" customHeight="1">
      <c r="B40" s="125" t="str">
        <f>IF(Indice_index!$Z$1=1,"Transferências correntes","Current transfers")</f>
        <v>Transferências correntes</v>
      </c>
      <c r="C40" s="4">
        <f>+C41+C42+C43+C44</f>
        <v>35450.815412980002</v>
      </c>
      <c r="D40" s="4">
        <f>+D41+D42+D43+D44</f>
        <v>37344.476982003711</v>
      </c>
      <c r="E40" s="4">
        <f>+E41+E42+E43+E44</f>
        <v>22708.940762739996</v>
      </c>
      <c r="F40" s="4">
        <f>+F41+F42+F43+F44</f>
        <v>24403.135947119994</v>
      </c>
      <c r="G40" s="4">
        <f t="shared" si="4"/>
        <v>7.4604764796417617</v>
      </c>
      <c r="H40" s="4">
        <f t="shared" si="5"/>
        <v>7.2198226770989695</v>
      </c>
    </row>
    <row r="41" spans="2:8" ht="14.1" customHeight="1">
      <c r="B41" s="172" t="str">
        <f>IF(Indice_index!$Z$1=1,"Administração Central","Central Administration")</f>
        <v>Administração Central</v>
      </c>
      <c r="C41" s="4">
        <v>2060.4957935300004</v>
      </c>
      <c r="D41" s="4">
        <v>2142.8116540037099</v>
      </c>
      <c r="E41" s="4">
        <v>1374.6905781500002</v>
      </c>
      <c r="F41" s="4">
        <v>1442.3101897700003</v>
      </c>
      <c r="G41" s="4">
        <f t="shared" si="4"/>
        <v>4.9188968553927026</v>
      </c>
      <c r="H41" s="4">
        <f t="shared" si="5"/>
        <v>0.28816137000729486</v>
      </c>
    </row>
    <row r="42" spans="2:8" ht="14.1" customHeight="1">
      <c r="B42" s="172" t="str">
        <f>IF(Indice_index!$Z$1=1,"Outros subsetores das Administrações Públicas","Other General Government subsectors")</f>
        <v>Outros subsetores das Administrações Públicas</v>
      </c>
      <c r="C42" s="4">
        <v>94.858972929999993</v>
      </c>
      <c r="D42" s="4">
        <v>241.19467599999999</v>
      </c>
      <c r="E42" s="4">
        <v>56.645607159999997</v>
      </c>
      <c r="F42" s="4">
        <v>94.138770829999999</v>
      </c>
      <c r="G42" s="4">
        <f t="shared" si="4"/>
        <v>66.189004849215564</v>
      </c>
      <c r="H42" s="4">
        <f t="shared" si="5"/>
        <v>0.15977733604520394</v>
      </c>
    </row>
    <row r="43" spans="2:8" ht="13.5" customHeight="1">
      <c r="B43" s="172" t="str">
        <f>IF(Indice_index!$Z$1=1,"União Europeia","European Union")</f>
        <v>União Europeia</v>
      </c>
      <c r="C43" s="4">
        <v>5.57330126</v>
      </c>
      <c r="D43" s="4">
        <v>0</v>
      </c>
      <c r="E43" s="4">
        <v>0.15</v>
      </c>
      <c r="F43" s="4">
        <v>0</v>
      </c>
      <c r="G43" s="4">
        <f t="shared" si="4"/>
        <v>-100</v>
      </c>
      <c r="H43" s="4">
        <f t="shared" si="5"/>
        <v>-6.3922587642176935E-4</v>
      </c>
    </row>
    <row r="44" spans="2:8" ht="14.1" customHeight="1">
      <c r="B44" s="172" t="str">
        <f>IF(Indice_index!$Z$1=1,"Outras transferências","Other transfers")</f>
        <v>Outras transferências</v>
      </c>
      <c r="C44" s="4">
        <v>33289.887345260002</v>
      </c>
      <c r="D44" s="4">
        <v>34960.470652000004</v>
      </c>
      <c r="E44" s="4">
        <v>21277.454577429995</v>
      </c>
      <c r="F44" s="4">
        <v>22866.686986519995</v>
      </c>
      <c r="G44" s="4">
        <f t="shared" si="4"/>
        <v>7.4690908318318039</v>
      </c>
      <c r="H44" s="4">
        <f t="shared" si="5"/>
        <v>6.7725231969229016</v>
      </c>
    </row>
    <row r="45" spans="2:8" ht="14.1" customHeight="1">
      <c r="B45" s="125" t="str">
        <f>IF(Indice_index!$Z$1=1,"Subsídios","Subsidies")</f>
        <v>Subsídios</v>
      </c>
      <c r="C45" s="4">
        <v>565.37863703999994</v>
      </c>
      <c r="D45" s="4">
        <v>1111.769765995647</v>
      </c>
      <c r="E45" s="4">
        <v>380.84638908000005</v>
      </c>
      <c r="F45" s="4">
        <v>601.19634489999999</v>
      </c>
      <c r="G45" s="4">
        <f t="shared" si="4"/>
        <v>57.857961146039258</v>
      </c>
      <c r="H45" s="4">
        <f t="shared" si="5"/>
        <v>0.93902262419025084</v>
      </c>
    </row>
    <row r="46" spans="2:8" ht="14.1" customHeight="1">
      <c r="B46" s="125" t="str">
        <f>IF(Indice_index!$Z$1=1,"Outras despesas correntes","Other current expenditure")</f>
        <v>Outras despesas correntes</v>
      </c>
      <c r="C46" s="4">
        <v>7.7743731799999996</v>
      </c>
      <c r="D46" s="4">
        <v>14.666204</v>
      </c>
      <c r="E46" s="4">
        <v>6.5782859800000004</v>
      </c>
      <c r="F46" s="4">
        <v>6.4509193999999983</v>
      </c>
      <c r="G46" s="4">
        <f t="shared" si="4"/>
        <v>-1.9361666608480606</v>
      </c>
      <c r="H46" s="4">
        <f t="shared" si="5"/>
        <v>-5.4277342484896501E-4</v>
      </c>
    </row>
    <row r="47" spans="2:8" ht="14.1" customHeight="1">
      <c r="B47" s="174" t="str">
        <f>IF(Indice_index!$Z$1=1,"Despesa de capital","Capital expenditure")</f>
        <v>Despesa de capital</v>
      </c>
      <c r="C47" s="134">
        <f>+C48+C49+C54</f>
        <v>167.30189558000001</v>
      </c>
      <c r="D47" s="134">
        <f>+D48+D49+D54</f>
        <v>261.61138199999999</v>
      </c>
      <c r="E47" s="134">
        <f>+E48+E49+E54</f>
        <v>88.23559333999998</v>
      </c>
      <c r="F47" s="134">
        <f>+F48+F49+F54</f>
        <v>75.959954850000003</v>
      </c>
      <c r="G47" s="134">
        <f t="shared" si="4"/>
        <v>-13.91234310931419</v>
      </c>
      <c r="H47" s="134">
        <f t="shared" si="5"/>
        <v>-5.2312705149380266E-2</v>
      </c>
    </row>
    <row r="48" spans="2:8" ht="14.1" customHeight="1">
      <c r="B48" s="125" t="str">
        <f>IF(Indice_index!$Z$1=1,"Investimento","Investment")</f>
        <v>Investimento</v>
      </c>
      <c r="C48" s="4">
        <v>71.658219189999997</v>
      </c>
      <c r="D48" s="4">
        <v>162.870271</v>
      </c>
      <c r="E48" s="4">
        <v>29.785424299999995</v>
      </c>
      <c r="F48" s="4">
        <v>37.782460779999994</v>
      </c>
      <c r="G48" s="4">
        <f t="shared" si="4"/>
        <v>26.848825114772662</v>
      </c>
      <c r="H48" s="4">
        <f t="shared" si="5"/>
        <v>3.4079417684699069E-2</v>
      </c>
    </row>
    <row r="49" spans="2:8" ht="14.1" customHeight="1">
      <c r="B49" s="125" t="str">
        <f>IF(Indice_index!$Z$1=1,"Transferências de capital","Capital transfers")</f>
        <v>Transferências de capital</v>
      </c>
      <c r="C49" s="4">
        <f>(+C51+C53+C50+C52)</f>
        <v>95.643676389999996</v>
      </c>
      <c r="D49" s="4">
        <f>(+D51+D53+D50+D52)</f>
        <v>98.741111000000004</v>
      </c>
      <c r="E49" s="4">
        <f>(+E51+E53+E50+E52)</f>
        <v>58.450169039999992</v>
      </c>
      <c r="F49" s="4">
        <f>(+F51+F53+F50+F52)</f>
        <v>38.177494070000002</v>
      </c>
      <c r="G49" s="4">
        <f t="shared" si="4"/>
        <v>-34.683689205631751</v>
      </c>
      <c r="H49" s="4">
        <f t="shared" si="5"/>
        <v>-8.6392122834079405E-2</v>
      </c>
    </row>
    <row r="50" spans="2:8" ht="15" hidden="1">
      <c r="B50" s="172" t="str">
        <f>IF(Indice_index!$Z$1=1,"Administração Central","Central Administration")</f>
        <v>Administração Central</v>
      </c>
      <c r="C50" s="4">
        <v>0</v>
      </c>
      <c r="D50" s="4">
        <v>0</v>
      </c>
      <c r="E50" s="4">
        <v>0</v>
      </c>
      <c r="F50" s="4">
        <v>0</v>
      </c>
      <c r="G50" s="4" t="str">
        <f t="shared" si="4"/>
        <v>-</v>
      </c>
      <c r="H50" s="4">
        <f t="shared" si="5"/>
        <v>0</v>
      </c>
    </row>
    <row r="51" spans="2:8" ht="15" hidden="1">
      <c r="B51" s="172" t="str">
        <f>IF(Indice_index!$Z$1=1,"Outros subsectores das AP","Other General Government subsectors")</f>
        <v>Outros subsectores das AP</v>
      </c>
      <c r="C51" s="4">
        <v>0</v>
      </c>
      <c r="D51" s="4">
        <v>0</v>
      </c>
      <c r="E51" s="4">
        <v>0</v>
      </c>
      <c r="F51" s="4">
        <v>0</v>
      </c>
      <c r="G51" s="4" t="str">
        <f t="shared" si="4"/>
        <v>-</v>
      </c>
      <c r="H51" s="4">
        <f t="shared" si="5"/>
        <v>0</v>
      </c>
    </row>
    <row r="52" spans="2:8" ht="14.1" customHeight="1">
      <c r="B52" s="172" t="str">
        <f>IF(Indice_index!$Z$1=1,"União Europeia","European Union")</f>
        <v>União Europeia</v>
      </c>
      <c r="C52" s="4">
        <v>1.7101109999999999E-2</v>
      </c>
      <c r="D52" s="4">
        <v>0.15</v>
      </c>
      <c r="E52" s="4">
        <v>0</v>
      </c>
      <c r="F52" s="4">
        <v>0</v>
      </c>
      <c r="G52" s="4" t="str">
        <f t="shared" si="4"/>
        <v>-</v>
      </c>
      <c r="H52" s="4">
        <f t="shared" si="5"/>
        <v>0</v>
      </c>
    </row>
    <row r="53" spans="2:8" ht="14.1" customHeight="1">
      <c r="B53" s="172" t="str">
        <f>IF(Indice_index!$Z$1=1,"Outras transferências","Other transfers")</f>
        <v>Outras transferências</v>
      </c>
      <c r="C53" s="4">
        <v>95.626575279999997</v>
      </c>
      <c r="D53" s="4">
        <v>98.591110999999998</v>
      </c>
      <c r="E53" s="4">
        <v>58.450169039999992</v>
      </c>
      <c r="F53" s="4">
        <v>38.177494070000002</v>
      </c>
      <c r="G53" s="4">
        <f t="shared" si="4"/>
        <v>-34.683689205631751</v>
      </c>
      <c r="H53" s="4">
        <f t="shared" si="5"/>
        <v>-8.6392122834079405E-2</v>
      </c>
    </row>
    <row r="54" spans="2:8" ht="15" hidden="1">
      <c r="B54" s="125" t="str">
        <f>IF(Indice_index!$Z$1=1,"Outras despesas de capital","Other capital expenditure")</f>
        <v>Outras despesas de capital</v>
      </c>
      <c r="C54" s="4">
        <v>0</v>
      </c>
      <c r="D54" s="4">
        <v>0</v>
      </c>
      <c r="E54" s="4">
        <v>0</v>
      </c>
      <c r="F54" s="4">
        <v>0</v>
      </c>
      <c r="G54" s="4" t="str">
        <f t="shared" si="4"/>
        <v>-</v>
      </c>
      <c r="H54" s="4">
        <f t="shared" si="5"/>
        <v>0</v>
      </c>
    </row>
    <row r="55" spans="2:8" ht="14.1" customHeight="1">
      <c r="B55" s="30" t="str">
        <f>IF(Indice_index!$Z$1=1,"Despesa efetiva","Effective Expenditure")</f>
        <v>Despesa efetiva</v>
      </c>
      <c r="C55" s="18">
        <f>+C47+C33</f>
        <v>36655.822412920003</v>
      </c>
      <c r="D55" s="18">
        <f>+D47+D33</f>
        <v>39386.761870999362</v>
      </c>
      <c r="E55" s="18">
        <f>+E47+E33</f>
        <v>23465.883584009996</v>
      </c>
      <c r="F55" s="18">
        <f>+F47+F33</f>
        <v>25380.120595979992</v>
      </c>
      <c r="G55" s="18">
        <f t="shared" si="4"/>
        <v>8.1575322110367292</v>
      </c>
      <c r="H55" s="18"/>
    </row>
    <row r="56" spans="2:8" ht="14.1" customHeight="1">
      <c r="B56" s="30" t="str">
        <f>IF(Indice_index!$Z$1=1,"Saldo global","Overall Balance")</f>
        <v>Saldo global</v>
      </c>
      <c r="C56" s="18">
        <f>+C32-C55</f>
        <v>5536.2508758499971</v>
      </c>
      <c r="D56" s="18">
        <f>+D32-D55</f>
        <v>5658.9743870019884</v>
      </c>
      <c r="E56" s="18">
        <f>+E32-E55</f>
        <v>3339.7338561800061</v>
      </c>
      <c r="F56" s="18">
        <f>+F32-F55</f>
        <v>4408.4008351000011</v>
      </c>
      <c r="G56" s="18"/>
      <c r="H56" s="18"/>
    </row>
    <row r="57" spans="2:8" ht="14.1" customHeight="1">
      <c r="B57" s="125" t="str">
        <f>IF(Indice_index!$Z$1=1,"Despesa primária","Primary Expenditure")</f>
        <v>Despesa primária</v>
      </c>
      <c r="C57" s="4">
        <f>+C55-C39</f>
        <v>36647.970517400005</v>
      </c>
      <c r="D57" s="4">
        <f>+D55-D39</f>
        <v>39374.788242999362</v>
      </c>
      <c r="E57" s="4">
        <f>+E55-E39</f>
        <v>23460.954921819997</v>
      </c>
      <c r="F57" s="4">
        <f>+F55-F39</f>
        <v>25375.455024829993</v>
      </c>
      <c r="G57" s="4">
        <f>IF(IFERROR((F57-E57)/E57*100,"")&gt;500,"-",IFERROR((F57-E57)/E57*100,""))</f>
        <v>8.1603673396490937</v>
      </c>
      <c r="H57" s="4"/>
    </row>
    <row r="58" spans="2:8" ht="14.1" customHeight="1">
      <c r="B58" s="125" t="str">
        <f>IF(Indice_index!$Z$1=1,"Saldo primário","Primary balance")</f>
        <v>Saldo primário</v>
      </c>
      <c r="C58" s="4">
        <f>+C56+C39</f>
        <v>5544.1027713699968</v>
      </c>
      <c r="D58" s="4">
        <f>+D56+D39</f>
        <v>5670.9480150019881</v>
      </c>
      <c r="E58" s="4">
        <f>+E56+E39</f>
        <v>3344.6625183700062</v>
      </c>
      <c r="F58" s="4">
        <f>+F56+F39</f>
        <v>4413.0664062500009</v>
      </c>
      <c r="G58" s="4"/>
      <c r="H58" s="4"/>
    </row>
    <row r="59" spans="2:8" ht="14.1" customHeight="1">
      <c r="B59" s="125" t="str">
        <f>IF(Indice_index!$Z$1=1,"Saldo corrente","Current balance")</f>
        <v>Saldo corrente</v>
      </c>
      <c r="C59" s="4">
        <f>+C12-C33</f>
        <v>5701.6765036799989</v>
      </c>
      <c r="D59" s="4">
        <f>+D12-D33</f>
        <v>5913.6787030019914</v>
      </c>
      <c r="E59" s="4">
        <f>+E12-E33</f>
        <v>3427.3258083500041</v>
      </c>
      <c r="F59" s="4">
        <f>+F12-F33</f>
        <v>4484.1481290300035</v>
      </c>
      <c r="G59" s="4"/>
      <c r="H59" s="4"/>
    </row>
    <row r="60" spans="2:8" ht="14.1" customHeight="1">
      <c r="B60" s="125" t="str">
        <f>IF(Indice_index!$Z$1=1,"Saldo de capital","Capital balance")</f>
        <v>Saldo de capital</v>
      </c>
      <c r="C60" s="4">
        <f>+C24-C47</f>
        <v>-165.42562783</v>
      </c>
      <c r="D60" s="4">
        <f>+D24-D47</f>
        <v>-254.70431600000001</v>
      </c>
      <c r="E60" s="4">
        <f>+E24-E47</f>
        <v>-87.591952169999985</v>
      </c>
      <c r="F60" s="4">
        <f>+F24-F47</f>
        <v>-75.747293929999998</v>
      </c>
      <c r="G60" s="4"/>
      <c r="H60" s="4"/>
    </row>
    <row r="61" spans="2:8" ht="14.1" customHeight="1">
      <c r="B61" s="125" t="str">
        <f>IF(Indice_index!$Z$1=1,"Ativos financeiros líquidos de reembolsos","Financial assets net of reimbursements")</f>
        <v>Ativos financeiros líquidos de reembolsos</v>
      </c>
      <c r="C61" s="4">
        <v>3921.8144869499974</v>
      </c>
      <c r="D61" s="4">
        <v>582.79303200000004</v>
      </c>
      <c r="E61" s="4">
        <v>-674.8321058400021</v>
      </c>
      <c r="F61" s="4">
        <v>965.45740436000256</v>
      </c>
      <c r="G61" s="4"/>
      <c r="H61" s="4"/>
    </row>
    <row r="62" spans="2:8" ht="14.1" customHeight="1">
      <c r="B62" s="297" t="str">
        <f>IF(Indice_index!$Z$1=1,"dos quais Receitas de:","of which revenue from:")</f>
        <v>dos quais Receitas de:</v>
      </c>
      <c r="C62" s="4"/>
      <c r="D62" s="4">
        <v>0</v>
      </c>
      <c r="E62" s="4"/>
      <c r="F62" s="4"/>
      <c r="G62" s="4"/>
      <c r="H62" s="4"/>
    </row>
    <row r="63" spans="2:8" ht="15" hidden="1">
      <c r="B63" s="172" t="str">
        <f>IF(Indice_index!$Z$1=1,"Alienação de partes de Capital","Disposal of Capital Shares")</f>
        <v>Alienação de partes de Capital</v>
      </c>
      <c r="C63" s="4">
        <v>0</v>
      </c>
      <c r="D63" s="4">
        <v>0</v>
      </c>
      <c r="E63" s="4">
        <v>0</v>
      </c>
      <c r="F63" s="4">
        <v>0</v>
      </c>
      <c r="G63" s="4"/>
      <c r="H63" s="4"/>
    </row>
    <row r="64" spans="2:8" ht="14.1" customHeight="1">
      <c r="B64" s="172" t="str">
        <f>IF(Indice_index!$Z$1=1,"Outros ativos","Other Assets")</f>
        <v>Outros ativos</v>
      </c>
      <c r="C64" s="4">
        <v>15002.741041550004</v>
      </c>
      <c r="D64" s="4">
        <v>41897.492494999999</v>
      </c>
      <c r="E64" s="4">
        <v>11019.79159214</v>
      </c>
      <c r="F64" s="4">
        <v>8951.876895489997</v>
      </c>
      <c r="G64" s="4"/>
      <c r="H64" s="4"/>
    </row>
    <row r="65" spans="2:8" ht="14.1" customHeight="1">
      <c r="B65" s="125" t="str">
        <f>IF(Indice_index!$Z$1=1,"Passivos financeiros líquidos de amortizações","Financial liabilities net of amortizations")</f>
        <v>Passivos financeiros líquidos de amortizações</v>
      </c>
      <c r="C65" s="4">
        <v>-0.11339467</v>
      </c>
      <c r="D65" s="4">
        <v>-40</v>
      </c>
      <c r="E65" s="4">
        <v>0</v>
      </c>
      <c r="F65" s="4">
        <v>0</v>
      </c>
      <c r="G65" s="4"/>
      <c r="H65" s="4"/>
    </row>
    <row r="66" spans="2:8" ht="14.1" customHeight="1">
      <c r="B66" s="173" t="str">
        <f>IF(Indice_index!$Z$1=1,"Poupança (+) / Utilização (-) de saldo da gerência anterior","Saving (+) / Usage (-) of balance from previous management")</f>
        <v>Poupança (+) / Utilização (-) de saldo da gerência anterior</v>
      </c>
      <c r="C66" s="19">
        <f>+C56-C61+C65</f>
        <v>1614.3229942299997</v>
      </c>
      <c r="D66" s="19">
        <f>+D56-D61+D65</f>
        <v>5036.1813550019888</v>
      </c>
      <c r="E66" s="19">
        <f>+E56-E61+E65</f>
        <v>4014.5659620200081</v>
      </c>
      <c r="F66" s="19">
        <f>+F56-F61+F65</f>
        <v>3442.9434307399988</v>
      </c>
      <c r="G66" s="19"/>
      <c r="H66" s="19"/>
    </row>
    <row r="67" spans="2:8" ht="15">
      <c r="B67" s="9" t="str">
        <f>IF(Indice_index!$Z$1=1,"Notas:","Notes:")</f>
        <v>Notas:</v>
      </c>
      <c r="C67" s="9"/>
      <c r="D67" s="9"/>
      <c r="E67" s="9"/>
      <c r="F67" s="9"/>
      <c r="G67" s="9"/>
      <c r="H67" s="9"/>
    </row>
    <row r="68" spans="2:8" ht="15">
      <c r="B68" s="409" t="str">
        <f>IF(Indice_index!$Z$1=1,"Valores consolidados - são excluídas transferências intra-setoriais.","Consolidated data - transfers within the subsector are excluded.")</f>
        <v>Valores consolidados - são excluídas transferências intra-setoriais.</v>
      </c>
      <c r="C68" s="409"/>
      <c r="D68" s="409"/>
      <c r="E68" s="409"/>
      <c r="F68" s="409"/>
      <c r="G68" s="409"/>
      <c r="H68" s="409"/>
    </row>
    <row r="69" spans="2:8" ht="15">
      <c r="B69" s="409" t="str">
        <f>IF(Indice_index!$Z$1=1,"As diferenças de consolidação são imputadas a outras receitas e/ou despesas correntes e de capital.","Other current revenues/expenditure and other capital revenues/expenditure are influenced by subsector consolidation differences.")</f>
        <v>As diferenças de consolidação são imputadas a outras receitas e/ou despesas correntes e de capital.</v>
      </c>
      <c r="C69" s="409"/>
      <c r="D69" s="409"/>
      <c r="E69" s="409"/>
      <c r="F69" s="409"/>
      <c r="G69" s="409"/>
      <c r="H69" s="409"/>
    </row>
    <row r="70" spans="2:8" ht="15">
      <c r="B70" s="392" t="str">
        <f>+'3 - Conta AC + SS'!$B$61</f>
        <v>Os dados de 2024 são mensalmente revistos e atualizados face ao publicado nas Sínteses de Execução Orçamental de 2024.</v>
      </c>
      <c r="C70" s="392"/>
      <c r="D70" s="392"/>
      <c r="E70" s="392"/>
      <c r="F70" s="392"/>
      <c r="G70" s="392"/>
      <c r="H70" s="392"/>
    </row>
    <row r="71" spans="2:8" ht="15">
      <c r="B71" s="71" t="str">
        <f>IF(Indice_index!$Z$1=1,"Fonte: Instituto de Gestão Financeira da Segurança Social, I.P.","Souce: Social Security Finance Management Institute")</f>
        <v>Fonte: Instituto de Gestão Financeira da Segurança Social, I.P.</v>
      </c>
      <c r="C71" s="74"/>
      <c r="D71" s="74"/>
      <c r="E71" s="74"/>
      <c r="F71" s="163"/>
      <c r="G71" s="71"/>
      <c r="H71" s="71"/>
    </row>
    <row r="72" spans="2:8" ht="14.85" customHeight="1"/>
  </sheetData>
  <mergeCells count="6">
    <mergeCell ref="B70:H70"/>
    <mergeCell ref="B10:B11"/>
    <mergeCell ref="E10:F10"/>
    <mergeCell ref="G10:H10"/>
    <mergeCell ref="B68:H68"/>
    <mergeCell ref="B69:H69"/>
  </mergeCells>
  <conditionalFormatting sqref="C33:D54">
    <cfRule type="cellIs" dxfId="48" priority="9" operator="equal">
      <formula>0</formula>
    </cfRule>
  </conditionalFormatting>
  <conditionalFormatting sqref="C12:H31">
    <cfRule type="cellIs" dxfId="47" priority="7" operator="equal">
      <formula>0</formula>
    </cfRule>
  </conditionalFormatting>
  <conditionalFormatting sqref="C57:H66">
    <cfRule type="cellIs" dxfId="46" priority="1" operator="equal">
      <formula>0</formula>
    </cfRule>
  </conditionalFormatting>
  <conditionalFormatting sqref="E33:E34">
    <cfRule type="cellIs" dxfId="45" priority="15" operator="equal">
      <formula>0</formula>
    </cfRule>
  </conditionalFormatting>
  <conditionalFormatting sqref="E36:E54">
    <cfRule type="cellIs" dxfId="44" priority="5" operator="equal">
      <formula>0</formula>
    </cfRule>
  </conditionalFormatting>
  <conditionalFormatting sqref="E35:F39">
    <cfRule type="cellIs" dxfId="43" priority="16" operator="equal">
      <formula>0</formula>
    </cfRule>
  </conditionalFormatting>
  <conditionalFormatting sqref="F33:H54">
    <cfRule type="cellIs" dxfId="42" priority="3" operator="equal">
      <formula>0</formula>
    </cfRule>
  </conditionalFormatting>
  <pageMargins left="0.70866141732283472" right="0.70866141732283472" top="0.74803149606299213" bottom="0.74803149606299213" header="0.31496062992125984" footer="0.31496062992125984"/>
  <pageSetup paperSize="9" scale="80" orientation="portrait" r:id="rId1"/>
  <ignoredErrors>
    <ignoredError sqref="C26:D26 C18:D18 E18:F18 E26:F26" formulaRange="1"/>
    <ignoredError sqref="B68:H69" unlockedFormula="1"/>
  </ignoredErrors>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Folha18">
    <pageSetUpPr fitToPage="1"/>
  </sheetPr>
  <dimension ref="A1:M77"/>
  <sheetViews>
    <sheetView showGridLines="0" zoomScaleNormal="100" workbookViewId="0"/>
  </sheetViews>
  <sheetFormatPr defaultColWidth="0" defaultRowHeight="15" zeroHeight="1"/>
  <cols>
    <col min="1" max="1" width="8.5703125" style="80" customWidth="1"/>
    <col min="2" max="2" width="42.42578125" style="80" customWidth="1"/>
    <col min="3" max="7" width="8.42578125" style="80" customWidth="1"/>
    <col min="8" max="11" width="8.42578125" style="81" customWidth="1"/>
    <col min="12" max="12" width="8.42578125" style="43" customWidth="1"/>
    <col min="13" max="13" width="8.5703125" style="80" customWidth="1"/>
    <col min="14" max="16384" width="8.5703125" hidden="1"/>
  </cols>
  <sheetData>
    <row r="1" spans="1:13"/>
    <row r="2" spans="1:13"/>
    <row r="3" spans="1:13"/>
    <row r="4" spans="1:13"/>
    <row r="5" spans="1:13" ht="18" customHeight="1">
      <c r="A5"/>
      <c r="B5" s="270" t="str">
        <f>IF(Indice_index!$Z$1=1,"ANEXOS ESTATÍSTICOS","STATISTICAL ANNEXES")</f>
        <v>ANEXOS ESTATÍSTICOS</v>
      </c>
      <c r="C5"/>
      <c r="D5"/>
      <c r="E5"/>
      <c r="F5"/>
      <c r="G5"/>
      <c r="H5"/>
      <c r="I5"/>
      <c r="J5"/>
      <c r="K5"/>
      <c r="L5"/>
      <c r="M5"/>
    </row>
    <row r="6" spans="1:13" ht="18" customHeight="1">
      <c r="A6"/>
      <c r="B6" s="271" t="str">
        <f>IF(Indice_index!$Z$1=1,"Agosto de 2025","August 2025")</f>
        <v>Agosto de 2025</v>
      </c>
      <c r="C6"/>
      <c r="D6"/>
      <c r="E6"/>
      <c r="F6"/>
      <c r="G6"/>
      <c r="H6"/>
      <c r="I6"/>
      <c r="J6"/>
      <c r="K6"/>
      <c r="L6"/>
      <c r="M6"/>
    </row>
    <row r="7" spans="1:13" ht="48.75" customHeight="1">
      <c r="B7" s="12"/>
      <c r="C7" s="13"/>
      <c r="D7" s="11"/>
      <c r="E7" s="11"/>
      <c r="F7" s="11"/>
      <c r="G7" s="11"/>
      <c r="H7" s="11"/>
      <c r="I7" s="11"/>
      <c r="J7" s="11"/>
      <c r="K7" s="11"/>
      <c r="L7" s="10"/>
    </row>
    <row r="8" spans="1:13" ht="15.75">
      <c r="B8" s="1" t="str">
        <f>IF(Indice_index!$Z$1=1,"Quadro 12 - Execução Orçamental da Administração Regional","12 - Regional Government Budget Execution")</f>
        <v>Quadro 12 - Execução Orçamental da Administração Regional</v>
      </c>
      <c r="C8" s="2"/>
      <c r="D8" s="2"/>
      <c r="E8" s="2"/>
      <c r="F8" s="2"/>
      <c r="G8" s="2"/>
      <c r="H8" s="2"/>
      <c r="I8" s="2"/>
      <c r="J8" s="2"/>
      <c r="K8" s="2"/>
      <c r="L8" s="2"/>
    </row>
    <row r="9" spans="1:13">
      <c r="B9" s="3" t="str">
        <f>+'3 - Conta AC + SS'!B9</f>
        <v>Período: janeiro a agosto</v>
      </c>
      <c r="C9" s="118"/>
      <c r="D9" s="118"/>
      <c r="E9" s="118"/>
      <c r="F9" s="118"/>
      <c r="G9" s="118"/>
      <c r="H9" s="118"/>
      <c r="I9" s="118"/>
      <c r="J9" s="118"/>
      <c r="K9" s="118"/>
      <c r="L9" s="118" t="str">
        <f>IF(Indice_index!$Z$1=1,"€ Milhões","€ Millions")</f>
        <v>€ Milhões</v>
      </c>
    </row>
    <row r="10" spans="1:13" ht="16.350000000000001" customHeight="1">
      <c r="B10" s="410"/>
      <c r="C10" s="411" t="str">
        <f>IF(Indice_index!$Z$1=1,"R. Autónoma dos Açores","Azores Autonomous Region")</f>
        <v>R. Autónoma dos Açores</v>
      </c>
      <c r="D10" s="412"/>
      <c r="E10" s="413"/>
      <c r="F10" s="411" t="str">
        <f>IF(Indice_index!$Z$1=1,"R. Autónoma da Madeira","Madeira Autonomous Region")</f>
        <v>R. Autónoma da Madeira</v>
      </c>
      <c r="G10" s="412"/>
      <c r="H10" s="413"/>
      <c r="I10" s="411" t="str">
        <f>IF(Indice_index!$Z$1=1,"Administração Regional","Regional Government")</f>
        <v>Administração Regional</v>
      </c>
      <c r="J10" s="412"/>
      <c r="K10" s="412"/>
      <c r="L10" s="413"/>
    </row>
    <row r="11" spans="1:13" ht="16.350000000000001" customHeight="1">
      <c r="B11" s="373"/>
      <c r="C11" s="414" t="str">
        <f>IF(Indice_index!$Z$1=1,"Execução Acumulada","Accumulated Execution")</f>
        <v>Execução Acumulada</v>
      </c>
      <c r="D11" s="415"/>
      <c r="E11" s="416"/>
      <c r="F11" s="414" t="str">
        <f>IF(Indice_index!$Z$1=1,"Execução Acumulada","Accumulated Execution")</f>
        <v>Execução Acumulada</v>
      </c>
      <c r="G11" s="415"/>
      <c r="H11" s="416"/>
      <c r="I11" s="414" t="str">
        <f>IF(Indice_index!$Z$1=1,"Execução Acumulada","Accumulated Execution")</f>
        <v>Execução Acumulada</v>
      </c>
      <c r="J11" s="415"/>
      <c r="K11" s="415"/>
      <c r="L11" s="416"/>
    </row>
    <row r="12" spans="1:13" ht="24">
      <c r="B12" s="373"/>
      <c r="C12" s="22">
        <v>2024</v>
      </c>
      <c r="D12" s="22">
        <v>2025</v>
      </c>
      <c r="E12" s="22" t="str">
        <f>IF(Indice_index!$Z$1=1,"TVHA (%)","YOY Change Rate (%)")</f>
        <v>TVHA (%)</v>
      </c>
      <c r="F12" s="22">
        <v>2024</v>
      </c>
      <c r="G12" s="22">
        <v>2025</v>
      </c>
      <c r="H12" s="22" t="str">
        <f>IF(Indice_index!$Z$1=1,"TVHA (%)","YOY Change Rate (%)")</f>
        <v>TVHA (%)</v>
      </c>
      <c r="I12" s="22">
        <v>2024</v>
      </c>
      <c r="J12" s="22">
        <v>2025</v>
      </c>
      <c r="K12" s="22" t="str">
        <f>IF(Indice_index!$Z$1=1,"TVHA (%)","YOY Change Rate (%)")</f>
        <v>TVHA (%)</v>
      </c>
      <c r="L12" s="22" t="str">
        <f>IF(Indice_index!$Z$1=1,"Contributo VHA (pp)","YOY Change Contrib. (pp)")</f>
        <v>Contributo VHA (pp)</v>
      </c>
    </row>
    <row r="13" spans="1:13" ht="14.1" customHeight="1">
      <c r="B13" s="174" t="str">
        <f>IF(Indice_index!$Z$1=1,"Receita corrente","Current revenue")</f>
        <v>Receita corrente</v>
      </c>
      <c r="C13" s="134">
        <f>+C14+C22+C23+C30+C31</f>
        <v>797.04042169000013</v>
      </c>
      <c r="D13" s="134">
        <f>+D14+D22+D23+D30+D31</f>
        <v>917.40015638</v>
      </c>
      <c r="E13" s="134">
        <f t="shared" ref="E13:E24" si="0">IFERROR(IF(ABS((D13-C13)/C13)*100&gt;500,"-",((D13-C13)/C13)*100),0)</f>
        <v>15.100831954644883</v>
      </c>
      <c r="F13" s="134">
        <f>+F14+F22+F23+F30+F31</f>
        <v>1099.9982543400001</v>
      </c>
      <c r="G13" s="134">
        <f>+G14+G22+G23+G30+G31</f>
        <v>1120.67814679</v>
      </c>
      <c r="H13" s="134">
        <f t="shared" ref="H13:H24" si="1">IFERROR(IF(ABS((G13-F13)/F13)*100&gt;500,"-",((G13-F13)/F13)*100),0)</f>
        <v>1.8799932062081179</v>
      </c>
      <c r="I13" s="134">
        <f>+I14+I22+I23+I30+I31</f>
        <v>1896.48824565</v>
      </c>
      <c r="J13" s="134">
        <f>+J14+J22+J23+J30+J31</f>
        <v>2037.7599929800003</v>
      </c>
      <c r="K13" s="134">
        <f t="shared" ref="K13:K24" si="2">IFERROR(IF(ABS((J13-I13)/I13)*100&gt;500,"-",((J13-I13)/I13)*100),0)</f>
        <v>7.4491232758250554</v>
      </c>
      <c r="L13" s="134">
        <f t="shared" ref="L13:L24" si="3">IFERROR((J13-I13)/$I$43*100,"-")</f>
        <v>6.4103349804821494</v>
      </c>
    </row>
    <row r="14" spans="1:13" ht="14.1" customHeight="1">
      <c r="B14" s="125" t="str">
        <f>IF(Indice_index!$Z$1=1,"Receita fiscal","Tax revenue")</f>
        <v>Receita fiscal</v>
      </c>
      <c r="C14" s="4">
        <f>+C15+C19</f>
        <v>557.87065819000009</v>
      </c>
      <c r="D14" s="4">
        <f>+D15+D19</f>
        <v>615.86302461000002</v>
      </c>
      <c r="E14" s="4">
        <f t="shared" si="0"/>
        <v>10.395306791749002</v>
      </c>
      <c r="F14" s="4">
        <f>+F15+F19</f>
        <v>811.38263543999983</v>
      </c>
      <c r="G14" s="4">
        <f>+G15+G19</f>
        <v>794.64984987999992</v>
      </c>
      <c r="H14" s="4">
        <f t="shared" si="1"/>
        <v>-2.0622558123795676</v>
      </c>
      <c r="I14" s="4">
        <f>+I15+I19</f>
        <v>1369.2532936299999</v>
      </c>
      <c r="J14" s="4">
        <f>+J15+J19</f>
        <v>1410.5128744900001</v>
      </c>
      <c r="K14" s="4">
        <f t="shared" si="2"/>
        <v>3.0132906053209263</v>
      </c>
      <c r="L14" s="4">
        <f t="shared" si="3"/>
        <v>1.8721912871160775</v>
      </c>
    </row>
    <row r="15" spans="1:13" ht="14.1" customHeight="1">
      <c r="B15" s="172" t="str">
        <f>IF(Indice_index!$Z$1=1,"Impostos diretos","Direct taxes")</f>
        <v>Impostos diretos</v>
      </c>
      <c r="C15" s="4">
        <f>+C16+C17</f>
        <v>178.22963279000001</v>
      </c>
      <c r="D15" s="4">
        <f t="shared" ref="D15" si="4">+D16+D17</f>
        <v>214.37017961000001</v>
      </c>
      <c r="E15" s="4">
        <f t="shared" si="0"/>
        <v>20.277518532837231</v>
      </c>
      <c r="F15" s="4">
        <f>+F16+F17</f>
        <v>314.60675499999996</v>
      </c>
      <c r="G15" s="4">
        <f t="shared" ref="G15" si="5">+G16+G17</f>
        <v>281.78661910999995</v>
      </c>
      <c r="H15" s="4">
        <f t="shared" si="1"/>
        <v>-10.432114176950847</v>
      </c>
      <c r="I15" s="4">
        <f>+I16+I17</f>
        <v>492.83638779</v>
      </c>
      <c r="J15" s="4">
        <f t="shared" ref="J15" si="6">+J16+J17</f>
        <v>496.15679871999998</v>
      </c>
      <c r="K15" s="4">
        <f t="shared" si="2"/>
        <v>0.6737349376513212</v>
      </c>
      <c r="L15" s="4">
        <f t="shared" si="3"/>
        <v>0.15066668839618777</v>
      </c>
    </row>
    <row r="16" spans="1:13" ht="14.1" customHeight="1">
      <c r="B16" s="284" t="str">
        <f>IF(Indice_index!$Z$1=1,"Imposto s/ Rendimento Pessoas Singulares (IRS)","Personal income tax")</f>
        <v>Imposto s/ Rendimento Pessoas Singulares (IRS)</v>
      </c>
      <c r="C16" s="4">
        <v>133.35829781000001</v>
      </c>
      <c r="D16" s="4">
        <v>167.24326837000001</v>
      </c>
      <c r="E16" s="4">
        <f t="shared" si="0"/>
        <v>25.408970507614786</v>
      </c>
      <c r="F16" s="4">
        <v>127.61580499</v>
      </c>
      <c r="G16" s="4">
        <v>140.85486157</v>
      </c>
      <c r="H16" s="4">
        <f t="shared" si="1"/>
        <v>10.374151211942291</v>
      </c>
      <c r="I16" s="4">
        <v>260.97410280000003</v>
      </c>
      <c r="J16" s="4">
        <v>308.09812993999998</v>
      </c>
      <c r="K16" s="4">
        <f t="shared" si="2"/>
        <v>18.056974479231719</v>
      </c>
      <c r="L16" s="4">
        <f t="shared" si="3"/>
        <v>2.1382959105835466</v>
      </c>
    </row>
    <row r="17" spans="2:12" ht="14.1" customHeight="1">
      <c r="B17" s="284" t="str">
        <f>IF(Indice_index!$Z$1=1,"Imposto s/ Rendimento Pessoas Colectivas (IRC)","Corporate income tax")</f>
        <v>Imposto s/ Rendimento Pessoas Colectivas (IRC)</v>
      </c>
      <c r="C17" s="4">
        <v>44.871334979999993</v>
      </c>
      <c r="D17" s="4">
        <v>47.126911240000005</v>
      </c>
      <c r="E17" s="4">
        <f t="shared" si="0"/>
        <v>5.026764327393793</v>
      </c>
      <c r="F17" s="4">
        <v>186.99095000999998</v>
      </c>
      <c r="G17" s="4">
        <v>140.93175753999998</v>
      </c>
      <c r="H17" s="4">
        <f t="shared" si="1"/>
        <v>-24.631776279834305</v>
      </c>
      <c r="I17" s="4">
        <v>231.86228499000001</v>
      </c>
      <c r="J17" s="4">
        <v>188.05866878</v>
      </c>
      <c r="K17" s="4">
        <f t="shared" si="2"/>
        <v>-18.892083381257631</v>
      </c>
      <c r="L17" s="4">
        <f t="shared" si="3"/>
        <v>-1.9876292221873604</v>
      </c>
    </row>
    <row r="18" spans="2:12" ht="14.1" customHeight="1">
      <c r="B18" s="284" t="str">
        <f>IF(Indice_index!$Z$1=1,"Outros","Others")</f>
        <v>Outros</v>
      </c>
      <c r="C18" s="4">
        <v>0</v>
      </c>
      <c r="D18" s="4">
        <v>0</v>
      </c>
      <c r="E18" s="4">
        <f t="shared" si="0"/>
        <v>0</v>
      </c>
      <c r="F18" s="4">
        <v>0</v>
      </c>
      <c r="G18" s="4">
        <v>0</v>
      </c>
      <c r="H18" s="4">
        <f t="shared" si="1"/>
        <v>0</v>
      </c>
      <c r="I18" s="4">
        <v>0</v>
      </c>
      <c r="J18" s="4">
        <v>0</v>
      </c>
      <c r="K18" s="4">
        <f t="shared" si="2"/>
        <v>0</v>
      </c>
      <c r="L18" s="4">
        <f t="shared" si="3"/>
        <v>0</v>
      </c>
    </row>
    <row r="19" spans="2:12" ht="14.1" customHeight="1">
      <c r="B19" s="172" t="str">
        <f>IF(Indice_index!$Z$1=1,"Impostos indiretos","Indirect taxes")</f>
        <v>Impostos indiretos</v>
      </c>
      <c r="C19" s="4">
        <f>+C20+C21</f>
        <v>379.64102540000005</v>
      </c>
      <c r="D19" s="4">
        <f>+D20+D21</f>
        <v>401.49284500000005</v>
      </c>
      <c r="E19" s="4">
        <f t="shared" si="0"/>
        <v>5.7559162835408344</v>
      </c>
      <c r="F19" s="4">
        <f t="shared" ref="F19:G19" si="7">+F20+F21</f>
        <v>496.77588043999992</v>
      </c>
      <c r="G19" s="4">
        <f t="shared" si="7"/>
        <v>512.86323076999997</v>
      </c>
      <c r="H19" s="4">
        <f t="shared" si="1"/>
        <v>3.238351732324706</v>
      </c>
      <c r="I19" s="4">
        <f>+I20+I21</f>
        <v>876.41690584000003</v>
      </c>
      <c r="J19" s="4">
        <f>+J20+J21</f>
        <v>914.35607577000007</v>
      </c>
      <c r="K19" s="4">
        <f t="shared" si="2"/>
        <v>4.3288952640224716</v>
      </c>
      <c r="L19" s="4">
        <f t="shared" si="3"/>
        <v>1.7215245987198844</v>
      </c>
    </row>
    <row r="20" spans="2:12" ht="14.1" customHeight="1">
      <c r="B20" s="284" t="str">
        <f>IF(Indice_index!$Z$1=1,"Imposto sobre Valor Acrescentado (IVA)","Value-added tax")</f>
        <v>Imposto sobre Valor Acrescentado (IVA)</v>
      </c>
      <c r="C20" s="4">
        <v>266.95736909999999</v>
      </c>
      <c r="D20" s="4">
        <v>270.36072261999999</v>
      </c>
      <c r="E20" s="4">
        <f t="shared" si="0"/>
        <v>1.2748677931138617</v>
      </c>
      <c r="F20" s="4">
        <v>400.33178643999997</v>
      </c>
      <c r="G20" s="4">
        <v>400.67569197</v>
      </c>
      <c r="H20" s="4">
        <f t="shared" si="1"/>
        <v>8.5905127109253965E-2</v>
      </c>
      <c r="I20" s="4">
        <v>667.28915553999991</v>
      </c>
      <c r="J20" s="4">
        <v>671.03641459000005</v>
      </c>
      <c r="K20" s="4">
        <f t="shared" si="2"/>
        <v>0.56156450601504093</v>
      </c>
      <c r="L20" s="4">
        <f t="shared" si="3"/>
        <v>0.17003531295633006</v>
      </c>
    </row>
    <row r="21" spans="2:12" ht="14.1" customHeight="1">
      <c r="B21" s="284" t="str">
        <f>IF(Indice_index!$Z$1=1,"Outros","Others")</f>
        <v>Outros</v>
      </c>
      <c r="C21" s="4">
        <v>112.68365630000004</v>
      </c>
      <c r="D21" s="4">
        <v>131.13212238000006</v>
      </c>
      <c r="E21" s="4">
        <f t="shared" si="0"/>
        <v>16.371909366238775</v>
      </c>
      <c r="F21" s="4">
        <v>96.444093999999936</v>
      </c>
      <c r="G21" s="4">
        <v>112.18753880000001</v>
      </c>
      <c r="H21" s="4">
        <f t="shared" si="1"/>
        <v>16.323907610143642</v>
      </c>
      <c r="I21" s="4">
        <v>209.12775030000006</v>
      </c>
      <c r="J21" s="4">
        <v>243.31966118000003</v>
      </c>
      <c r="K21" s="4">
        <f t="shared" si="2"/>
        <v>16.349772247322818</v>
      </c>
      <c r="L21" s="4">
        <f t="shared" si="3"/>
        <v>1.5514892857635572</v>
      </c>
    </row>
    <row r="22" spans="2:12" ht="14.1" customHeight="1">
      <c r="B22" s="125" t="str">
        <f>IF(Indice_index!$Z$1=1,"Contribuições para Segurança Social, CGA e ADSE","Social security, CGA and ADSE contributions")</f>
        <v>Contribuições para Segurança Social, CGA e ADSE</v>
      </c>
      <c r="C22" s="4">
        <v>0</v>
      </c>
      <c r="D22" s="4">
        <v>0</v>
      </c>
      <c r="E22" s="4">
        <f t="shared" si="0"/>
        <v>0</v>
      </c>
      <c r="F22" s="4">
        <v>0</v>
      </c>
      <c r="G22" s="4">
        <v>0</v>
      </c>
      <c r="H22" s="4">
        <f t="shared" si="1"/>
        <v>0</v>
      </c>
      <c r="I22" s="4">
        <v>0</v>
      </c>
      <c r="J22" s="4">
        <v>0</v>
      </c>
      <c r="K22" s="4">
        <f t="shared" si="2"/>
        <v>0</v>
      </c>
      <c r="L22" s="4">
        <f t="shared" si="3"/>
        <v>0</v>
      </c>
    </row>
    <row r="23" spans="2:12" ht="14.1" customHeight="1">
      <c r="B23" s="125" t="str">
        <f>IF(Indice_index!$Z$1=1,"Transferências correntes","Current transfers")</f>
        <v>Transferências correntes</v>
      </c>
      <c r="C23" s="4">
        <f>+C24+C27+C28+C29</f>
        <v>202.31287463000001</v>
      </c>
      <c r="D23" s="4">
        <f>+D24+D27+D28+D29</f>
        <v>261.52663964999999</v>
      </c>
      <c r="E23" s="4">
        <f t="shared" si="0"/>
        <v>29.268411675872386</v>
      </c>
      <c r="F23" s="4">
        <f>+F24+F27+F28+F29</f>
        <v>185.21586423000002</v>
      </c>
      <c r="G23" s="4">
        <f>+G24+G27+G28+G29</f>
        <v>236.01980639000004</v>
      </c>
      <c r="H23" s="4">
        <f t="shared" si="1"/>
        <v>27.429584593742991</v>
      </c>
      <c r="I23" s="4">
        <f>+I24+I27+I28+I29</f>
        <v>387.52873886000003</v>
      </c>
      <c r="J23" s="4">
        <f>+J24+J27+J28+J29</f>
        <v>497.54644604000003</v>
      </c>
      <c r="K23" s="4">
        <f t="shared" si="2"/>
        <v>28.389560862928771</v>
      </c>
      <c r="L23" s="4">
        <f t="shared" si="3"/>
        <v>4.9921542710233728</v>
      </c>
    </row>
    <row r="24" spans="2:12" ht="14.1" customHeight="1">
      <c r="B24" s="172" t="str">
        <f>IF(Indice_index!$Z$1=1,"Administração Central","Central Administration")</f>
        <v>Administração Central</v>
      </c>
      <c r="C24" s="4">
        <v>160.43216964000001</v>
      </c>
      <c r="D24" s="4">
        <v>218.29164724</v>
      </c>
      <c r="E24" s="4">
        <f t="shared" si="0"/>
        <v>36.064760409232839</v>
      </c>
      <c r="F24" s="4">
        <v>147.59405290000001</v>
      </c>
      <c r="G24" s="4">
        <v>188.40744030000002</v>
      </c>
      <c r="H24" s="4">
        <f t="shared" si="1"/>
        <v>27.652460650059162</v>
      </c>
      <c r="I24" s="4">
        <v>308.02622254000005</v>
      </c>
      <c r="J24" s="4">
        <v>406.69908754000005</v>
      </c>
      <c r="K24" s="4">
        <f t="shared" si="2"/>
        <v>32.033917173134967</v>
      </c>
      <c r="L24" s="4">
        <f t="shared" si="3"/>
        <v>4.4773716619810644</v>
      </c>
    </row>
    <row r="25" spans="2:12" ht="14.1" customHeight="1">
      <c r="B25" s="306" t="str">
        <f>IF(Indice_index!$Z$1=1,"dos quais:","of which:")</f>
        <v>dos quais:</v>
      </c>
      <c r="C25" s="4"/>
      <c r="D25" s="4"/>
      <c r="E25" s="4"/>
      <c r="F25" s="4"/>
      <c r="G25" s="4"/>
      <c r="H25" s="4"/>
      <c r="I25" s="4"/>
      <c r="J25" s="4"/>
      <c r="K25" s="4"/>
      <c r="L25" s="4"/>
    </row>
    <row r="26" spans="2:12" ht="14.1" customHeight="1">
      <c r="B26" s="300" t="str">
        <f>IF(Indice_index!$Z$1=1,"Transferências do Orçamento do Estado","State Budget tranfers")</f>
        <v>Transferências do Orçamento do Estado</v>
      </c>
      <c r="C26" s="4">
        <f>(157507157-5026222.5)/10^6</f>
        <v>152.48093449999999</v>
      </c>
      <c r="D26" s="4">
        <f>(215765001-5026222.5)/10^6</f>
        <v>210.7387785</v>
      </c>
      <c r="E26" s="4">
        <f>IFERROR(IF(ABS((D26-C26)/C26)*100&gt;500,"-",((D26-C26)/C26)*100),0)</f>
        <v>38.206641499826333</v>
      </c>
      <c r="F26" s="4">
        <f>147534159/10^6</f>
        <v>147.53415899999999</v>
      </c>
      <c r="G26" s="4">
        <f>188374424.3/10^6</f>
        <v>188.37442430000002</v>
      </c>
      <c r="H26" s="4">
        <f t="shared" ref="H26:H35" si="8">IFERROR(IF(ABS((G26-F26)/F26)*100&gt;500,"-",((G26-F26)/F26)*100),0)</f>
        <v>27.681904703845589</v>
      </c>
      <c r="I26" s="4">
        <f>305041316/10^6-5026222.5/10^6</f>
        <v>300.01509349999998</v>
      </c>
      <c r="J26" s="4">
        <f>D26+G26</f>
        <v>399.11320280000001</v>
      </c>
      <c r="K26" s="4">
        <f t="shared" ref="K26:K35" si="9">IFERROR(IF(ABS((J26-I26)/I26)*100&gt;500,"-",((J26-I26)/I26)*100),0)</f>
        <v>33.031041253262828</v>
      </c>
      <c r="L26" s="4">
        <f>(J26-I26)/I24*100</f>
        <v>32.171971750597059</v>
      </c>
    </row>
    <row r="27" spans="2:12" ht="14.1" customHeight="1">
      <c r="B27" s="172" t="str">
        <f>IF(Indice_index!$Z$1=1,"Outros subsetores das Administrações Públicas","Other General Government subsectors")</f>
        <v>Outros subsetores das Administrações Públicas</v>
      </c>
      <c r="C27" s="4">
        <v>8.1331914899999997</v>
      </c>
      <c r="D27" s="4">
        <v>8.9356853899999997</v>
      </c>
      <c r="E27" s="4">
        <f>IFERROR(IF(ABS((D27-C27)/C27)*100&gt;500,"-",((D27-C27)/C27)*100),0)</f>
        <v>9.8669003550044287</v>
      </c>
      <c r="F27" s="4">
        <v>7.7032245999999995</v>
      </c>
      <c r="G27" s="4">
        <v>8.7269968700000007</v>
      </c>
      <c r="H27" s="4">
        <f t="shared" si="8"/>
        <v>13.290178115798431</v>
      </c>
      <c r="I27" s="4">
        <v>15.83641609</v>
      </c>
      <c r="J27" s="4">
        <v>17.66268226</v>
      </c>
      <c r="K27" s="4">
        <f t="shared" si="9"/>
        <v>11.532067354262098</v>
      </c>
      <c r="L27" s="4">
        <f t="shared" ref="L27:L35" si="10">IFERROR((J27-I27)/$I$43*100,"-")</f>
        <v>8.286850084663798E-2</v>
      </c>
    </row>
    <row r="28" spans="2:12" ht="14.1" customHeight="1">
      <c r="B28" s="172" t="str">
        <f>IF(Indice_index!$Z$1=1,"União Europeia","European Union")</f>
        <v>União Europeia</v>
      </c>
      <c r="C28" s="4">
        <v>23.31947036</v>
      </c>
      <c r="D28" s="4">
        <v>23.413397809999999</v>
      </c>
      <c r="E28" s="4">
        <f>IFERROR(IF(ABS((D28-C28)/C28)*100&gt;500,"-",((D28-C28)/C28)*100),0)</f>
        <v>0.40278552021109848</v>
      </c>
      <c r="F28" s="4">
        <v>29.86817242</v>
      </c>
      <c r="G28" s="4">
        <v>38.852069979999996</v>
      </c>
      <c r="H28" s="4">
        <f t="shared" si="8"/>
        <v>30.078497718810194</v>
      </c>
      <c r="I28" s="4">
        <v>53.187642780000004</v>
      </c>
      <c r="J28" s="4">
        <v>62.26546779000001</v>
      </c>
      <c r="K28" s="4">
        <f t="shared" si="9"/>
        <v>17.067545270897984</v>
      </c>
      <c r="L28" s="4">
        <f t="shared" si="10"/>
        <v>0.41191462771651549</v>
      </c>
    </row>
    <row r="29" spans="2:12" ht="14.1" customHeight="1">
      <c r="B29" s="172" t="str">
        <f>IF(Indice_index!$Z$1=1,"Outras transferências","Other transfers")</f>
        <v>Outras transferências</v>
      </c>
      <c r="C29" s="4">
        <v>10.428043139999989</v>
      </c>
      <c r="D29" s="4">
        <v>10.885909210000001</v>
      </c>
      <c r="E29" s="4">
        <f>IFERROR(IF(ABS((D29-C29)/C29)*100&gt;500,"-",((D29-C29)/C29)*100),0)</f>
        <v>4.3907189858442859</v>
      </c>
      <c r="F29" s="4">
        <v>5.0414310000000739E-2</v>
      </c>
      <c r="G29" s="4">
        <v>3.329924000000517E-2</v>
      </c>
      <c r="H29" s="4">
        <f t="shared" si="8"/>
        <v>-33.948833178506895</v>
      </c>
      <c r="I29" s="4">
        <v>10.478457449999993</v>
      </c>
      <c r="J29" s="4">
        <v>10.919208449999992</v>
      </c>
      <c r="K29" s="4">
        <f t="shared" si="9"/>
        <v>4.2062584316740157</v>
      </c>
      <c r="L29" s="4">
        <f t="shared" si="10"/>
        <v>1.9999480479155143E-2</v>
      </c>
    </row>
    <row r="30" spans="2:12" ht="14.1" customHeight="1">
      <c r="B30" s="125" t="str">
        <f>IF(Indice_index!$Z$1=1,"Outras receitas correntes","Other current revenue")</f>
        <v>Outras receitas correntes</v>
      </c>
      <c r="C30" s="4">
        <v>36.856888870000006</v>
      </c>
      <c r="D30" s="4">
        <v>39.871642250000008</v>
      </c>
      <c r="E30" s="4">
        <f>IFERROR(IF(ABS((D30-C30)/C30)*100&gt;500,"-",((D30-C30)/C30)*100),0)</f>
        <v>8.1796198008831045</v>
      </c>
      <c r="F30" s="4">
        <v>77.143530820000009</v>
      </c>
      <c r="G30" s="4">
        <v>85.261250769999975</v>
      </c>
      <c r="H30" s="4">
        <f t="shared" si="8"/>
        <v>10.522878410817293</v>
      </c>
      <c r="I30" s="4">
        <v>114.00041969000002</v>
      </c>
      <c r="J30" s="4">
        <v>125.13289301999998</v>
      </c>
      <c r="K30" s="4">
        <f t="shared" si="9"/>
        <v>9.7652915316209974</v>
      </c>
      <c r="L30" s="4">
        <f t="shared" si="10"/>
        <v>0.50514617788286409</v>
      </c>
    </row>
    <row r="31" spans="2:12" ht="14.1" customHeight="1">
      <c r="B31" s="125" t="str">
        <f>IF(Indice_index!$Z$1=1,"Diferenças de consolidação","Consolidation differences")</f>
        <v>Diferenças de consolidação</v>
      </c>
      <c r="C31" s="4">
        <v>0</v>
      </c>
      <c r="D31" s="4">
        <v>0.13884986999999999</v>
      </c>
      <c r="E31" s="4"/>
      <c r="F31" s="4">
        <v>26.256223850000083</v>
      </c>
      <c r="G31" s="4">
        <v>4.7472397499999488</v>
      </c>
      <c r="H31" s="4">
        <f t="shared" si="8"/>
        <v>-81.919563997014251</v>
      </c>
      <c r="I31" s="4">
        <v>25.705793470000117</v>
      </c>
      <c r="J31" s="4">
        <v>4.567779430000142</v>
      </c>
      <c r="K31" s="4">
        <f t="shared" si="9"/>
        <v>-82.230544895138294</v>
      </c>
      <c r="L31" s="4">
        <f t="shared" si="10"/>
        <v>-0.95915675554017565</v>
      </c>
    </row>
    <row r="32" spans="2:12" ht="14.1" customHeight="1">
      <c r="B32" s="174" t="str">
        <f>IF(Indice_index!$Z$1=1,"Receita de capital","Capital revenue")</f>
        <v>Receita de capital</v>
      </c>
      <c r="C32" s="134">
        <f>+C33+C34+C41+C42</f>
        <v>200.81965533000002</v>
      </c>
      <c r="D32" s="134">
        <f>+D33+D34+D41+D42</f>
        <v>138.82570110999998</v>
      </c>
      <c r="E32" s="134">
        <f>IFERROR(IF(ABS((D32-C32)/C32)*100&gt;500,"-",((D32-C32)/C32)*100),0)</f>
        <v>-30.870461418792651</v>
      </c>
      <c r="F32" s="134">
        <f>+F33+F34+F41+F42</f>
        <v>106.50434534000001</v>
      </c>
      <c r="G32" s="134">
        <f>+G33+G34+G41+G42</f>
        <v>131.07894735000002</v>
      </c>
      <c r="H32" s="134">
        <f t="shared" si="8"/>
        <v>23.073802229898767</v>
      </c>
      <c r="I32" s="134">
        <f>+I33+I34+I41+I42</f>
        <v>307.32400067000003</v>
      </c>
      <c r="J32" s="134">
        <f>+J33+J34+J41+J42</f>
        <v>269.90464845999998</v>
      </c>
      <c r="K32" s="134">
        <f t="shared" si="9"/>
        <v>-12.175863950886285</v>
      </c>
      <c r="L32" s="134">
        <f t="shared" si="10"/>
        <v>-1.697937393372968</v>
      </c>
    </row>
    <row r="33" spans="2:12" ht="14.1" customHeight="1">
      <c r="B33" s="125" t="str">
        <f>IF(Indice_index!$Z$1=1,"Venda de bens de investimento","Sale of investment goods")</f>
        <v>Venda de bens de investimento</v>
      </c>
      <c r="C33" s="4">
        <v>7.815243999999999E-2</v>
      </c>
      <c r="D33" s="4">
        <v>0.25918479</v>
      </c>
      <c r="E33" s="4">
        <f>IFERROR(IF(ABS((D33-C33)/C33)*100&gt;500,"-",((D33-C33)/C33)*100),0)</f>
        <v>231.6400486024493</v>
      </c>
      <c r="F33" s="4">
        <v>1.1075325699999998</v>
      </c>
      <c r="G33" s="4">
        <v>3.9646830799999999</v>
      </c>
      <c r="H33" s="4">
        <f t="shared" si="8"/>
        <v>257.97440069866309</v>
      </c>
      <c r="I33" s="4">
        <v>1.1856850099999998</v>
      </c>
      <c r="J33" s="4">
        <v>4.2238678700000003</v>
      </c>
      <c r="K33" s="4">
        <f t="shared" si="9"/>
        <v>256.2386160216364</v>
      </c>
      <c r="L33" s="4">
        <f t="shared" si="10"/>
        <v>0.13786033111819126</v>
      </c>
    </row>
    <row r="34" spans="2:12" ht="14.1" customHeight="1">
      <c r="B34" s="125" t="str">
        <f>IF(Indice_index!$Z$1=1,"Transferências de capital","Capital transfers")</f>
        <v>Transferências de capital</v>
      </c>
      <c r="C34" s="4">
        <f>+C35+C38+C39+C40</f>
        <v>199.72890245000002</v>
      </c>
      <c r="D34" s="4">
        <f>+D35+D38+D39+D40</f>
        <v>138.15753696999997</v>
      </c>
      <c r="E34" s="4">
        <f>IFERROR(IF(ABS((D34-C34)/C34)*100&gt;500,"-",((D34-C34)/C34)*100),0)</f>
        <v>-30.827468996588404</v>
      </c>
      <c r="F34" s="4">
        <f>+F35+F38+F39+F40</f>
        <v>103.68514704</v>
      </c>
      <c r="G34" s="4">
        <f>+G35+G38+G39+G40</f>
        <v>122.40297340000001</v>
      </c>
      <c r="H34" s="4">
        <f t="shared" si="8"/>
        <v>18.052562873618704</v>
      </c>
      <c r="I34" s="4">
        <f>+I35+I38+I39+I40</f>
        <v>303.41404949000002</v>
      </c>
      <c r="J34" s="4">
        <f>+J35+J38+J39+J40</f>
        <v>260.56051036999997</v>
      </c>
      <c r="K34" s="4">
        <f t="shared" si="9"/>
        <v>-14.123782070089153</v>
      </c>
      <c r="L34" s="4">
        <f t="shared" si="10"/>
        <v>-1.9445186036858784</v>
      </c>
    </row>
    <row r="35" spans="2:12" ht="14.1" customHeight="1">
      <c r="B35" s="172" t="str">
        <f>IF(Indice_index!$Z$1=1,"Administração Central","Central Administration")</f>
        <v>Administração Central</v>
      </c>
      <c r="C35" s="4">
        <v>84.112505260000006</v>
      </c>
      <c r="D35" s="4">
        <v>85.017387510000006</v>
      </c>
      <c r="E35" s="4">
        <f>IFERROR(IF(ABS((D35-C35)/C35)*100&gt;500,"-",((D35-C35)/C35)*100),0)</f>
        <v>1.0757999030024372</v>
      </c>
      <c r="F35" s="4">
        <v>81.244838360000003</v>
      </c>
      <c r="G35" s="4">
        <v>71.822441810000001</v>
      </c>
      <c r="H35" s="4">
        <f t="shared" si="8"/>
        <v>-11.597532520464728</v>
      </c>
      <c r="I35" s="4">
        <v>165.35734362000002</v>
      </c>
      <c r="J35" s="4">
        <v>156.83982932000001</v>
      </c>
      <c r="K35" s="4">
        <f t="shared" si="9"/>
        <v>-5.1509743163108119</v>
      </c>
      <c r="L35" s="4">
        <f t="shared" si="10"/>
        <v>-0.38649001584517234</v>
      </c>
    </row>
    <row r="36" spans="2:12" ht="14.1" customHeight="1">
      <c r="B36" s="306" t="str">
        <f>IF(Indice_index!$Z$1=1,"dos quais:","of which:")</f>
        <v>dos quais:</v>
      </c>
      <c r="C36" s="4"/>
      <c r="D36" s="4"/>
      <c r="E36" s="4"/>
      <c r="F36" s="4"/>
      <c r="G36" s="4"/>
      <c r="H36" s="4"/>
      <c r="I36" s="4"/>
      <c r="J36" s="4"/>
      <c r="K36" s="4"/>
      <c r="L36" s="4"/>
    </row>
    <row r="37" spans="2:12" ht="14.1" customHeight="1">
      <c r="B37" s="300" t="str">
        <f>IF(Indice_index!$Z$1=1,"Transferências do Orçamento do Estado","State Budget tranfers")</f>
        <v>Transferências do Orçamento do Estado</v>
      </c>
      <c r="C37" s="4">
        <f>83863413.75/10^6</f>
        <v>83.863413750000007</v>
      </c>
      <c r="D37" s="4">
        <f>84968828.25/10^6</f>
        <v>84.968828250000001</v>
      </c>
      <c r="E37" s="4">
        <f>IFERROR(IF(ABS((D37-C37)/C37)*100&gt;500,"-",((D37-C37)/C37)*100),0)</f>
        <v>1.3181129297875676</v>
      </c>
      <c r="F37" s="4">
        <f>81203787/10^6</f>
        <v>81.203787000000005</v>
      </c>
      <c r="G37" s="4">
        <f>71741436.68/10^6</f>
        <v>71.741436680000007</v>
      </c>
      <c r="H37" s="4">
        <f>IFERROR(IF(ABS((G37-F37)/F37)*100&gt;500,"-",((G37-F37)/F37)*100),0)</f>
        <v>-11.652597335146449</v>
      </c>
      <c r="I37" s="4">
        <f>165067200.75/10^6</f>
        <v>165.06720075000001</v>
      </c>
      <c r="J37" s="4">
        <f>156710264.93/10^6</f>
        <v>156.71026492999999</v>
      </c>
      <c r="K37" s="4">
        <f>IFERROR(IF(ABS((J37-I37)/I37)*100&gt;500,"-",((J37-I37)/I37)*100),0)</f>
        <v>-5.0627476458251008</v>
      </c>
      <c r="L37" s="4">
        <f>(J37-I37)/I35*100</f>
        <v>-5.0538643383173243</v>
      </c>
    </row>
    <row r="38" spans="2:12" ht="14.1" customHeight="1">
      <c r="B38" s="172" t="str">
        <f>IF(Indice_index!$Z$1=1,"Outros subsetores das Administrações Públicas","Other General Government subsectors")</f>
        <v>Outros subsetores das Administrações Públicas</v>
      </c>
      <c r="C38" s="4">
        <v>0</v>
      </c>
      <c r="D38" s="4">
        <v>2E-3</v>
      </c>
      <c r="E38" s="4">
        <f>IFERROR(IF(ABS((D38-C38)/C38)*100&gt;500,"-",((D38-C38)/C38)*100),0)</f>
        <v>0</v>
      </c>
      <c r="F38" s="4">
        <v>0</v>
      </c>
      <c r="G38" s="4">
        <v>0</v>
      </c>
      <c r="H38" s="4">
        <f>IFERROR(IF(ABS((G38-F38)/F38)*100&gt;500,"-",((G38-F38)/F38)*100),0)</f>
        <v>0</v>
      </c>
      <c r="I38" s="4">
        <v>0</v>
      </c>
      <c r="J38" s="4">
        <v>2E-3</v>
      </c>
      <c r="K38" s="4">
        <f>IFERROR(IF(ABS((J38-I38)/I38)*100&gt;500,"-",((J38-I38)/I38)*100),0)</f>
        <v>0</v>
      </c>
      <c r="L38" s="4">
        <f>IFERROR((J38-I38)/$I$43*100,"-")</f>
        <v>9.0751832572836803E-5</v>
      </c>
    </row>
    <row r="39" spans="2:12" ht="14.1" customHeight="1">
      <c r="B39" s="172" t="str">
        <f>IF(Indice_index!$Z$1=1,"União Europeia","European Union")</f>
        <v>União Europeia</v>
      </c>
      <c r="C39" s="4">
        <v>115.60239718999999</v>
      </c>
      <c r="D39" s="4">
        <v>52.9572103</v>
      </c>
      <c r="E39" s="4">
        <f>IFERROR(IF(ABS((D39-C39)/C39)*100&gt;500,"-",((D39-C39)/C39)*100),0)</f>
        <v>-54.190214401037537</v>
      </c>
      <c r="F39" s="4">
        <v>22.439896219999998</v>
      </c>
      <c r="G39" s="4">
        <v>50.580488530000004</v>
      </c>
      <c r="H39" s="4">
        <f>IFERROR(IF(ABS((G39-F39)/F39)*100&gt;500,"-",((G39-F39)/F39)*100),0)</f>
        <v>125.40428901324042</v>
      </c>
      <c r="I39" s="4">
        <v>138.04229341000001</v>
      </c>
      <c r="J39" s="4">
        <v>103.53769883</v>
      </c>
      <c r="K39" s="4">
        <f>IFERROR(IF(ABS((J39-I39)/I39)*100&gt;500,"-",((J39-I39)/I39)*100),0)</f>
        <v>-24.995668883533956</v>
      </c>
      <c r="L39" s="4">
        <f>IFERROR((J39-I39)/$I$43*100,"-")</f>
        <v>-1.5656775951588868</v>
      </c>
    </row>
    <row r="40" spans="2:12" ht="14.1" customHeight="1">
      <c r="B40" s="172" t="str">
        <f>IF(Indice_index!$Z$1=1,"Outras transferências","Other transfers")</f>
        <v>Outras transferências</v>
      </c>
      <c r="C40" s="4">
        <v>1.4000000000010004E-2</v>
      </c>
      <c r="D40" s="4">
        <v>0.1809391599999941</v>
      </c>
      <c r="E40" s="4" t="str">
        <f>IFERROR(IF(ABS((D40-C40)/C40)*100&gt;500,"-",((D40-C40)/C40)*100),0)</f>
        <v>-</v>
      </c>
      <c r="F40" s="4">
        <v>4.1245999999972582E-4</v>
      </c>
      <c r="G40" s="4">
        <v>4.3060000002981269E-5</v>
      </c>
      <c r="H40" s="4">
        <f>IFERROR(IF(ABS((G40-F40)/F40)*100&gt;500,"-",((G40-F40)/F40)*100),0)</f>
        <v>-89.560199776218326</v>
      </c>
      <c r="I40" s="4">
        <v>1.4412460000016836E-2</v>
      </c>
      <c r="J40" s="4">
        <v>0.18098222000000419</v>
      </c>
      <c r="K40" s="4" t="str">
        <f>IFERROR(IF(ABS((J40-I40)/I40)*100&gt;500,"-",((J40-I40)/I40)*100),0)</f>
        <v>-</v>
      </c>
      <c r="L40" s="4">
        <f>IFERROR((J40-I40)/$I$43*100,"-")</f>
        <v>7.5582554856082314E-3</v>
      </c>
    </row>
    <row r="41" spans="2:12" ht="14.1" customHeight="1">
      <c r="B41" s="125" t="str">
        <f>IF(Indice_index!$Z$1=1,"Outras receitas de capital","Other capital revenue")</f>
        <v>Outras receitas de capital</v>
      </c>
      <c r="C41" s="4">
        <v>1.0126004399999999</v>
      </c>
      <c r="D41" s="4">
        <v>0.40897935000000002</v>
      </c>
      <c r="E41" s="4">
        <f>IFERROR(IF(ABS((D41-C41)/C41)*100&gt;500,"-",((D41-C41)/C41)*100),0)</f>
        <v>-59.610984368128449</v>
      </c>
      <c r="F41" s="4">
        <v>0.64036506999999998</v>
      </c>
      <c r="G41" s="4">
        <v>4.8748940000000004E-2</v>
      </c>
      <c r="H41" s="4">
        <f>IFERROR(IF(ABS((G41-F41)/F41)*100&gt;500,"-",((G41-F41)/F41)*100),0)</f>
        <v>-92.387320563877722</v>
      </c>
      <c r="I41" s="4">
        <v>1.65296551</v>
      </c>
      <c r="J41" s="4">
        <v>0.45772829000000004</v>
      </c>
      <c r="K41" s="4">
        <f>IFERROR(IF(ABS((J41-I41)/I41)*100&gt;500,"-",((J41-I41)/I41)*100),0)</f>
        <v>-72.308660572113212</v>
      </c>
      <c r="L41" s="4">
        <f>IFERROR((J41-I41)/$I$43*100,"-")</f>
        <v>-5.4234984037131458E-2</v>
      </c>
    </row>
    <row r="42" spans="2:12" ht="14.1" customHeight="1">
      <c r="B42" s="125" t="str">
        <f>IF(Indice_index!$Z$1=1,"Diferenças de consolidação","Consolidation differences")</f>
        <v>Diferenças de consolidação</v>
      </c>
      <c r="C42" s="4">
        <v>0</v>
      </c>
      <c r="D42" s="4">
        <v>0</v>
      </c>
      <c r="E42" s="4"/>
      <c r="F42" s="4">
        <v>1.0713006600000003</v>
      </c>
      <c r="G42" s="4">
        <v>4.6625419300000033</v>
      </c>
      <c r="H42" s="4"/>
      <c r="I42" s="4">
        <v>1.0713006600000057</v>
      </c>
      <c r="J42" s="4">
        <v>4.6625419300000175</v>
      </c>
      <c r="K42" s="4"/>
      <c r="L42" s="4"/>
    </row>
    <row r="43" spans="2:12" ht="14.1" customHeight="1">
      <c r="B43" s="30" t="str">
        <f>IF(Indice_index!$Z$1=1,"Receita efetiva","Effective revenue")</f>
        <v>Receita efetiva</v>
      </c>
      <c r="C43" s="18">
        <f>+C32+C13</f>
        <v>997.86007702000018</v>
      </c>
      <c r="D43" s="18">
        <f>+D32+D13</f>
        <v>1056.22585749</v>
      </c>
      <c r="E43" s="18">
        <f t="shared" ref="E43:E55" si="11">IFERROR(IF(ABS((D43-C43)/C43)*100&gt;500,"-",((D43-C43)/C43)*100),0)</f>
        <v>5.8490946590731223</v>
      </c>
      <c r="F43" s="18">
        <f>+F32+F13</f>
        <v>1206.5025996800002</v>
      </c>
      <c r="G43" s="18">
        <f>+G32+G13</f>
        <v>1251.7570941399999</v>
      </c>
      <c r="H43" s="18">
        <f t="shared" ref="H43:H55" si="12">IFERROR(IF(ABS((G43-F43)/F43)*100&gt;500,"-",((G43-F43)/F43)*100),0)</f>
        <v>3.7508824657321518</v>
      </c>
      <c r="I43" s="18">
        <f>+I32+I13</f>
        <v>2203.8122463199998</v>
      </c>
      <c r="J43" s="18">
        <f>+J32+J13</f>
        <v>2307.6646414400002</v>
      </c>
      <c r="K43" s="18">
        <f t="shared" ref="K43:K55" si="13">IFERROR(IF(ABS((J43-I43)/I43)*100&gt;500,"-",((J43-I43)/I43)*100),0)</f>
        <v>4.7123975871091872</v>
      </c>
      <c r="L43" s="18"/>
    </row>
    <row r="44" spans="2:12" ht="14.1" customHeight="1">
      <c r="B44" s="174" t="str">
        <f>IF(Indice_index!$Z$1=1,"Despesa corrente","Current expenditure")</f>
        <v>Despesa corrente</v>
      </c>
      <c r="C44" s="134">
        <f>+C45+C49+C50+C51+C54+C55+C56</f>
        <v>914.70483467000008</v>
      </c>
      <c r="D44" s="134">
        <f>+D45+D49+D50+D51+D54+D55+D56</f>
        <v>985.82643643999995</v>
      </c>
      <c r="E44" s="134">
        <f t="shared" si="11"/>
        <v>7.7753608677118837</v>
      </c>
      <c r="F44" s="134">
        <f>+F45+F49+F50+F51+F54+F55+F56</f>
        <v>959.30753441000013</v>
      </c>
      <c r="G44" s="134">
        <f>+G45+G49+G50+G51+G54+G55+G56</f>
        <v>1023.3868330199999</v>
      </c>
      <c r="H44" s="134">
        <f t="shared" si="12"/>
        <v>6.679745161118773</v>
      </c>
      <c r="I44" s="134">
        <f>+I45+I49+I50+I51+I54+I55+I56</f>
        <v>1873.4619387000002</v>
      </c>
      <c r="J44" s="134">
        <f>+J45+J49+J50+J51+J54+J55+J56</f>
        <v>2008.8949592699996</v>
      </c>
      <c r="K44" s="134">
        <f t="shared" si="13"/>
        <v>7.2290243944841848</v>
      </c>
      <c r="L44" s="134">
        <f t="shared" ref="L44:L62" si="14">IFERROR((J44-I44)/$I$64*100,"-")</f>
        <v>6.22497986183512</v>
      </c>
    </row>
    <row r="45" spans="2:12" ht="14.1" customHeight="1">
      <c r="B45" s="125" t="str">
        <f>IF(Indice_index!$Z$1=1,"Despesas com o pessoal","Employees")</f>
        <v>Despesas com o pessoal</v>
      </c>
      <c r="C45" s="4">
        <f>+C46+C47+C48</f>
        <v>462.51578505000003</v>
      </c>
      <c r="D45" s="4">
        <f>+D46+D47+D48</f>
        <v>512.92341083000008</v>
      </c>
      <c r="E45" s="4">
        <f t="shared" si="11"/>
        <v>10.898574148026267</v>
      </c>
      <c r="F45" s="4">
        <f>+F46+F47+F48</f>
        <v>501.06196517000001</v>
      </c>
      <c r="G45" s="4">
        <f>+G46+G47+G48</f>
        <v>547.88198029</v>
      </c>
      <c r="H45" s="4">
        <f t="shared" si="12"/>
        <v>9.344156686112651</v>
      </c>
      <c r="I45" s="4">
        <f>+I46+I47+I48</f>
        <v>963.57775022000021</v>
      </c>
      <c r="J45" s="4">
        <f>+J46+J47+J48</f>
        <v>1060.8053911199997</v>
      </c>
      <c r="K45" s="4">
        <f t="shared" si="13"/>
        <v>10.090274591521119</v>
      </c>
      <c r="L45" s="4">
        <f t="shared" si="14"/>
        <v>4.4689257026753806</v>
      </c>
    </row>
    <row r="46" spans="2:12" ht="14.1" customHeight="1">
      <c r="B46" s="172" t="str">
        <f>IF(Indice_index!$Z$1=1,"Remunerações certas e permanentes","Certain and permanent wages")</f>
        <v>Remunerações certas e permanentes</v>
      </c>
      <c r="C46" s="4">
        <v>336.42949116000005</v>
      </c>
      <c r="D46" s="4">
        <v>369.89030776000004</v>
      </c>
      <c r="E46" s="4">
        <f t="shared" si="11"/>
        <v>9.9458630944118394</v>
      </c>
      <c r="F46" s="4">
        <v>372.55153028000001</v>
      </c>
      <c r="G46" s="4">
        <v>389.69423911000001</v>
      </c>
      <c r="H46" s="4">
        <f t="shared" si="12"/>
        <v>4.6014329392543338</v>
      </c>
      <c r="I46" s="4">
        <v>708.98102144000018</v>
      </c>
      <c r="J46" s="4">
        <v>759.58454686999971</v>
      </c>
      <c r="K46" s="4">
        <f t="shared" si="13"/>
        <v>7.1375007087241231</v>
      </c>
      <c r="L46" s="4">
        <f t="shared" si="14"/>
        <v>2.3259167181964737</v>
      </c>
    </row>
    <row r="47" spans="2:12" ht="14.1" customHeight="1">
      <c r="B47" s="172" t="str">
        <f>IF(Indice_index!$Z$1=1,"Abonos variáveis ou eventuais","Variable or contingent bonuses")</f>
        <v>Abonos variáveis ou eventuais</v>
      </c>
      <c r="C47" s="4">
        <v>37.801350769999999</v>
      </c>
      <c r="D47" s="4">
        <v>45.58614687</v>
      </c>
      <c r="E47" s="4">
        <f t="shared" si="11"/>
        <v>20.593962759072067</v>
      </c>
      <c r="F47" s="4">
        <v>38.781384439999997</v>
      </c>
      <c r="G47" s="4">
        <v>59.220103689999995</v>
      </c>
      <c r="H47" s="4">
        <f t="shared" si="12"/>
        <v>52.702397155577152</v>
      </c>
      <c r="I47" s="4">
        <v>76.58273521000001</v>
      </c>
      <c r="J47" s="4">
        <v>104.80625055999998</v>
      </c>
      <c r="K47" s="4">
        <f t="shared" si="13"/>
        <v>36.853626698768792</v>
      </c>
      <c r="L47" s="4">
        <f t="shared" si="14"/>
        <v>1.2972524273955577</v>
      </c>
    </row>
    <row r="48" spans="2:12" ht="14.1" customHeight="1">
      <c r="B48" s="172" t="str">
        <f>IF(Indice_index!$Z$1=1,"Segurança Social","Social security")</f>
        <v>Segurança Social</v>
      </c>
      <c r="C48" s="4">
        <v>88.284943119999994</v>
      </c>
      <c r="D48" s="4">
        <v>97.446956200000002</v>
      </c>
      <c r="E48" s="4">
        <f t="shared" si="11"/>
        <v>10.377775367138968</v>
      </c>
      <c r="F48" s="4">
        <v>89.729050450000003</v>
      </c>
      <c r="G48" s="4">
        <v>98.967637489999973</v>
      </c>
      <c r="H48" s="4">
        <f t="shared" si="12"/>
        <v>10.296093621483287</v>
      </c>
      <c r="I48" s="4">
        <v>178.01399357</v>
      </c>
      <c r="J48" s="4">
        <v>196.41459369000003</v>
      </c>
      <c r="K48" s="4">
        <f t="shared" si="13"/>
        <v>10.336603179886762</v>
      </c>
      <c r="L48" s="4">
        <f t="shared" si="14"/>
        <v>0.8457565570833494</v>
      </c>
    </row>
    <row r="49" spans="2:12" ht="14.1" customHeight="1">
      <c r="B49" s="125" t="str">
        <f>IF(Indice_index!$Z$1=1,"Aquisição de bens e serviços","Purchase of goods and services")</f>
        <v>Aquisição de bens e serviços</v>
      </c>
      <c r="C49" s="4">
        <v>287.00751883999999</v>
      </c>
      <c r="D49" s="4">
        <v>299.46343581999997</v>
      </c>
      <c r="E49" s="4">
        <f t="shared" si="11"/>
        <v>4.3399270619610029</v>
      </c>
      <c r="F49" s="4">
        <v>258.87240415000002</v>
      </c>
      <c r="G49" s="4">
        <v>276.15511739999994</v>
      </c>
      <c r="H49" s="4">
        <f t="shared" si="12"/>
        <v>6.6761512517130583</v>
      </c>
      <c r="I49" s="4">
        <v>545.87992298999995</v>
      </c>
      <c r="J49" s="4">
        <v>575.61855322000008</v>
      </c>
      <c r="K49" s="4">
        <f t="shared" si="13"/>
        <v>5.4478336677249279</v>
      </c>
      <c r="L49" s="4">
        <f t="shared" si="14"/>
        <v>1.3668924574020727</v>
      </c>
    </row>
    <row r="50" spans="2:12" ht="14.1" customHeight="1">
      <c r="B50" s="125" t="str">
        <f>IF(Indice_index!$Z$1=1,"Juros e outros encargos","Interests and other charges")</f>
        <v>Juros e outros encargos</v>
      </c>
      <c r="C50" s="4">
        <v>47.547896190000003</v>
      </c>
      <c r="D50" s="4">
        <v>46.836730420000002</v>
      </c>
      <c r="E50" s="4">
        <f t="shared" si="11"/>
        <v>-1.4956829365450857</v>
      </c>
      <c r="F50" s="4">
        <v>90.157000469999986</v>
      </c>
      <c r="G50" s="4">
        <v>87.619347599999998</v>
      </c>
      <c r="H50" s="4">
        <f t="shared" si="12"/>
        <v>-2.8147041902136039</v>
      </c>
      <c r="I50" s="4">
        <v>137.70489666</v>
      </c>
      <c r="J50" s="4">
        <v>134.45607801999998</v>
      </c>
      <c r="K50" s="4">
        <f t="shared" si="13"/>
        <v>-2.3592615214123529</v>
      </c>
      <c r="L50" s="4">
        <f t="shared" si="14"/>
        <v>-0.14932717681137375</v>
      </c>
    </row>
    <row r="51" spans="2:12" ht="14.1" customHeight="1">
      <c r="B51" s="125" t="str">
        <f>IF(Indice_index!$Z$1=1,"Transferências correntes","Current transfers")</f>
        <v>Transferências correntes</v>
      </c>
      <c r="C51" s="4">
        <f>+C52+C53</f>
        <v>88.424659549999987</v>
      </c>
      <c r="D51" s="4">
        <f>+D52+D53</f>
        <v>98.320187780000012</v>
      </c>
      <c r="E51" s="4">
        <f t="shared" si="11"/>
        <v>11.19091470677879</v>
      </c>
      <c r="F51" s="4">
        <f>+F52+F53</f>
        <v>84.76291904</v>
      </c>
      <c r="G51" s="4">
        <f>+G52+G53</f>
        <v>85.198302089999999</v>
      </c>
      <c r="H51" s="4">
        <f t="shared" si="12"/>
        <v>0.51364801369634216</v>
      </c>
      <c r="I51" s="4">
        <f>+I52+I53</f>
        <v>173.18757858999999</v>
      </c>
      <c r="J51" s="4">
        <f>+J52+J53</f>
        <v>183.51848987</v>
      </c>
      <c r="K51" s="4">
        <f t="shared" si="13"/>
        <v>5.965157180502624</v>
      </c>
      <c r="L51" s="4">
        <f t="shared" si="14"/>
        <v>0.47484516258844328</v>
      </c>
    </row>
    <row r="52" spans="2:12" ht="14.1" customHeight="1">
      <c r="B52" s="172" t="str">
        <f>IF(Indice_index!$Z$1=1,"Administrações Públicas","General Government")</f>
        <v>Administrações Públicas</v>
      </c>
      <c r="C52" s="4">
        <v>1.7331063699999998</v>
      </c>
      <c r="D52" s="4">
        <v>5.2832728700000002</v>
      </c>
      <c r="E52" s="4">
        <f t="shared" si="11"/>
        <v>204.8441204448404</v>
      </c>
      <c r="F52" s="4">
        <v>1.7917815000000001</v>
      </c>
      <c r="G52" s="4">
        <v>1.7709663899999999</v>
      </c>
      <c r="H52" s="4">
        <f t="shared" si="12"/>
        <v>-1.1616991245863542</v>
      </c>
      <c r="I52" s="4">
        <v>3.5248878700000001</v>
      </c>
      <c r="J52" s="4">
        <v>7.0542392599999992</v>
      </c>
      <c r="K52" s="4">
        <f t="shared" si="13"/>
        <v>100.12662870890128</v>
      </c>
      <c r="L52" s="4">
        <f t="shared" si="14"/>
        <v>0.16222145260899931</v>
      </c>
    </row>
    <row r="53" spans="2:12" ht="14.1" customHeight="1">
      <c r="B53" s="172" t="str">
        <f>IF(Indice_index!$Z$1=1,"Outras transferências","Other transfers")</f>
        <v>Outras transferências</v>
      </c>
      <c r="C53" s="4">
        <v>86.691553179999985</v>
      </c>
      <c r="D53" s="4">
        <v>93.036914910000007</v>
      </c>
      <c r="E53" s="4">
        <f t="shared" si="11"/>
        <v>7.3194694260754307</v>
      </c>
      <c r="F53" s="4">
        <v>82.971137540000001</v>
      </c>
      <c r="G53" s="4">
        <v>83.4273357</v>
      </c>
      <c r="H53" s="4">
        <f t="shared" si="12"/>
        <v>0.54982753464127032</v>
      </c>
      <c r="I53" s="4">
        <v>169.66269072</v>
      </c>
      <c r="J53" s="4">
        <v>176.46425060999999</v>
      </c>
      <c r="K53" s="4">
        <f t="shared" si="13"/>
        <v>4.0088718746214118</v>
      </c>
      <c r="L53" s="4">
        <f t="shared" si="14"/>
        <v>0.31262370997944317</v>
      </c>
    </row>
    <row r="54" spans="2:12" ht="14.1" customHeight="1">
      <c r="B54" s="125" t="str">
        <f>IF(Indice_index!$Z$1=1,"Subsídios","Subsidies")</f>
        <v>Subsídios</v>
      </c>
      <c r="C54" s="4">
        <v>16.870552930000002</v>
      </c>
      <c r="D54" s="4">
        <v>15.661496619999998</v>
      </c>
      <c r="E54" s="4">
        <f t="shared" si="11"/>
        <v>-7.1666667655569523</v>
      </c>
      <c r="F54" s="4">
        <v>22.785577830000001</v>
      </c>
      <c r="G54" s="4">
        <v>23.862146429999999</v>
      </c>
      <c r="H54" s="4">
        <f t="shared" si="12"/>
        <v>4.7247807715570147</v>
      </c>
      <c r="I54" s="4">
        <v>39.656130759999989</v>
      </c>
      <c r="J54" s="4">
        <v>39.523643050000004</v>
      </c>
      <c r="K54" s="4">
        <f t="shared" si="13"/>
        <v>-0.33409136862545818</v>
      </c>
      <c r="L54" s="4">
        <f t="shared" si="14"/>
        <v>-6.089602987657588E-3</v>
      </c>
    </row>
    <row r="55" spans="2:12" ht="14.1" customHeight="1">
      <c r="B55" s="125" t="str">
        <f>IF(Indice_index!$Z$1=1,"Outras despesas correntes","Other current expenditure")</f>
        <v>Outras despesas correntes</v>
      </c>
      <c r="C55" s="4">
        <v>11.787991729999998</v>
      </c>
      <c r="D55" s="4">
        <v>12.302172780000001</v>
      </c>
      <c r="E55" s="4">
        <f t="shared" si="11"/>
        <v>4.3619054184728636</v>
      </c>
      <c r="F55" s="4">
        <v>1.6655062700000001</v>
      </c>
      <c r="G55" s="4">
        <v>2.6516376699999999</v>
      </c>
      <c r="H55" s="4">
        <f t="shared" si="12"/>
        <v>59.20910763067856</v>
      </c>
      <c r="I55" s="4">
        <v>13.453498</v>
      </c>
      <c r="J55" s="4">
        <v>14.953810449999999</v>
      </c>
      <c r="K55" s="4">
        <f t="shared" si="13"/>
        <v>11.151839097905981</v>
      </c>
      <c r="L55" s="4">
        <f t="shared" si="14"/>
        <v>6.8959658053874481E-2</v>
      </c>
    </row>
    <row r="56" spans="2:12" ht="14.1" customHeight="1">
      <c r="B56" s="125" t="str">
        <f>IF(Indice_index!$Z$1=1,"Diferenças de consolidação","Consolidation differences")</f>
        <v>Diferenças de consolidação</v>
      </c>
      <c r="C56" s="4">
        <v>0.55043037999996614</v>
      </c>
      <c r="D56" s="4">
        <v>0.31900219000003383</v>
      </c>
      <c r="E56" s="4"/>
      <c r="F56" s="4">
        <v>2.1614799999999999E-3</v>
      </c>
      <c r="G56" s="4">
        <v>1.8301540000000002E-2</v>
      </c>
      <c r="H56" s="4"/>
      <c r="I56" s="4">
        <v>2.1614799999999999E-3</v>
      </c>
      <c r="J56" s="4">
        <v>1.899354E-2</v>
      </c>
      <c r="K56" s="4"/>
      <c r="L56" s="4">
        <f t="shared" si="14"/>
        <v>7.7366091439306465E-4</v>
      </c>
    </row>
    <row r="57" spans="2:12" ht="14.1" customHeight="1">
      <c r="B57" s="174" t="str">
        <f>IF(Indice_index!$Z$1=1,"Despesa de capital","Capital expenditure")</f>
        <v>Despesa de capital</v>
      </c>
      <c r="C57" s="134">
        <f>+C58+C59+C62+C63</f>
        <v>212.52291427</v>
      </c>
      <c r="D57" s="134">
        <f>+D58+D59+D62+D63</f>
        <v>237.05523371999999</v>
      </c>
      <c r="E57" s="134">
        <f t="shared" ref="E57:E62" si="15">IFERROR(IF(ABS((D57-C57)/C57)*100&gt;500,"-",((D57-C57)/C57)*100),0)</f>
        <v>11.543376173937119</v>
      </c>
      <c r="F57" s="134">
        <f>+F58+F59+F62+F63</f>
        <v>89.653037850000018</v>
      </c>
      <c r="G57" s="134">
        <f>+G58+G59+G62+G63</f>
        <v>113.00683165999999</v>
      </c>
      <c r="H57" s="134">
        <f t="shared" ref="H57:H62" si="16">IFERROR(IF(ABS((G57-F57)/F57)*100&gt;500,"-",((G57-F57)/F57)*100),0)</f>
        <v>26.049082518624289</v>
      </c>
      <c r="I57" s="134">
        <f>+I58+I59+I62+I63</f>
        <v>302.17595211999998</v>
      </c>
      <c r="J57" s="134">
        <f>+J58+J59+J62+J63</f>
        <v>350.06206537999998</v>
      </c>
      <c r="K57" s="134">
        <f t="shared" ref="K57:K62" si="17">IFERROR(IF(ABS((J57-I57)/I57)*100&gt;500,"-",((J57-I57)/I57)*100),0)</f>
        <v>15.847096012783801</v>
      </c>
      <c r="L57" s="134">
        <f t="shared" si="14"/>
        <v>2.2010148592306265</v>
      </c>
    </row>
    <row r="58" spans="2:12" ht="14.1" customHeight="1">
      <c r="B58" s="125" t="str">
        <f>IF(Indice_index!$Z$1=1,"Aquisição de bens de capital","Purchase of capital goods")</f>
        <v>Aquisição de bens de capital</v>
      </c>
      <c r="C58" s="4">
        <v>49.756228690000007</v>
      </c>
      <c r="D58" s="4">
        <v>93.169691060000005</v>
      </c>
      <c r="E58" s="4">
        <f t="shared" si="15"/>
        <v>87.252316972176828</v>
      </c>
      <c r="F58" s="4">
        <v>76.498899490000014</v>
      </c>
      <c r="G58" s="4">
        <v>97.875274929999989</v>
      </c>
      <c r="H58" s="4">
        <f t="shared" si="16"/>
        <v>27.943376417845471</v>
      </c>
      <c r="I58" s="4">
        <v>126.25512817999999</v>
      </c>
      <c r="J58" s="4">
        <v>191.04496599000001</v>
      </c>
      <c r="K58" s="4">
        <f t="shared" si="17"/>
        <v>51.316598972225627</v>
      </c>
      <c r="L58" s="4">
        <f t="shared" si="14"/>
        <v>2.9779697294010936</v>
      </c>
    </row>
    <row r="59" spans="2:12" ht="14.1" customHeight="1">
      <c r="B59" s="125" t="str">
        <f>IF(Indice_index!$Z$1=1,"Transferências de capital","Capital transfers")</f>
        <v>Transferências de capital</v>
      </c>
      <c r="C59" s="4">
        <f>+C60+C61</f>
        <v>162.03228558000001</v>
      </c>
      <c r="D59" s="4">
        <f>+D60+D61</f>
        <v>143.65637595999999</v>
      </c>
      <c r="E59" s="4">
        <f t="shared" si="15"/>
        <v>-11.3408939176676</v>
      </c>
      <c r="F59" s="4">
        <f>+F60+F61</f>
        <v>13.154138359999999</v>
      </c>
      <c r="G59" s="4">
        <f>+G60+G61</f>
        <v>15.13155673</v>
      </c>
      <c r="H59" s="4">
        <f t="shared" si="16"/>
        <v>15.032671208728269</v>
      </c>
      <c r="I59" s="4">
        <f>+I60+I61</f>
        <v>175.18642394</v>
      </c>
      <c r="J59" s="4">
        <f>+J60+J61</f>
        <v>158.78793268999996</v>
      </c>
      <c r="K59" s="4">
        <f t="shared" si="17"/>
        <v>-9.3605947773763525</v>
      </c>
      <c r="L59" s="4">
        <f t="shared" si="14"/>
        <v>-0.75373256363996421</v>
      </c>
    </row>
    <row r="60" spans="2:12" ht="14.1" customHeight="1">
      <c r="B60" s="172" t="str">
        <f>IF(Indice_index!$Z$1=1,"Administrações Públicas","General Government")</f>
        <v>Administrações Públicas</v>
      </c>
      <c r="C60" s="4">
        <v>4.5930313599999995</v>
      </c>
      <c r="D60" s="4">
        <v>7.7196323699999994</v>
      </c>
      <c r="E60" s="4">
        <f t="shared" si="15"/>
        <v>68.072712005171255</v>
      </c>
      <c r="F60" s="4">
        <v>6.8662255299999995</v>
      </c>
      <c r="G60" s="4">
        <v>4.1766231999999999</v>
      </c>
      <c r="H60" s="4">
        <f t="shared" si="16"/>
        <v>-39.171482472408677</v>
      </c>
      <c r="I60" s="4">
        <v>11.459256889999999</v>
      </c>
      <c r="J60" s="4">
        <v>11.896255569999999</v>
      </c>
      <c r="K60" s="4">
        <f t="shared" si="17"/>
        <v>3.8134992887832917</v>
      </c>
      <c r="L60" s="4">
        <f t="shared" si="14"/>
        <v>2.0086002447553208E-2</v>
      </c>
    </row>
    <row r="61" spans="2:12" ht="14.1" customHeight="1">
      <c r="B61" s="172" t="str">
        <f>IF(Indice_index!$Z$1=1,"Outras transferências","Other transfers")</f>
        <v>Outras transferências</v>
      </c>
      <c r="C61" s="4">
        <v>157.43925422000001</v>
      </c>
      <c r="D61" s="4">
        <v>135.93674358999999</v>
      </c>
      <c r="E61" s="4">
        <f t="shared" si="15"/>
        <v>-13.657655288402964</v>
      </c>
      <c r="F61" s="4">
        <v>6.2879128299999998</v>
      </c>
      <c r="G61" s="4">
        <v>10.95493353</v>
      </c>
      <c r="H61" s="4">
        <f t="shared" si="16"/>
        <v>74.222096046455533</v>
      </c>
      <c r="I61" s="4">
        <v>163.72716704999999</v>
      </c>
      <c r="J61" s="4">
        <v>146.89167711999997</v>
      </c>
      <c r="K61" s="4">
        <f t="shared" si="17"/>
        <v>-10.282649015027969</v>
      </c>
      <c r="L61" s="4">
        <f t="shared" si="14"/>
        <v>-0.77381856608751687</v>
      </c>
    </row>
    <row r="62" spans="2:12" ht="14.1" customHeight="1">
      <c r="B62" s="125" t="str">
        <f>IF(Indice_index!$Z$1=1,"Outras despesas de capital","Other capital expenditure")</f>
        <v>Outras despesas de capital</v>
      </c>
      <c r="C62" s="4">
        <v>0.73440000000000005</v>
      </c>
      <c r="D62" s="4">
        <v>0.2291667</v>
      </c>
      <c r="E62" s="4">
        <f t="shared" si="15"/>
        <v>-68.795383986928087</v>
      </c>
      <c r="F62" s="4">
        <v>0</v>
      </c>
      <c r="G62" s="4">
        <v>0</v>
      </c>
      <c r="H62" s="4">
        <f t="shared" si="16"/>
        <v>0</v>
      </c>
      <c r="I62" s="4">
        <v>0.73440000000000005</v>
      </c>
      <c r="J62" s="4">
        <v>0.2291667</v>
      </c>
      <c r="K62" s="4">
        <f t="shared" si="17"/>
        <v>-68.795383986928087</v>
      </c>
      <c r="L62" s="4">
        <f t="shared" si="14"/>
        <v>-2.3222306530503427E-2</v>
      </c>
    </row>
    <row r="63" spans="2:12" ht="14.1" customHeight="1">
      <c r="B63" s="125" t="str">
        <f>IF(Indice_index!$Z$1=1,"Diferenças de consolidação","Consolidation differences")</f>
        <v>Diferenças de consolidação</v>
      </c>
      <c r="C63" s="4">
        <v>0</v>
      </c>
      <c r="D63" s="4">
        <v>0</v>
      </c>
      <c r="E63" s="4"/>
      <c r="F63" s="4">
        <v>0</v>
      </c>
      <c r="G63" s="4">
        <v>0</v>
      </c>
      <c r="H63" s="4"/>
      <c r="I63" s="4">
        <v>0</v>
      </c>
      <c r="J63" s="4">
        <v>0</v>
      </c>
      <c r="K63" s="4"/>
      <c r="L63" s="4"/>
    </row>
    <row r="64" spans="2:12" ht="14.1" customHeight="1">
      <c r="B64" s="30" t="str">
        <f>IF(Indice_index!$Z$1=1,"Despesa efetiva","Effective expenditure")</f>
        <v>Despesa efetiva</v>
      </c>
      <c r="C64" s="18">
        <f>+C57+C44</f>
        <v>1127.2277489400001</v>
      </c>
      <c r="D64" s="18">
        <f>+D57+D44</f>
        <v>1222.8816701599999</v>
      </c>
      <c r="E64" s="18">
        <f>IFERROR(IF(ABS((D64-C64)/C64)*100&gt;500,"-",((D64-C64)/C64)*100),0)</f>
        <v>8.4857670785649937</v>
      </c>
      <c r="F64" s="18">
        <f>+F57+F44</f>
        <v>1048.9605722600002</v>
      </c>
      <c r="G64" s="18">
        <f>+G57+G44</f>
        <v>1136.3936646799998</v>
      </c>
      <c r="H64" s="18">
        <f>IFERROR(IF(ABS((G64-F64)/F64)*100&gt;500,"-",((G64-F64)/F64)*100),0)</f>
        <v>8.3352124695806076</v>
      </c>
      <c r="I64" s="18">
        <f>+I57+I44</f>
        <v>2175.6378908200004</v>
      </c>
      <c r="J64" s="18">
        <f>+J57+J44</f>
        <v>2358.9570246499998</v>
      </c>
      <c r="K64" s="18">
        <f>IFERROR(IF(ABS((J64-I64)/I64)*100&gt;500,"-",((J64-I64)/I64)*100),0)</f>
        <v>8.4259947210657469</v>
      </c>
      <c r="L64" s="18"/>
    </row>
    <row r="65" spans="2:13" ht="14.1" customHeight="1">
      <c r="B65" s="30" t="str">
        <f>IF(Indice_index!$Z$1=1,"Saldo global","Overall balance")</f>
        <v>Saldo global</v>
      </c>
      <c r="C65" s="18">
        <f>+C43-C64</f>
        <v>-129.36767191999991</v>
      </c>
      <c r="D65" s="18">
        <f>+D43-D64</f>
        <v>-166.65581266999993</v>
      </c>
      <c r="E65" s="18"/>
      <c r="F65" s="18">
        <f>+F43-F64</f>
        <v>157.54202742000007</v>
      </c>
      <c r="G65" s="18">
        <f>+G43-G64</f>
        <v>115.36342946000013</v>
      </c>
      <c r="H65" s="18"/>
      <c r="I65" s="18">
        <f>+I43-I64</f>
        <v>28.174355499999365</v>
      </c>
      <c r="J65" s="18">
        <f>+J43-J64</f>
        <v>-51.292383209999571</v>
      </c>
      <c r="K65" s="18"/>
      <c r="L65" s="18"/>
      <c r="M65" s="214"/>
    </row>
    <row r="66" spans="2:13" ht="14.1" customHeight="1">
      <c r="B66" s="172" t="str">
        <f>IF(Indice_index!$Z$1=1,"Despesa primária","Primary Expenditure")</f>
        <v>Despesa primária</v>
      </c>
      <c r="C66" s="4">
        <f>+C64-C50</f>
        <v>1079.67985275</v>
      </c>
      <c r="D66" s="4">
        <f>+D64-D50</f>
        <v>1176.0449397399998</v>
      </c>
      <c r="E66" s="4">
        <f>IFERROR(IF(ABS((D66-C66)/C66)*100&gt;500,"-",((D66-C66)/C66)*100),0)</f>
        <v>8.9253390016080196</v>
      </c>
      <c r="F66" s="4">
        <f>+F64-F50</f>
        <v>958.80357179000021</v>
      </c>
      <c r="G66" s="4">
        <f>+G64-G50</f>
        <v>1048.7743170799997</v>
      </c>
      <c r="H66" s="4">
        <f>IFERROR(IF(ABS((G66-F66)/F66)*100&gt;500,"-",((G66-F66)/F66)*100),0)</f>
        <v>9.383647280540707</v>
      </c>
      <c r="I66" s="4">
        <f>+I64-I50</f>
        <v>2037.9329941600004</v>
      </c>
      <c r="J66" s="4">
        <f>+J64-J50</f>
        <v>2224.5009466299998</v>
      </c>
      <c r="K66" s="4">
        <f>IFERROR(IF(ABS((J66-I66)/I66)*100&gt;500,"-",((J66-I66)/I66)*100),0)</f>
        <v>9.1547638221981593</v>
      </c>
      <c r="L66" s="4"/>
    </row>
    <row r="67" spans="2:13" ht="14.1" customHeight="1">
      <c r="B67" s="172" t="str">
        <f>IF(Indice_index!$Z$1=1,"Saldo primário","Primary balance")</f>
        <v>Saldo primário</v>
      </c>
      <c r="C67" s="4">
        <f>+C65+C50</f>
        <v>-81.819775729999904</v>
      </c>
      <c r="D67" s="4">
        <f>+D65+D50</f>
        <v>-119.81908224999992</v>
      </c>
      <c r="E67" s="4"/>
      <c r="F67" s="4">
        <f>+F65+F50</f>
        <v>247.69902789000005</v>
      </c>
      <c r="G67" s="4">
        <f>+G65+G50</f>
        <v>202.98277706000013</v>
      </c>
      <c r="H67" s="4"/>
      <c r="I67" s="4">
        <f>+I65+I50</f>
        <v>165.87925215999937</v>
      </c>
      <c r="J67" s="4">
        <f>+J65+J50</f>
        <v>83.163694810000408</v>
      </c>
      <c r="K67" s="4"/>
      <c r="L67" s="4"/>
    </row>
    <row r="68" spans="2:13" ht="14.1" customHeight="1">
      <c r="B68" s="172" t="str">
        <f>IF(Indice_index!$Z$1=1,"Saldo corrente","Current balance")</f>
        <v>Saldo corrente</v>
      </c>
      <c r="C68" s="4">
        <f>+C13-C44</f>
        <v>-117.66441297999995</v>
      </c>
      <c r="D68" s="4">
        <f>+D13-D44</f>
        <v>-68.426280059999954</v>
      </c>
      <c r="E68" s="4"/>
      <c r="F68" s="4">
        <f>+F13-F44</f>
        <v>140.69071993</v>
      </c>
      <c r="G68" s="4">
        <f>+G13-G44</f>
        <v>97.291313770000102</v>
      </c>
      <c r="H68" s="4"/>
      <c r="I68" s="4">
        <f>+I13-I44</f>
        <v>23.026306949999707</v>
      </c>
      <c r="J68" s="4">
        <f>+J13-J44</f>
        <v>28.865033710000716</v>
      </c>
      <c r="K68" s="4"/>
      <c r="L68" s="4"/>
    </row>
    <row r="69" spans="2:13" ht="14.1" customHeight="1">
      <c r="B69" s="172" t="str">
        <f>IF(Indice_index!$Z$1=1,"Saldo de capital","Capital balance")</f>
        <v>Saldo de capital</v>
      </c>
      <c r="C69" s="4">
        <f>+C32-C57</f>
        <v>-11.703258939999984</v>
      </c>
      <c r="D69" s="4">
        <f>+D32-D57</f>
        <v>-98.229532610000007</v>
      </c>
      <c r="E69" s="4"/>
      <c r="F69" s="4">
        <f>+F32-F57</f>
        <v>16.851307489999996</v>
      </c>
      <c r="G69" s="4">
        <f>+G32-G57</f>
        <v>18.072115690000032</v>
      </c>
      <c r="H69" s="4"/>
      <c r="I69" s="4">
        <f>+I32-I57</f>
        <v>5.1480485500000555</v>
      </c>
      <c r="J69" s="4">
        <f>+J32-J57</f>
        <v>-80.157416920000003</v>
      </c>
      <c r="K69" s="4"/>
      <c r="L69" s="4"/>
    </row>
    <row r="70" spans="2:13" ht="14.1" customHeight="1">
      <c r="B70" s="125" t="str">
        <f>IF(Indice_index!$Z$1=1,"Ativos financeiros líquidos de reembolsos","Financial assets net of reimbursements")</f>
        <v>Ativos financeiros líquidos de reembolsos</v>
      </c>
      <c r="C70" s="4">
        <v>-0.80447758999999996</v>
      </c>
      <c r="D70" s="4">
        <v>-2.2768179499999981</v>
      </c>
      <c r="E70" s="4"/>
      <c r="F70" s="4">
        <v>-0.91086668999999887</v>
      </c>
      <c r="G70" s="4">
        <v>-0.9848055299999956</v>
      </c>
      <c r="H70" s="4"/>
      <c r="I70" s="4">
        <v>-1.7153442799999983</v>
      </c>
      <c r="J70" s="4">
        <v>-3.2616234800000043</v>
      </c>
      <c r="K70" s="4"/>
      <c r="L70" s="4"/>
    </row>
    <row r="71" spans="2:13" ht="14.1" customHeight="1">
      <c r="B71" s="172" t="str">
        <f>IF(Indice_index!$Z$1=1,"dos quais Receitas de:","of which Revenues of")</f>
        <v>dos quais Receitas de:</v>
      </c>
      <c r="C71" s="4"/>
      <c r="D71" s="4"/>
      <c r="E71" s="4"/>
      <c r="F71" s="4"/>
      <c r="G71" s="4"/>
      <c r="H71" s="4"/>
      <c r="I71" s="4"/>
      <c r="J71" s="4"/>
      <c r="K71" s="4"/>
      <c r="L71" s="4"/>
    </row>
    <row r="72" spans="2:13" ht="14.1" customHeight="1">
      <c r="B72" s="172" t="str">
        <f>IF(Indice_index!$Z$1=1,"Alienação de partes de capital","Divestment of company shares")</f>
        <v>Alienação de partes de capital</v>
      </c>
      <c r="C72" s="4">
        <v>0</v>
      </c>
      <c r="D72" s="4">
        <v>0</v>
      </c>
      <c r="E72" s="4"/>
      <c r="F72" s="4">
        <v>0</v>
      </c>
      <c r="G72" s="4">
        <v>0</v>
      </c>
      <c r="H72" s="4"/>
      <c r="I72" s="4">
        <v>0</v>
      </c>
      <c r="J72" s="4">
        <v>0</v>
      </c>
      <c r="K72" s="4"/>
      <c r="L72" s="4"/>
    </row>
    <row r="73" spans="2:13" ht="14.1" customHeight="1">
      <c r="B73" s="172" t="str">
        <f>IF(Indice_index!$Z$1=1,"Outros ativos","Other Financial assets")</f>
        <v>Outros ativos</v>
      </c>
      <c r="C73" s="4">
        <v>1.42984413</v>
      </c>
      <c r="D73" s="4">
        <v>6.6448586399999989</v>
      </c>
      <c r="E73" s="4"/>
      <c r="F73" s="4">
        <v>13.55421861</v>
      </c>
      <c r="G73" s="4">
        <v>44.519270669999997</v>
      </c>
      <c r="H73" s="4"/>
      <c r="I73" s="4">
        <v>14.984062739999999</v>
      </c>
      <c r="J73" s="4">
        <v>51.16412931</v>
      </c>
      <c r="K73" s="4"/>
      <c r="L73" s="4"/>
    </row>
    <row r="74" spans="2:13" ht="14.1" customHeight="1">
      <c r="B74" s="125" t="str">
        <f>IF(Indice_index!$Z$1=1,"Passivos financeiros líquidos de amortizações","Financial liabilities net of amortizations")</f>
        <v>Passivos financeiros líquidos de amortizações</v>
      </c>
      <c r="C74" s="4">
        <v>98.492838850000012</v>
      </c>
      <c r="D74" s="4">
        <v>161.96442213</v>
      </c>
      <c r="E74" s="4"/>
      <c r="F74" s="4">
        <v>36.748312389999995</v>
      </c>
      <c r="G74" s="4">
        <v>29.502360269999997</v>
      </c>
      <c r="H74" s="4"/>
      <c r="I74" s="4">
        <v>135.24115124000008</v>
      </c>
      <c r="J74" s="4">
        <v>191.46678240000006</v>
      </c>
      <c r="K74" s="4"/>
      <c r="L74" s="4"/>
    </row>
    <row r="75" spans="2:13" ht="14.1" customHeight="1">
      <c r="B75" s="173" t="str">
        <f>IF(Indice_index!$Z$1=1,"Poupança (+) / Utilização (-) de saldo da gerência anterior","Saving (+) / Usage (-) of balance from previous management")</f>
        <v>Poupança (+) / Utilização (-) de saldo da gerência anterior</v>
      </c>
      <c r="C75" s="19">
        <f>+C65-C70+C74</f>
        <v>-30.07035547999989</v>
      </c>
      <c r="D75" s="19">
        <f>+D65-D70+D74</f>
        <v>-2.4145725899999206</v>
      </c>
      <c r="E75" s="19"/>
      <c r="F75" s="19">
        <f>+F65-F70+F74</f>
        <v>195.20120650000007</v>
      </c>
      <c r="G75" s="19">
        <f>+G65-G70+G74</f>
        <v>145.85059526000012</v>
      </c>
      <c r="H75" s="19"/>
      <c r="I75" s="19">
        <f>+I65-I70+I74</f>
        <v>165.13085101999945</v>
      </c>
      <c r="J75" s="19">
        <f>+J65-J70+J74</f>
        <v>143.43602267000048</v>
      </c>
      <c r="K75" s="19"/>
      <c r="L75" s="19"/>
    </row>
    <row r="76" spans="2:13">
      <c r="B76" s="169" t="str">
        <f>IF(Indice_index!$Z$1=1,"Fontes: Direção Regional do Orçamento e Tesouro da Região Autónoma dos Açores; Direção Regional do Orçamento e Tesouro da Região Autónoma da Madeira.","Sources: Regional Directorate for the Budget and Treasury of the Autonomous Region of the Azores; Regional Directorate for the Budget and Treasury of the Autonomous Region of Madeira.")</f>
        <v>Fontes: Direção Regional do Orçamento e Tesouro da Região Autónoma dos Açores; Direção Regional do Orçamento e Tesouro da Região Autónoma da Madeira.</v>
      </c>
      <c r="C76" s="74"/>
      <c r="D76" s="204"/>
      <c r="E76" s="74"/>
      <c r="F76" s="74"/>
      <c r="G76" s="74"/>
      <c r="H76" s="74"/>
      <c r="I76" s="74"/>
      <c r="J76" s="74"/>
      <c r="K76" s="74"/>
      <c r="L76" s="74"/>
    </row>
    <row r="77" spans="2:13"/>
  </sheetData>
  <mergeCells count="7">
    <mergeCell ref="B10:B12"/>
    <mergeCell ref="C10:E10"/>
    <mergeCell ref="F10:H10"/>
    <mergeCell ref="I10:L10"/>
    <mergeCell ref="C11:E11"/>
    <mergeCell ref="F11:H11"/>
    <mergeCell ref="I11:L11"/>
  </mergeCells>
  <conditionalFormatting sqref="C13:L42">
    <cfRule type="cellIs" dxfId="41" priority="1" operator="equal">
      <formula>0</formula>
    </cfRule>
  </conditionalFormatting>
  <conditionalFormatting sqref="C44:L63">
    <cfRule type="cellIs" dxfId="40" priority="2" operator="equal">
      <formula>0</formula>
    </cfRule>
  </conditionalFormatting>
  <conditionalFormatting sqref="C66:L75">
    <cfRule type="cellIs" dxfId="39" priority="3"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E13:E15 H13:H15 E19 H19 E23 H23 E32 H32 E34 H34 E43:E45 H43:H45 E51 H51 E57 E59 H57 H59 E64 E66 H64 H66" formula="1"/>
  </ignoredErrors>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Folha19">
    <pageSetUpPr fitToPage="1"/>
  </sheetPr>
  <dimension ref="A1:O98"/>
  <sheetViews>
    <sheetView showGridLines="0" zoomScaleNormal="100" workbookViewId="0"/>
  </sheetViews>
  <sheetFormatPr defaultColWidth="0" defaultRowHeight="14.85" customHeight="1" zeroHeight="1"/>
  <cols>
    <col min="1" max="1" width="8.5703125" style="56" customWidth="1"/>
    <col min="2" max="2" width="49.42578125" style="56" customWidth="1"/>
    <col min="3" max="6" width="9.5703125" style="56" customWidth="1"/>
    <col min="7" max="7" width="10.42578125" style="56" customWidth="1"/>
    <col min="8" max="15" width="0" hidden="1" customWidth="1"/>
    <col min="16" max="16384" width="9.42578125" hidden="1"/>
  </cols>
  <sheetData>
    <row r="1" spans="1:7" ht="14.85" customHeight="1"/>
    <row r="2" spans="1:7" ht="15"/>
    <row r="3" spans="1:7" ht="15"/>
    <row r="4" spans="1:7" ht="15"/>
    <row r="5" spans="1:7" ht="18" customHeight="1">
      <c r="A5"/>
      <c r="B5" s="270" t="str">
        <f>IF(Indice_index!$Z$1=1,"ANEXOS ESTATÍSTICOS","STATISTICAL ANNEXES")</f>
        <v>ANEXOS ESTATÍSTICOS</v>
      </c>
      <c r="C5"/>
      <c r="D5"/>
      <c r="E5"/>
      <c r="F5"/>
      <c r="G5"/>
    </row>
    <row r="6" spans="1:7" ht="18" customHeight="1">
      <c r="A6"/>
      <c r="B6" s="271" t="str">
        <f>IF(Indice_index!$Z$1=1,"Agosto de 2025","August 2025")</f>
        <v>Agosto de 2025</v>
      </c>
      <c r="C6"/>
      <c r="D6"/>
      <c r="E6"/>
      <c r="F6"/>
      <c r="G6"/>
    </row>
    <row r="7" spans="1:7" ht="50.1" customHeight="1">
      <c r="B7" s="12"/>
      <c r="C7" s="13"/>
      <c r="D7" s="11"/>
      <c r="E7" s="11"/>
      <c r="F7" s="11"/>
    </row>
    <row r="8" spans="1:7" ht="15.75">
      <c r="B8" s="1" t="str">
        <f>IF(Indice_index!$Z$1=1,"Quadro 13 - Execução Orçamental dos Municípios","13 - Municipal Budget Execution")</f>
        <v>Quadro 13 - Execução Orçamental dos Municípios</v>
      </c>
      <c r="C8" s="2"/>
      <c r="D8" s="2"/>
      <c r="E8" s="2"/>
      <c r="F8" s="2"/>
    </row>
    <row r="9" spans="1:7" ht="15">
      <c r="B9" s="3" t="str">
        <f>+'3 - Conta AC + SS'!B9</f>
        <v>Período: janeiro a agosto</v>
      </c>
      <c r="C9" s="3"/>
      <c r="D9" s="3"/>
      <c r="E9" s="3"/>
      <c r="F9" s="3" t="str">
        <f>IF(Indice_index!$Z$1=1,"€ Milhões","€ Millions")</f>
        <v>€ Milhões</v>
      </c>
    </row>
    <row r="10" spans="1:7" ht="26.85" customHeight="1">
      <c r="B10" s="390"/>
      <c r="C10" s="391" t="str">
        <f>IF(Indice_index!$Z$1=1,"Execução Acumulada","Accumulated Execution")</f>
        <v>Execução Acumulada</v>
      </c>
      <c r="D10" s="388"/>
      <c r="E10" s="391" t="str">
        <f>IF(Indice_index!$Z$1=1,"Variação Homóloga Acumulada","YOY Change Rate")</f>
        <v>Variação Homóloga Acumulada</v>
      </c>
      <c r="F10" s="387"/>
    </row>
    <row r="11" spans="1:7" ht="26.85" customHeight="1">
      <c r="B11" s="389"/>
      <c r="C11" s="22">
        <v>2024</v>
      </c>
      <c r="D11" s="22">
        <v>2025</v>
      </c>
      <c r="E11" s="22" t="str">
        <f>IF(Indice_index!$Z$1=1,"TVHA (%)","YOY Change Rate (%)")</f>
        <v>TVHA (%)</v>
      </c>
      <c r="F11" s="22" t="str">
        <f>IF(Indice_index!$Z$1=1,"Contributo    VHA (pp)","YOY Change Contrib. (pp)")</f>
        <v>Contributo    VHA (pp)</v>
      </c>
    </row>
    <row r="12" spans="1:7" ht="14.1" customHeight="1">
      <c r="B12" s="174" t="str">
        <f>IF(Indice_index!$Z$1=1,"Receita corrente","Current revenue")</f>
        <v>Receita corrente</v>
      </c>
      <c r="C12" s="134">
        <f>+C13+C21+C22+C33</f>
        <v>6729.3700689145535</v>
      </c>
      <c r="D12" s="134">
        <f>+D13+D21+D22+D33</f>
        <v>7616.524026876581</v>
      </c>
      <c r="E12" s="134">
        <f t="shared" ref="E12:E23" si="0">IFERROR(IF(ABS((D12-C12)/C12)*100&gt;500,"-",((D12-C12)/C12)*100),0)</f>
        <v>13.183313577300785</v>
      </c>
      <c r="F12" s="134">
        <f>IFERROR((D12-C12)/C46*100,"-")</f>
        <v>11.473627381855943</v>
      </c>
    </row>
    <row r="13" spans="1:7" ht="14.1" customHeight="1">
      <c r="B13" s="125" t="str">
        <f>IF(Indice_index!$Z$1=1,"Receita fiscal","Tax income")</f>
        <v>Receita fiscal</v>
      </c>
      <c r="C13" s="4">
        <f>+C14+C20</f>
        <v>2203.2727233951018</v>
      </c>
      <c r="D13" s="4">
        <f>+D14+D20</f>
        <v>2710.303708835153</v>
      </c>
      <c r="E13" s="4">
        <f t="shared" si="0"/>
        <v>23.012629351610585</v>
      </c>
      <c r="F13" s="4">
        <f>IFERROR((D13-C13)/C46*100,"-")</f>
        <v>6.557469023029908</v>
      </c>
    </row>
    <row r="14" spans="1:7" ht="14.1" customHeight="1">
      <c r="B14" s="172" t="str">
        <f>IF(Indice_index!$Z$1=1,"Impostos diretos","Direct taxes")</f>
        <v>Impostos diretos</v>
      </c>
      <c r="C14" s="4">
        <f>+C15+C16+C17+C18+C19</f>
        <v>2190.0340806483159</v>
      </c>
      <c r="D14" s="4">
        <f>+D15+D16+D17+D18+D19</f>
        <v>2700.416058552828</v>
      </c>
      <c r="E14" s="4">
        <f t="shared" si="0"/>
        <v>23.3047504791991</v>
      </c>
      <c r="F14" s="4">
        <f>IFERROR((D14-C14)/C46*100,"-")</f>
        <v>6.6008076550131927</v>
      </c>
    </row>
    <row r="15" spans="1:7" ht="14.1" customHeight="1">
      <c r="B15" s="284" t="str">
        <f>IF(Indice_index!$Z$1=1,"Imposto Municipal sobre Transmissões Onerosas de Imóveis","Property Transfer Tax")</f>
        <v>Imposto Municipal sobre Transmissões Onerosas de Imóveis</v>
      </c>
      <c r="C15" s="4">
        <v>1109.7074655514182</v>
      </c>
      <c r="D15" s="4">
        <v>1429.6966738710864</v>
      </c>
      <c r="E15" s="4">
        <f t="shared" si="0"/>
        <v>28.835456032609848</v>
      </c>
      <c r="F15" s="4">
        <f>IFERROR((D15-C15)/C46*100,"-")</f>
        <v>4.1384439640093422</v>
      </c>
    </row>
    <row r="16" spans="1:7" ht="14.1" customHeight="1">
      <c r="B16" s="284" t="str">
        <f>IF(Indice_index!$Z$1=1,"Imposto municipal sobre imóveis","Property Tax")</f>
        <v>Imposto municipal sobre imóveis</v>
      </c>
      <c r="C16" s="4">
        <v>802.41797032416412</v>
      </c>
      <c r="D16" s="4">
        <v>873.9458555683658</v>
      </c>
      <c r="E16" s="4">
        <f t="shared" si="0"/>
        <v>8.9140432903447504</v>
      </c>
      <c r="F16" s="4">
        <f>IFERROR((D16-C16)/C46*100,"-")</f>
        <v>0.92507540020381618</v>
      </c>
    </row>
    <row r="17" spans="2:6" ht="14.1" customHeight="1">
      <c r="B17" s="284" t="str">
        <f>IF(Indice_index!$Z$1=1,"Imposto Único de Circulação","Municipal Vehicle Tax")</f>
        <v>Imposto Único de Circulação</v>
      </c>
      <c r="C17" s="4">
        <v>241.23418306273217</v>
      </c>
      <c r="D17" s="4">
        <v>247.85779904580772</v>
      </c>
      <c r="E17" s="4">
        <f t="shared" si="0"/>
        <v>2.7457203199735183</v>
      </c>
      <c r="F17" s="4">
        <f>IFERROR((D17-C17)/C46*100,"-")</f>
        <v>8.5663712626492264E-2</v>
      </c>
    </row>
    <row r="18" spans="2:6" ht="14.1" customHeight="1">
      <c r="B18" s="284" t="str">
        <f>IF(Indice_index!$Z$1=1,"Derrama","Overtax")</f>
        <v>Derrama</v>
      </c>
      <c r="C18" s="4">
        <v>36.36974635</v>
      </c>
      <c r="D18" s="4">
        <v>147.4962490171003</v>
      </c>
      <c r="E18" s="4">
        <f t="shared" si="0"/>
        <v>305.54654299121967</v>
      </c>
      <c r="F18" s="4">
        <f>IFERROR((D18-C18)/C46*100,"-")</f>
        <v>1.4372072315160698</v>
      </c>
    </row>
    <row r="19" spans="2:6" ht="14.1" customHeight="1">
      <c r="B19" s="284" t="str">
        <f>IF(Indice_index!$Z$1=1,"Outros ","Others")</f>
        <v xml:space="preserve">Outros </v>
      </c>
      <c r="C19" s="4">
        <v>0.30471536000190724</v>
      </c>
      <c r="D19" s="4">
        <v>1.4194810504677093</v>
      </c>
      <c r="E19" s="4">
        <f t="shared" si="0"/>
        <v>365.83836484607298</v>
      </c>
      <c r="F19" s="4">
        <f>IFERROR((D19-C19)/C46*100,"-")</f>
        <v>1.4417346657466452E-2</v>
      </c>
    </row>
    <row r="20" spans="2:6" ht="14.1" customHeight="1">
      <c r="B20" s="172" t="str">
        <f>IF(Indice_index!$Z$1=1,"Impostos indiretos","Indirect taxes")</f>
        <v>Impostos indiretos</v>
      </c>
      <c r="C20" s="4">
        <v>13.238642746785827</v>
      </c>
      <c r="D20" s="4">
        <v>9.8876502823248078</v>
      </c>
      <c r="E20" s="4">
        <f t="shared" si="0"/>
        <v>-25.312205552752729</v>
      </c>
      <c r="F20" s="4">
        <f>IFERROR((D20-C20)/C46*100,"-")</f>
        <v>-4.33386319832871E-2</v>
      </c>
    </row>
    <row r="21" spans="2:6" ht="14.1" customHeight="1">
      <c r="B21" s="125" t="str">
        <f>IF(Indice_index!$Z$1=1,"Taxas,multas e outras penalidades","Taxes, fines and other penalties")</f>
        <v>Taxas,multas e outras penalidades</v>
      </c>
      <c r="C21" s="4">
        <v>372.13803014548796</v>
      </c>
      <c r="D21" s="4">
        <v>490.98942789701664</v>
      </c>
      <c r="E21" s="4">
        <f t="shared" si="0"/>
        <v>31.937450118995773</v>
      </c>
      <c r="F21" s="4">
        <f>IFERROR((D21-C21)/C46*100,"-")</f>
        <v>1.5371138677511929</v>
      </c>
    </row>
    <row r="22" spans="2:6" ht="14.1" customHeight="1">
      <c r="B22" s="125" t="str">
        <f>IF(Indice_index!$Z$1=1,"Transferências correntes","Current transfers")</f>
        <v>Transferências correntes</v>
      </c>
      <c r="C22" s="4">
        <f>+C23+C30+C31+C32</f>
        <v>3199.9246784976103</v>
      </c>
      <c r="D22" s="4">
        <f>+D23+D30+D31+D32</f>
        <v>3380.4534614837626</v>
      </c>
      <c r="E22" s="4">
        <f t="shared" si="0"/>
        <v>5.6416572614737888</v>
      </c>
      <c r="F22" s="4">
        <f>IFERROR((D22-C22)/C46*100,"-")</f>
        <v>2.3347920269005926</v>
      </c>
    </row>
    <row r="23" spans="2:6" ht="14.1" customHeight="1">
      <c r="B23" s="172" t="str">
        <f>IF(Indice_index!$Z$1=1,"Administração Central","Central Administration")</f>
        <v>Administração Central</v>
      </c>
      <c r="C23" s="4">
        <v>3110.1203440266668</v>
      </c>
      <c r="D23" s="4">
        <v>3304.8809986166671</v>
      </c>
      <c r="E23" s="4">
        <f t="shared" si="0"/>
        <v>6.2621581497339758</v>
      </c>
      <c r="F23" s="4">
        <f>IFERROR((D23-C23)/C46*100,"-")</f>
        <v>2.5188538690007869</v>
      </c>
    </row>
    <row r="24" spans="2:6" ht="14.1" customHeight="1">
      <c r="B24" s="306" t="str">
        <f>IF(Indice_index!$Z$1=1,"das quais:","of which:")</f>
        <v>das quais:</v>
      </c>
      <c r="C24" s="4"/>
      <c r="D24" s="4"/>
      <c r="E24" s="4"/>
      <c r="F24" s="4"/>
    </row>
    <row r="25" spans="2:6" ht="14.1" customHeight="1">
      <c r="B25" s="300" t="str">
        <f>IF(Indice_index!$Z$1=1,"Transferências do Orçamento do Estado","State Budget transfers")</f>
        <v>Transferências do Orçamento do Estado</v>
      </c>
      <c r="C25" s="4">
        <f>+C26+C27+C28+C29</f>
        <v>1889.262592</v>
      </c>
      <c r="D25" s="4">
        <f>+D26+D27+D28+D29</f>
        <v>1925.8979040000002</v>
      </c>
      <c r="E25" s="4">
        <f t="shared" ref="E25:E37" si="1">IFERROR(IF(ABS((D25-C25)/C25)*100&gt;500,"-",((D25-C25)/C25)*100),0)</f>
        <v>1.9391328741240492</v>
      </c>
      <c r="F25" s="4">
        <f>IFERROR((D25-C25)/C46*100,"-")</f>
        <v>0.47380718434897456</v>
      </c>
    </row>
    <row r="26" spans="2:6" ht="14.1" customHeight="1">
      <c r="B26" s="326" t="str">
        <f>IF(Indice_index!$Z$1=1,"Fundo de Equilíbrio Financeiro","Financial Balance Fund")</f>
        <v>Fundo de Equilíbrio Financeiro</v>
      </c>
      <c r="C26" s="4">
        <v>1282.899672</v>
      </c>
      <c r="D26" s="4">
        <v>1313.6444480000002</v>
      </c>
      <c r="E26" s="4">
        <f t="shared" si="1"/>
        <v>2.3965066537175188</v>
      </c>
      <c r="F26" s="4">
        <f>IFERROR((D26-C26)/C46*100,"-")</f>
        <v>0.39762444905614547</v>
      </c>
    </row>
    <row r="27" spans="2:6" ht="14.1" customHeight="1">
      <c r="B27" s="326" t="str">
        <f>IF(Indice_index!$Z$1=1,"Fundo Social Municipal","Municipal Social Fund")</f>
        <v>Fundo Social Municipal</v>
      </c>
      <c r="C27" s="4">
        <v>169.62177599999998</v>
      </c>
      <c r="D27" s="4">
        <v>191.19606399999998</v>
      </c>
      <c r="E27" s="4">
        <f t="shared" si="1"/>
        <v>12.719055600502612</v>
      </c>
      <c r="F27" s="4">
        <f>IFERROR((D27-C27)/C46*100,"-")</f>
        <v>0.27902185333139345</v>
      </c>
    </row>
    <row r="28" spans="2:6" ht="14.1" customHeight="1">
      <c r="B28" s="326" t="str">
        <f>IF(Indice_index!$Z$1=1,"Participação IRS","Personal income tax (IRS) participation")</f>
        <v>Participação IRS</v>
      </c>
      <c r="C28" s="4">
        <v>365.89632799999998</v>
      </c>
      <c r="D28" s="4">
        <v>364.18712799999997</v>
      </c>
      <c r="E28" s="4">
        <f t="shared" si="1"/>
        <v>-0.4671268523908253</v>
      </c>
      <c r="F28" s="4">
        <f>IFERROR((D28-C28)/C46*100,"-")</f>
        <v>-2.2105209298866339E-2</v>
      </c>
    </row>
    <row r="29" spans="2:6" ht="14.1" customHeight="1">
      <c r="B29" s="326" t="str">
        <f>IF(Indice_index!$Z$1=1,"Participação no IVA","Value-added tax (IVA) participation")</f>
        <v>Participação no IVA</v>
      </c>
      <c r="C29" s="4">
        <v>70.844815999999994</v>
      </c>
      <c r="D29" s="4">
        <v>56.870263999999999</v>
      </c>
      <c r="E29" s="4">
        <f t="shared" si="1"/>
        <v>-19.725581614891901</v>
      </c>
      <c r="F29" s="4">
        <f>IFERROR((D29-C29)/C46*100,"-")</f>
        <v>-0.18073390873969652</v>
      </c>
    </row>
    <row r="30" spans="2:6" ht="14.1" customHeight="1">
      <c r="B30" s="284" t="str">
        <f>IF(Indice_index!$Z$1=1,"Outros subsetores das Administrações Públicas","Other General Government subsectors")</f>
        <v>Outros subsetores das Administrações Públicas</v>
      </c>
      <c r="C30" s="4">
        <v>27.857447519999994</v>
      </c>
      <c r="D30" s="4">
        <v>21.46895404</v>
      </c>
      <c r="E30" s="4">
        <f t="shared" si="1"/>
        <v>-22.932802710705761</v>
      </c>
      <c r="F30" s="4">
        <f>IFERROR((D30-C30)/C46*100,"-")</f>
        <v>-8.2622856002715905E-2</v>
      </c>
    </row>
    <row r="31" spans="2:6" ht="14.1" customHeight="1">
      <c r="B31" s="284" t="str">
        <f>IF(Indice_index!$Z$1=1,"União Europeia","European Union")</f>
        <v>União Europeia</v>
      </c>
      <c r="C31" s="4">
        <v>48.902863500943411</v>
      </c>
      <c r="D31" s="4">
        <v>41.60290524497406</v>
      </c>
      <c r="E31" s="4">
        <f t="shared" si="1"/>
        <v>-14.927465864710609</v>
      </c>
      <c r="F31" s="4">
        <f>IFERROR((D31-C31)/C46*100,"-")</f>
        <v>-9.4410896981739337E-2</v>
      </c>
    </row>
    <row r="32" spans="2:6" ht="14.1" customHeight="1">
      <c r="B32" s="284" t="str">
        <f>IF(Indice_index!$Z$1=1,"Outras transferências","Other transfers")</f>
        <v>Outras transferências</v>
      </c>
      <c r="C32" s="4">
        <v>13.044023449999997</v>
      </c>
      <c r="D32" s="4">
        <v>12.500603582121617</v>
      </c>
      <c r="E32" s="4">
        <f t="shared" si="1"/>
        <v>-4.1660448554190612</v>
      </c>
      <c r="F32" s="4">
        <f>IFERROR((D32-C32)/C46*100,"-")</f>
        <v>-7.0280891157347486E-3</v>
      </c>
    </row>
    <row r="33" spans="2:6" ht="14.1" customHeight="1">
      <c r="B33" s="125" t="str">
        <f>IF(Indice_index!$Z$1=1,"Outras receitas correntes","Other current revenue")</f>
        <v>Outras receitas correntes</v>
      </c>
      <c r="C33" s="4">
        <v>954.03463687635315</v>
      </c>
      <c r="D33" s="4">
        <v>1034.7774286606486</v>
      </c>
      <c r="E33" s="4">
        <f t="shared" si="1"/>
        <v>8.4632977318998623</v>
      </c>
      <c r="F33" s="4">
        <f>IFERROR((D33-C33)/C46*100,"-")</f>
        <v>1.0442524641742494</v>
      </c>
    </row>
    <row r="34" spans="2:6" ht="14.1" customHeight="1">
      <c r="B34" s="174" t="str">
        <f>IF(Indice_index!$Z$1=1,"Receita de capital","Capital revenue")</f>
        <v>Receita de capital</v>
      </c>
      <c r="C34" s="134">
        <f>+C35+C36+C45</f>
        <v>1002.7440083209232</v>
      </c>
      <c r="D34" s="134">
        <f>+D35+D36+D45</f>
        <v>1387.2469390637577</v>
      </c>
      <c r="E34" s="134">
        <f t="shared" si="1"/>
        <v>38.345073872510874</v>
      </c>
      <c r="F34" s="134">
        <f>IFERROR((D34-C34)/C46*100,"-")</f>
        <v>4.9728046806095358</v>
      </c>
    </row>
    <row r="35" spans="2:6" ht="14.1" customHeight="1">
      <c r="B35" s="125" t="str">
        <f>IF(Indice_index!$Z$1=1,"Venda de bens de investimento","Sale of investment goods")</f>
        <v>Venda de bens de investimento</v>
      </c>
      <c r="C35" s="4">
        <v>59.161866333669124</v>
      </c>
      <c r="D35" s="4">
        <v>59.410049437298191</v>
      </c>
      <c r="E35" s="4">
        <f t="shared" si="1"/>
        <v>0.41949843540994874</v>
      </c>
      <c r="F35" s="4">
        <f>IFERROR((D35-C35)/C46*100,"-")</f>
        <v>3.2097703312442853E-3</v>
      </c>
    </row>
    <row r="36" spans="2:6" ht="14.1" customHeight="1">
      <c r="B36" s="125" t="str">
        <f>IF(Indice_index!$Z$1=1,"Transferências de capital","Capital transfers")</f>
        <v>Transferências de capital</v>
      </c>
      <c r="C36" s="4">
        <f>+C37+C42+C43+C44</f>
        <v>930.53000491725413</v>
      </c>
      <c r="D36" s="4">
        <f>+D37+D42+D43+D44</f>
        <v>1316.6599363436337</v>
      </c>
      <c r="E36" s="4">
        <f t="shared" si="1"/>
        <v>41.495699159181392</v>
      </c>
      <c r="F36" s="4">
        <f>IFERROR((D36-C36)/C46*100,"-")</f>
        <v>4.9938468001035448</v>
      </c>
    </row>
    <row r="37" spans="2:6" ht="14.1" customHeight="1">
      <c r="B37" s="172" t="str">
        <f>IF(Indice_index!$Z$1=1,"Administração Central","Central Administration")</f>
        <v>Administração Central</v>
      </c>
      <c r="C37" s="4">
        <v>550.0675557766665</v>
      </c>
      <c r="D37" s="4">
        <v>798.58007109666664</v>
      </c>
      <c r="E37" s="4">
        <f t="shared" si="1"/>
        <v>45.178544473344466</v>
      </c>
      <c r="F37" s="4">
        <f>IFERROR((D37-C37)/C46*100,"-")</f>
        <v>3.2140306368688858</v>
      </c>
    </row>
    <row r="38" spans="2:6" ht="14.1" customHeight="1">
      <c r="B38" s="306" t="str">
        <f>IF(Indice_index!$Z$1=1,"das quais:","of which:")</f>
        <v>das quais:</v>
      </c>
      <c r="C38" s="4"/>
      <c r="D38" s="4"/>
      <c r="E38" s="4"/>
      <c r="F38" s="4"/>
    </row>
    <row r="39" spans="2:6" ht="14.1" customHeight="1">
      <c r="B39" s="300" t="str">
        <f>IF(Indice_index!$Z$1=1,"Transferências do Orçamento do Estado","State Budget transfers")</f>
        <v>Transferências do Orçamento do Estado</v>
      </c>
      <c r="C39" s="4">
        <v>357.29784482000002</v>
      </c>
      <c r="D39" s="4">
        <v>468.75011199999994</v>
      </c>
      <c r="E39" s="4">
        <f t="shared" ref="E39:E65" si="2">IFERROR(IF(ABS((D39-C39)/C39)*100&gt;500,"-",((D39-C39)/C39)*100),0)</f>
        <v>31.193098082118993</v>
      </c>
      <c r="F39" s="4">
        <f>IFERROR((D39-C39)/C46*100,"-")</f>
        <v>1.4414203679189421</v>
      </c>
    </row>
    <row r="40" spans="2:6" ht="14.1" customHeight="1">
      <c r="B40" s="326" t="str">
        <f>IF(Indice_index!$Z$1=1,"Fundo de Equilíbrio Financeiro","Financial Balance Fund")</f>
        <v>Fundo de Equilíbrio Financeiro</v>
      </c>
      <c r="C40" s="4">
        <v>142.64128882</v>
      </c>
      <c r="D40" s="4">
        <v>146.26973599999999</v>
      </c>
      <c r="E40" s="4">
        <f t="shared" si="2"/>
        <v>2.5437565869015364</v>
      </c>
      <c r="F40" s="4">
        <f>IFERROR((D40-C40)/C46*100,"-")</f>
        <v>4.6926974224070189E-2</v>
      </c>
    </row>
    <row r="41" spans="2:6" ht="14.1" customHeight="1">
      <c r="B41" s="326" t="str">
        <f>IF(Indice_index!$Z$1=1,"Excedente (n.º 3 do artigo 35.º da Lei n.º 73/2013)","Surplus (Number 3 of article 35th of law number 73/2013)")</f>
        <v>Excedente (n.º 3 do artigo 35.º da Lei n.º 73/2013)</v>
      </c>
      <c r="C41" s="4">
        <v>214.65655600000002</v>
      </c>
      <c r="D41" s="4">
        <v>322.48037599999998</v>
      </c>
      <c r="E41" s="4">
        <f t="shared" si="2"/>
        <v>50.230853419636503</v>
      </c>
      <c r="F41" s="4">
        <f>IFERROR((D41-C41)/C46*100,"-")</f>
        <v>1.3944933936948722</v>
      </c>
    </row>
    <row r="42" spans="2:6" ht="14.1" customHeight="1">
      <c r="B42" s="172" t="str">
        <f>IF(Indice_index!$Z$1=1,"Outros subsetores das Administrações Públicas","Other General Government subsectors")</f>
        <v>Outros subsetores das Administrações Públicas</v>
      </c>
      <c r="C42" s="4">
        <v>5.4224292900000108</v>
      </c>
      <c r="D42" s="4">
        <v>8.5062632300000161</v>
      </c>
      <c r="E42" s="4">
        <f t="shared" si="2"/>
        <v>56.871814736011039</v>
      </c>
      <c r="F42" s="4">
        <f>IFERROR((D42-C42)/C46*100,"-")</f>
        <v>3.9883451138923089E-2</v>
      </c>
    </row>
    <row r="43" spans="2:6" ht="14.1" customHeight="1">
      <c r="B43" s="172" t="str">
        <f>IF(Indice_index!$Z$1=1,"União Europeia","European Union")</f>
        <v>União Europeia</v>
      </c>
      <c r="C43" s="4">
        <v>365.72775899058757</v>
      </c>
      <c r="D43" s="4">
        <v>503.7652019148544</v>
      </c>
      <c r="E43" s="4">
        <f t="shared" si="2"/>
        <v>37.743222801914627</v>
      </c>
      <c r="F43" s="4">
        <f>IFERROR((D43-C43)/C46*100,"-")</f>
        <v>1.7852484009602254</v>
      </c>
    </row>
    <row r="44" spans="2:6" ht="14.1" customHeight="1">
      <c r="B44" s="172" t="str">
        <f>IF(Indice_index!$Z$1=1,"Outras transferências","Other transfers")</f>
        <v>Outras transferências</v>
      </c>
      <c r="C44" s="4">
        <v>9.3122608599999985</v>
      </c>
      <c r="D44" s="4">
        <v>5.8084001021128397</v>
      </c>
      <c r="E44" s="4">
        <f t="shared" si="2"/>
        <v>-37.626316643874162</v>
      </c>
      <c r="F44" s="4">
        <f>IFERROR((D44-C44)/C46*100,"-")</f>
        <v>-4.5315688864486094E-2</v>
      </c>
    </row>
    <row r="45" spans="2:6" ht="14.1" customHeight="1">
      <c r="B45" s="125" t="str">
        <f>IF(Indice_index!$Z$1=1,"Outras receitas de capital","Other capital revenue")</f>
        <v>Outras receitas de capital</v>
      </c>
      <c r="C45" s="4">
        <v>13.052137069999995</v>
      </c>
      <c r="D45" s="4">
        <v>11.176953282825831</v>
      </c>
      <c r="E45" s="4">
        <f t="shared" si="2"/>
        <v>-14.366871701678846</v>
      </c>
      <c r="F45" s="4">
        <f>IFERROR((D45-C45)/C46*100,"-")</f>
        <v>-2.425188982525479E-2</v>
      </c>
    </row>
    <row r="46" spans="2:6" ht="14.1" customHeight="1">
      <c r="B46" s="30" t="str">
        <f>IF(Indice_index!$Z$1=1,"Receita efetiva","Effective revenue")</f>
        <v>Receita efetiva</v>
      </c>
      <c r="C46" s="18">
        <f>+C12+C34</f>
        <v>7732.1140772354765</v>
      </c>
      <c r="D46" s="18">
        <f>+D12+D34</f>
        <v>9003.770965940339</v>
      </c>
      <c r="E46" s="18">
        <f t="shared" si="2"/>
        <v>16.446432062465483</v>
      </c>
      <c r="F46" s="18">
        <f>IFERROR((D46-C46)/C46*100,"-")</f>
        <v>16.446432062465483</v>
      </c>
    </row>
    <row r="47" spans="2:6" ht="14.1" customHeight="1">
      <c r="B47" s="174" t="str">
        <f>IF(Indice_index!$Z$1=1,"Despesa corrente","Current expenditure")</f>
        <v>Despesa corrente</v>
      </c>
      <c r="C47" s="134">
        <f>+C48+C52+C53+C54+C57+C58</f>
        <v>5638.6116599527759</v>
      </c>
      <c r="D47" s="134">
        <f>+D48+D52+D53+D54+D57+D58</f>
        <v>6106.2281984621222</v>
      </c>
      <c r="E47" s="134">
        <f t="shared" si="2"/>
        <v>8.2931148075067593</v>
      </c>
      <c r="F47" s="134">
        <f>IFERROR((D47-C47)/C65*100,"-")</f>
        <v>6.4686483734409395</v>
      </c>
    </row>
    <row r="48" spans="2:6" ht="14.1" customHeight="1">
      <c r="B48" s="125" t="str">
        <f>IF(Indice_index!$Z$1=1,"Despesas com o pessoal","Employees")</f>
        <v>Despesas com o pessoal</v>
      </c>
      <c r="C48" s="4">
        <f>+C49+C50+C51</f>
        <v>2552.4308903526867</v>
      </c>
      <c r="D48" s="4">
        <f>+D49+D50+D51</f>
        <v>2771.7202045067338</v>
      </c>
      <c r="E48" s="4">
        <f t="shared" si="2"/>
        <v>8.5913908573542788</v>
      </c>
      <c r="F48" s="4">
        <f>IFERROR((D48-C48)/C65*100,"-")</f>
        <v>3.0334801028154916</v>
      </c>
    </row>
    <row r="49" spans="2:6" ht="14.1" customHeight="1">
      <c r="B49" s="172" t="str">
        <f>IF(Indice_index!$Z$1=1,"Remunerações certas e permanentes","Certain and permanent wages")</f>
        <v>Remunerações certas e permanentes</v>
      </c>
      <c r="C49" s="4">
        <v>1944.3897213035216</v>
      </c>
      <c r="D49" s="4">
        <v>2122.509853585183</v>
      </c>
      <c r="E49" s="4">
        <f t="shared" si="2"/>
        <v>9.1607217591260177</v>
      </c>
      <c r="F49" s="4">
        <f>IFERROR((D49-C49)/C65*100,"-")</f>
        <v>2.4639772315021</v>
      </c>
    </row>
    <row r="50" spans="2:6" ht="14.1" customHeight="1">
      <c r="B50" s="172" t="str">
        <f>IF(Indice_index!$Z$1=1,"Abonos variáveis ou eventuais","Variable or contingent bonuses")</f>
        <v>Abonos variáveis ou eventuais</v>
      </c>
      <c r="C50" s="4">
        <v>121.39322935687389</v>
      </c>
      <c r="D50" s="4">
        <v>137.23704973112805</v>
      </c>
      <c r="E50" s="4">
        <f t="shared" si="2"/>
        <v>13.051650786615316</v>
      </c>
      <c r="F50" s="4">
        <f>IFERROR((D50-C50)/C65*100,"-")</f>
        <v>0.21917125347986635</v>
      </c>
    </row>
    <row r="51" spans="2:6" ht="14.1" customHeight="1">
      <c r="B51" s="172" t="str">
        <f>IF(Indice_index!$Z$1=1,"Segurança Social","Social security")</f>
        <v>Segurança Social</v>
      </c>
      <c r="C51" s="4">
        <v>486.64793969229157</v>
      </c>
      <c r="D51" s="4">
        <v>511.97330119042272</v>
      </c>
      <c r="E51" s="4">
        <f t="shared" si="2"/>
        <v>5.204041655687357</v>
      </c>
      <c r="F51" s="4">
        <f>IFERROR((D51-C51)/C65*100,"-")</f>
        <v>0.35033161783352007</v>
      </c>
    </row>
    <row r="52" spans="2:6" ht="14.1" customHeight="1">
      <c r="B52" s="125" t="str">
        <f>IF(Indice_index!$Z$1=1,"Aquisição de bens e serviços","Purchase of goods and services")</f>
        <v>Aquisição de bens e serviços</v>
      </c>
      <c r="C52" s="4">
        <v>2034.4418421243361</v>
      </c>
      <c r="D52" s="4">
        <v>2249.8452954695258</v>
      </c>
      <c r="E52" s="4">
        <f t="shared" si="2"/>
        <v>10.587840305145733</v>
      </c>
      <c r="F52" s="4">
        <f>IFERROR((D52-C52)/C65*100,"-")</f>
        <v>2.9797260861573944</v>
      </c>
    </row>
    <row r="53" spans="2:6" ht="14.1" customHeight="1">
      <c r="B53" s="125" t="str">
        <f>IF(Indice_index!$Z$1=1,"Juros e outros encargos","Interests and other charges")</f>
        <v>Juros e outros encargos</v>
      </c>
      <c r="C53" s="4">
        <v>68.682515839999979</v>
      </c>
      <c r="D53" s="4">
        <v>60.289782240497246</v>
      </c>
      <c r="E53" s="4">
        <f t="shared" si="2"/>
        <v>-12.219607125420547</v>
      </c>
      <c r="F53" s="4">
        <f>IFERROR((D53-C53)/C65*100,"-")</f>
        <v>-0.11609863654568195</v>
      </c>
    </row>
    <row r="54" spans="2:6" ht="14.1" customHeight="1">
      <c r="B54" s="125" t="str">
        <f>IF(Indice_index!$Z$1=1,"Transferências correntes","Current transfers")</f>
        <v>Transferências correntes</v>
      </c>
      <c r="C54" s="4">
        <f>+C55+C56</f>
        <v>734.99756323184499</v>
      </c>
      <c r="D54" s="4">
        <f>+D55+D56</f>
        <v>755.7596320505329</v>
      </c>
      <c r="E54" s="4">
        <f t="shared" si="2"/>
        <v>2.8247806329309957</v>
      </c>
      <c r="F54" s="4">
        <f>IFERROR((D54-C54)/C65*100,"-")</f>
        <v>0.2872065284974733</v>
      </c>
    </row>
    <row r="55" spans="2:6" ht="14.1" customHeight="1">
      <c r="B55" s="172" t="str">
        <f>IF(Indice_index!$Z$1=1,"Subsetores das Administrações Públicas","General Government subsectors")</f>
        <v>Subsetores das Administrações Públicas</v>
      </c>
      <c r="C55" s="4">
        <v>287.10564645333358</v>
      </c>
      <c r="D55" s="4">
        <v>274.28455507333359</v>
      </c>
      <c r="E55" s="4">
        <f t="shared" si="2"/>
        <v>-4.4656353988091757</v>
      </c>
      <c r="F55" s="4">
        <f>IFERROR((D55-C55)/C65*100,"-")</f>
        <v>-0.17735714003048872</v>
      </c>
    </row>
    <row r="56" spans="2:6" ht="14.1" customHeight="1">
      <c r="B56" s="172" t="str">
        <f>IF(Indice_index!$Z$1=1,"Outras transferências","Other transfers")</f>
        <v>Outras transferências</v>
      </c>
      <c r="C56" s="4">
        <v>447.89191677851142</v>
      </c>
      <c r="D56" s="4">
        <v>481.47507697719931</v>
      </c>
      <c r="E56" s="4">
        <f t="shared" si="2"/>
        <v>7.4980500742761151</v>
      </c>
      <c r="F56" s="4">
        <f>IFERROR((D56-C56)/C65*100,"-")</f>
        <v>0.46456366852796205</v>
      </c>
    </row>
    <row r="57" spans="2:6" ht="14.1" customHeight="1">
      <c r="B57" s="125" t="str">
        <f>IF(Indice_index!$Z$1=1,"Subsídios","Subsidies")</f>
        <v>Subsídios</v>
      </c>
      <c r="C57" s="4">
        <v>134.94124247541436</v>
      </c>
      <c r="D57" s="4">
        <v>156.98821377269542</v>
      </c>
      <c r="E57" s="4">
        <f t="shared" si="2"/>
        <v>16.338200903476867</v>
      </c>
      <c r="F57" s="4">
        <f>IFERROR((D57-C57)/C65*100,"-")</f>
        <v>0.30498088343084934</v>
      </c>
    </row>
    <row r="58" spans="2:6" ht="14.1" customHeight="1">
      <c r="B58" s="125" t="str">
        <f>IF(Indice_index!$Z$1=1,"Outras despesas correntes","Other current expenditure")</f>
        <v>Outras despesas correntes</v>
      </c>
      <c r="C58" s="4">
        <v>113.11760592849427</v>
      </c>
      <c r="D58" s="4">
        <v>111.6250704221377</v>
      </c>
      <c r="E58" s="4">
        <f t="shared" si="2"/>
        <v>-1.3194546455483334</v>
      </c>
      <c r="F58" s="4">
        <f>IFERROR((D58-C58)/C65*100,"-")</f>
        <v>-2.0646590914584036E-2</v>
      </c>
    </row>
    <row r="59" spans="2:6" ht="14.1" customHeight="1">
      <c r="B59" s="174" t="str">
        <f>IF(Indice_index!$Z$1=1,"Despesa de capital","Capital expenditure")</f>
        <v>Despesa de capital</v>
      </c>
      <c r="C59" s="134">
        <f>+C60+C61+C64</f>
        <v>1590.3566115224885</v>
      </c>
      <c r="D59" s="134">
        <f>+D60+D61+D64</f>
        <v>2037.7485480773751</v>
      </c>
      <c r="E59" s="134">
        <f t="shared" si="2"/>
        <v>28.13154818947098</v>
      </c>
      <c r="F59" s="134">
        <f>IFERROR((D59-C59)/C65*100,"-")</f>
        <v>6.1888767491240388</v>
      </c>
    </row>
    <row r="60" spans="2:6" ht="14.1" customHeight="1">
      <c r="B60" s="125" t="str">
        <f>IF(Indice_index!$Z$1=1,"Aquisição de bens de capital","Purchase of capital goods")</f>
        <v>Aquisição de bens de capital</v>
      </c>
      <c r="C60" s="4">
        <v>1363.9446066328119</v>
      </c>
      <c r="D60" s="4">
        <v>1795.1838854552209</v>
      </c>
      <c r="E60" s="4">
        <f t="shared" si="2"/>
        <v>31.617066904719476</v>
      </c>
      <c r="F60" s="4">
        <f>IFERROR((D60-C60)/C65*100,"-")</f>
        <v>5.9654332766133873</v>
      </c>
    </row>
    <row r="61" spans="2:6" ht="14.1" customHeight="1">
      <c r="B61" s="125" t="str">
        <f>IF(Indice_index!$Z$1=1,"Transferências de capital","Capital transfers")</f>
        <v>Transferências de capital</v>
      </c>
      <c r="C61" s="4">
        <f>+C62+C63</f>
        <v>207.90898192967663</v>
      </c>
      <c r="D61" s="4">
        <f>+D62+D63</f>
        <v>230.76605527972163</v>
      </c>
      <c r="E61" s="4">
        <f t="shared" si="2"/>
        <v>10.993788309624932</v>
      </c>
      <c r="F61" s="4">
        <f>IFERROR((D61-C61)/C65*100,"-")</f>
        <v>0.3161872136060766</v>
      </c>
    </row>
    <row r="62" spans="2:6" ht="14.1" customHeight="1">
      <c r="B62" s="172" t="str">
        <f>IF(Indice_index!$Z$1=1,"Subsetores das Administrações Públicas","General Government subsectors")</f>
        <v>Subsetores das Administrações Públicas</v>
      </c>
      <c r="C62" s="4">
        <v>126.16959460000011</v>
      </c>
      <c r="D62" s="4">
        <v>126.04866947000011</v>
      </c>
      <c r="E62" s="4">
        <f t="shared" si="2"/>
        <v>-9.5843321351215052E-2</v>
      </c>
      <c r="F62" s="4">
        <f>IFERROR((D62-C62)/C65*100,"-")</f>
        <v>-1.6727854578800826E-3</v>
      </c>
    </row>
    <row r="63" spans="2:6" ht="14.1" customHeight="1">
      <c r="B63" s="172" t="str">
        <f>IF(Indice_index!$Z$1=1,"Outras transferências","Other transfers")</f>
        <v>Outras transferências</v>
      </c>
      <c r="C63" s="4">
        <v>81.739387329676518</v>
      </c>
      <c r="D63" s="4">
        <v>104.71738580972152</v>
      </c>
      <c r="E63" s="4">
        <f t="shared" si="2"/>
        <v>28.11129276926027</v>
      </c>
      <c r="F63" s="4">
        <f>IFERROR((D63-C63)/C65*100,"-")</f>
        <v>0.31785999906395673</v>
      </c>
    </row>
    <row r="64" spans="2:6" ht="14.1" customHeight="1">
      <c r="B64" s="125" t="str">
        <f>IF(Indice_index!$Z$1=1,"Outras despesas de capital","Other capital expenditure")</f>
        <v>Outras despesas de capital</v>
      </c>
      <c r="C64" s="4">
        <v>18.503022959999996</v>
      </c>
      <c r="D64" s="4">
        <v>11.798607342432367</v>
      </c>
      <c r="E64" s="4">
        <f t="shared" si="2"/>
        <v>-36.234163639429596</v>
      </c>
      <c r="F64" s="4">
        <f>IFERROR((D64-C64)/C65*100,"-")</f>
        <v>-9.2743741095427615E-2</v>
      </c>
    </row>
    <row r="65" spans="2:6" ht="14.1" customHeight="1">
      <c r="B65" s="30" t="str">
        <f>IF(Indice_index!$Z$1=1,"Despesa efetiva","Effective expenditure")</f>
        <v>Despesa efetiva</v>
      </c>
      <c r="C65" s="18">
        <f>+C47+C59</f>
        <v>7228.9682714752644</v>
      </c>
      <c r="D65" s="18">
        <f>+D47+D59</f>
        <v>8143.9767465394971</v>
      </c>
      <c r="E65" s="18">
        <f t="shared" si="2"/>
        <v>12.657525122564975</v>
      </c>
      <c r="F65" s="18">
        <f>IFERROR((D65-C65)/C65*100,"-")</f>
        <v>12.657525122564975</v>
      </c>
    </row>
    <row r="66" spans="2:6" ht="14.1" customHeight="1">
      <c r="B66" s="30" t="str">
        <f>IF(Indice_index!$Z$1=1,"Saldo global","Overall balance")</f>
        <v>Saldo global</v>
      </c>
      <c r="C66" s="18">
        <f>+C46-C65</f>
        <v>503.14580576021217</v>
      </c>
      <c r="D66" s="18">
        <f>+D46-D65</f>
        <v>859.79421940084194</v>
      </c>
      <c r="E66" s="18"/>
      <c r="F66" s="18"/>
    </row>
    <row r="67" spans="2:6" ht="14.1" customHeight="1">
      <c r="B67" s="125" t="str">
        <f>IF(Indice_index!$Z$1=1,"Despesa  primária","Primary Expenditure")</f>
        <v>Despesa  primária</v>
      </c>
      <c r="C67" s="4">
        <f>+C65-C53</f>
        <v>7160.2857556352646</v>
      </c>
      <c r="D67" s="4">
        <f>+D65-D53</f>
        <v>8083.6869642989996</v>
      </c>
      <c r="E67" s="4">
        <f>IFERROR(IF(ABS((D67-C67)/C67)*100&gt;500,"-",((D67-C67)/C67)*100),0)</f>
        <v>12.89615024005156</v>
      </c>
      <c r="F67" s="4">
        <f>IFERROR((D67-C67)/C65*100,"-")</f>
        <v>12.773623759110651</v>
      </c>
    </row>
    <row r="68" spans="2:6" ht="14.1" customHeight="1">
      <c r="B68" s="125" t="str">
        <f>IF(Indice_index!$Z$1=1,"Saldo primário","Primary balance")</f>
        <v>Saldo primário</v>
      </c>
      <c r="C68" s="4">
        <f>+C46-C67</f>
        <v>571.82832160021189</v>
      </c>
      <c r="D68" s="4">
        <f>+D46-D67</f>
        <v>920.08400164133946</v>
      </c>
      <c r="E68" s="4"/>
      <c r="F68" s="4"/>
    </row>
    <row r="69" spans="2:6" ht="14.1" customHeight="1">
      <c r="B69" s="125" t="str">
        <f>IF(Indice_index!$Z$1=1,"Saldo corrente","Current balance")</f>
        <v>Saldo corrente</v>
      </c>
      <c r="C69" s="4">
        <f>+C12-C47</f>
        <v>1090.7584089617776</v>
      </c>
      <c r="D69" s="4">
        <f>+D12-D47</f>
        <v>1510.2958284144588</v>
      </c>
      <c r="E69" s="4"/>
      <c r="F69" s="4"/>
    </row>
    <row r="70" spans="2:6" ht="14.1" customHeight="1">
      <c r="B70" s="125" t="str">
        <f>IF(Indice_index!$Z$1=1,"Saldo de capital","Capital balance")</f>
        <v>Saldo de capital</v>
      </c>
      <c r="C70" s="4">
        <f>+C34-C59</f>
        <v>-587.61260320156532</v>
      </c>
      <c r="D70" s="4">
        <f>+D34-D59</f>
        <v>-650.50160901361733</v>
      </c>
      <c r="E70" s="4"/>
      <c r="F70" s="4"/>
    </row>
    <row r="71" spans="2:6" ht="14.1" customHeight="1">
      <c r="B71" s="125" t="str">
        <f>IF(Indice_index!$Z$1=1,"Ativos financeiros líquidos de reembolsos","Financial assets net of reimbursements")</f>
        <v>Ativos financeiros líquidos de reembolsos</v>
      </c>
      <c r="C71" s="4">
        <v>-38.043709180000022</v>
      </c>
      <c r="D71" s="4">
        <v>21.404248190000033</v>
      </c>
      <c r="E71" s="4"/>
      <c r="F71" s="4"/>
    </row>
    <row r="72" spans="2:6" ht="14.1" customHeight="1">
      <c r="B72" s="297" t="str">
        <f>IF(Indice_index!$Z$1=1,"dos quais Receitas de:","of which Revenues of")</f>
        <v>dos quais Receitas de:</v>
      </c>
      <c r="C72" s="4"/>
      <c r="D72" s="4"/>
      <c r="E72" s="4"/>
      <c r="F72" s="4"/>
    </row>
    <row r="73" spans="2:6" ht="14.1" customHeight="1">
      <c r="B73" s="284" t="str">
        <f>IF(Indice_index!$Z$1=1,"Alienação de partes de capital","Divestment of company shares")</f>
        <v>Alienação de partes de capital</v>
      </c>
      <c r="C73" s="295">
        <v>0</v>
      </c>
      <c r="D73" s="295">
        <v>0</v>
      </c>
      <c r="E73" s="4"/>
      <c r="F73" s="4"/>
    </row>
    <row r="74" spans="2:6" ht="14.1" customHeight="1">
      <c r="B74" s="284" t="str">
        <f>IF(Indice_index!$Z$1=1,"Outros ativos","Other Financial assets")</f>
        <v>Outros ativos</v>
      </c>
      <c r="C74" s="4">
        <v>151.83289537000002</v>
      </c>
      <c r="D74" s="4">
        <v>150.08794363999999</v>
      </c>
      <c r="E74" s="4"/>
      <c r="F74" s="4"/>
    </row>
    <row r="75" spans="2:6" ht="14.1" customHeight="1">
      <c r="B75" s="125" t="str">
        <f>IF(Indice_index!$Z$1=1,"Passivos financeiros líquidos de amortizações","Financial liabilities net of amortizations")</f>
        <v>Passivos financeiros líquidos de amortizações</v>
      </c>
      <c r="C75" s="4">
        <v>6.8483422100000837</v>
      </c>
      <c r="D75" s="4">
        <v>66.995518550000043</v>
      </c>
      <c r="E75" s="4"/>
      <c r="F75" s="4"/>
    </row>
    <row r="76" spans="2:6" ht="14.1" customHeight="1">
      <c r="B76" s="125" t="str">
        <f>IF(Indice_index!$Z$1=1,"Poupança (+) / Utilização (-) de saldo da gerência anterior","Saving (+) / Usage (-) of balance from previous management")</f>
        <v>Poupança (+) / Utilização (-) de saldo da gerência anterior</v>
      </c>
      <c r="C76" s="4">
        <f>+C66-C71+C75</f>
        <v>548.03785715021229</v>
      </c>
      <c r="D76" s="4">
        <f>+D66-D71+D75</f>
        <v>905.38548976084189</v>
      </c>
      <c r="E76" s="4"/>
      <c r="F76" s="4"/>
    </row>
    <row r="77" spans="2:6" ht="14.1" customHeight="1">
      <c r="B77" s="173" t="str">
        <f>IF(Indice_index!$Z$1=1,"Taxa de comparticip. financiam. europeu","European financing rate")</f>
        <v>Taxa de comparticip. financiam. europeu</v>
      </c>
      <c r="C77" s="327">
        <f>+C43/C60</f>
        <v>0.26813974498089371</v>
      </c>
      <c r="D77" s="327">
        <f>+D43/D60</f>
        <v>0.28062038992017252</v>
      </c>
      <c r="E77" s="19"/>
      <c r="F77" s="19"/>
    </row>
    <row r="78" spans="2:6" ht="15">
      <c r="B78" s="9" t="str">
        <f>IF(Indice_index!$Z$1=1,"Notas:","Notes:")</f>
        <v>Notas:</v>
      </c>
      <c r="C78" s="168"/>
      <c r="D78" s="9"/>
      <c r="E78" s="9"/>
      <c r="F78" s="9"/>
    </row>
    <row r="79" spans="2:6" ht="24.75" customHeight="1">
      <c r="B79" s="428" t="str">
        <f>IF(Indice_index!$Z$1=1,"Os valores de execução orçamental da Administração Local constantes do presente quadro não incluem a execução orçamental das freguesias.","Local Government monthly data does not include parishes financial data.")</f>
        <v>Os valores de execução orçamental da Administração Local constantes do presente quadro não incluem a execução orçamental das freguesias.</v>
      </c>
      <c r="C79" s="429"/>
      <c r="D79" s="429"/>
      <c r="E79" s="429"/>
      <c r="F79" s="429"/>
    </row>
    <row r="80" spans="2:6" ht="24.75" customHeight="1">
      <c r="B80" s="428" t="str">
        <f>IF(Indice_index!$Z$1=1,"As linhas de receita relativas às transferências no âmbito da Lei de Finanças Locais excluem as transferências relativas ao Fundo de Financiamento das Freguesias.","Revenues derived from the Local Government Financing Law do not include transfers from the Parishes Financing Fund." )</f>
        <v>As linhas de receita relativas às transferências no âmbito da Lei de Finanças Locais excluem as transferências relativas ao Fundo de Financiamento das Freguesias.</v>
      </c>
      <c r="C80" s="428"/>
      <c r="D80" s="428"/>
      <c r="E80" s="428"/>
      <c r="F80" s="428"/>
    </row>
    <row r="81" spans="2:7" ht="15" hidden="1">
      <c r="B81" s="427"/>
      <c r="C81" s="427"/>
      <c r="D81" s="427"/>
      <c r="E81" s="427"/>
      <c r="F81" s="427"/>
      <c r="G81" s="83"/>
    </row>
    <row r="82" spans="2:7" ht="15">
      <c r="B82" s="256">
        <v>2024</v>
      </c>
      <c r="C82" s="256"/>
      <c r="D82" s="256"/>
      <c r="E82" s="256"/>
      <c r="F82" s="256"/>
      <c r="G82" s="83"/>
    </row>
    <row r="83" spans="2:7" ht="15">
      <c r="B83" s="421" t="str">
        <f>IF(Indice_index!$Z$1=1,"Dados reportados de 2024: receita 307 municípios; despesa 307 municípios. Em falta: receita 1; despesa 1.","Entities in default (revenue 1 municipalities, expenditure 1 municipalities) in the reporting of budget execution, in the month under review:")</f>
        <v>Dados reportados de 2024: receita 307 municípios; despesa 307 municípios. Em falta: receita 1; despesa 1.</v>
      </c>
      <c r="C83" s="421"/>
      <c r="D83" s="421"/>
      <c r="E83" s="421"/>
      <c r="F83" s="421"/>
      <c r="G83" s="83"/>
    </row>
    <row r="84" spans="2:7" ht="15">
      <c r="B84" s="422">
        <v>2025</v>
      </c>
      <c r="C84" s="422"/>
      <c r="D84" s="422"/>
      <c r="E84" s="269"/>
      <c r="F84" s="269"/>
      <c r="G84" s="83"/>
    </row>
    <row r="85" spans="2:7" ht="15">
      <c r="B85" s="421" t="str">
        <f>IF(Indice_index!$Z$1=1,"Dados reportados de 2025: receita 279 municípios; despesa 279 municípios. Em falta: receita 29; despesa 29.","Entities in default (revenue 29 municipalities, expenditure 29 municipalities) in the reporting of budget execution, in the month under review:")</f>
        <v>Dados reportados de 2025: receita 279 municípios; despesa 279 municípios. Em falta: receita 29; despesa 29.</v>
      </c>
      <c r="C85" s="421"/>
      <c r="D85" s="421"/>
      <c r="E85" s="421"/>
      <c r="F85" s="421"/>
      <c r="G85" s="83"/>
    </row>
    <row r="86" spans="2:7" ht="24.75" customHeight="1">
      <c r="B86" s="423" t="str">
        <f>IF(Indice_index!$Z$1=1,"O universo de reportes ainda incompleto resulta de constrangimentos decorrentes da implementação do SNC-AP na Administração Local em 2020. Para os municípios sem reporte foi usada a execução homóloga corrigida.","The universe of reports still incomplete results from constraints resulting from the implementation of the SNC-AP in the Local Government in 2020. For municipalities without reporting, corrected homologous execution was used.")</f>
        <v>O universo de reportes ainda incompleto resulta de constrangimentos decorrentes da implementação do SNC-AP na Administração Local em 2020. Para os municípios sem reporte foi usada a execução homóloga corrigida.</v>
      </c>
      <c r="C86" s="424"/>
      <c r="D86" s="424"/>
      <c r="E86" s="424"/>
      <c r="F86" s="424"/>
      <c r="G86" s="83"/>
    </row>
    <row r="87" spans="2:7" ht="24.75" customHeight="1">
      <c r="B87" s="423" t="str">
        <f>IF(Indice_index!$Z$1=1,"Fonte: Entidade Orçamental, com base nos dados da execução orçamental dos municípios reportada pela Direção-Geral das Autarquias Locais através do SIIAL/SISAL e reporte alternativo provisório.","Source: Budgetary Entity, based on the data of budget execution of municipalities reported by DGAL (General Directorate of Municioalities) through the SIIAL/SISAL and provisional alternative report.")</f>
        <v>Fonte: Entidade Orçamental, com base nos dados da execução orçamental dos municípios reportada pela Direção-Geral das Autarquias Locais através do SIIAL/SISAL e reporte alternativo provisório.</v>
      </c>
      <c r="C87" s="424"/>
      <c r="D87" s="424"/>
      <c r="E87" s="424"/>
      <c r="F87" s="424"/>
      <c r="G87" s="129"/>
    </row>
    <row r="88" spans="2:7" ht="15">
      <c r="C88" s="84"/>
      <c r="D88" s="84"/>
      <c r="E88" s="84"/>
      <c r="F88" s="84"/>
      <c r="G88" s="85"/>
    </row>
    <row r="89" spans="2:7" ht="15" hidden="1">
      <c r="B89" s="425"/>
      <c r="C89" s="426"/>
      <c r="D89" s="426"/>
      <c r="E89" s="426"/>
      <c r="F89" s="426"/>
      <c r="G89" s="85"/>
    </row>
    <row r="90" spans="2:7" ht="15" hidden="1">
      <c r="B90" s="130"/>
      <c r="C90" s="131"/>
      <c r="D90" s="131"/>
      <c r="E90" s="131"/>
      <c r="F90" s="131"/>
      <c r="G90" s="85"/>
    </row>
    <row r="91" spans="2:7" ht="15" hidden="1">
      <c r="C91" s="86"/>
      <c r="D91" s="86"/>
      <c r="E91" s="86"/>
      <c r="F91" s="86"/>
    </row>
    <row r="92" spans="2:7" ht="15" hidden="1">
      <c r="B92" s="88"/>
      <c r="C92" s="88"/>
      <c r="D92" s="88"/>
      <c r="E92" s="88"/>
      <c r="F92" s="88"/>
    </row>
    <row r="93" spans="2:7" ht="15" hidden="1">
      <c r="B93" s="417"/>
      <c r="C93" s="417"/>
      <c r="D93" s="417"/>
      <c r="E93" s="417"/>
      <c r="F93" s="417"/>
      <c r="G93" s="87"/>
    </row>
    <row r="94" spans="2:7" ht="15" hidden="1"/>
    <row r="95" spans="2:7" ht="15" hidden="1">
      <c r="B95" s="89"/>
      <c r="C95" s="90"/>
      <c r="D95" s="90"/>
      <c r="E95" s="90"/>
      <c r="F95" s="90"/>
      <c r="G95" s="90"/>
    </row>
    <row r="96" spans="2:7" ht="15" hidden="1">
      <c r="B96" s="418"/>
      <c r="C96" s="419"/>
      <c r="D96" s="419"/>
      <c r="E96" s="419"/>
      <c r="F96" s="419"/>
      <c r="G96" s="419"/>
    </row>
    <row r="98" spans="2:6" ht="15" hidden="1">
      <c r="B98" s="420"/>
      <c r="C98" s="420"/>
      <c r="D98" s="420"/>
      <c r="E98" s="420"/>
      <c r="F98" s="420"/>
    </row>
  </sheetData>
  <mergeCells count="15">
    <mergeCell ref="B81:F81"/>
    <mergeCell ref="B10:B11"/>
    <mergeCell ref="C10:D10"/>
    <mergeCell ref="E10:F10"/>
    <mergeCell ref="B79:F79"/>
    <mergeCell ref="B80:F80"/>
    <mergeCell ref="B93:F93"/>
    <mergeCell ref="B96:G96"/>
    <mergeCell ref="B98:F98"/>
    <mergeCell ref="B83:F83"/>
    <mergeCell ref="B84:D84"/>
    <mergeCell ref="B85:F85"/>
    <mergeCell ref="B86:F86"/>
    <mergeCell ref="B87:F87"/>
    <mergeCell ref="B89:F89"/>
  </mergeCells>
  <conditionalFormatting sqref="C12:F45">
    <cfRule type="cellIs" dxfId="38" priority="1" operator="equal">
      <formula>0</formula>
    </cfRule>
  </conditionalFormatting>
  <conditionalFormatting sqref="C47:F64">
    <cfRule type="cellIs" dxfId="37" priority="2" operator="equal">
      <formula>0</formula>
    </cfRule>
  </conditionalFormatting>
  <conditionalFormatting sqref="C67:F77">
    <cfRule type="cellIs" dxfId="36" priority="5" operator="equal">
      <formula>0</formula>
    </cfRule>
  </conditionalFormatting>
  <pageMargins left="0.70866141732283472" right="0.70866141732283472" top="0.74803149606299213" bottom="0.74803149606299213" header="0.31496062992125984" footer="0.31496062992125984"/>
  <pageSetup paperSize="9" scale="58" orientation="portrait" r:id="rId1"/>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pageSetUpPr fitToPage="1"/>
  </sheetPr>
  <dimension ref="A1:M64"/>
  <sheetViews>
    <sheetView showGridLines="0" workbookViewId="0"/>
  </sheetViews>
  <sheetFormatPr defaultColWidth="0" defaultRowHeight="14.85" customHeight="1" zeroHeight="1"/>
  <cols>
    <col min="1" max="1" width="8.5703125" style="20" customWidth="1"/>
    <col min="2" max="2" width="42.42578125" style="28" customWidth="1"/>
    <col min="3" max="4" width="10.28515625" style="28" customWidth="1"/>
    <col min="5" max="5" width="10.28515625" customWidth="1"/>
    <col min="6" max="7" width="10.28515625" style="28" customWidth="1"/>
    <col min="8" max="8" width="10.28515625" customWidth="1"/>
    <col min="9" max="9" width="9.42578125" customWidth="1"/>
    <col min="10" max="16384" width="9.42578125" hidden="1"/>
  </cols>
  <sheetData>
    <row r="1" spans="1:13" ht="15">
      <c r="A1" s="10"/>
    </row>
    <row r="2" spans="1:13" ht="15">
      <c r="A2" s="11"/>
    </row>
    <row r="3" spans="1:13" ht="15">
      <c r="A3" s="11"/>
    </row>
    <row r="4" spans="1:13" ht="15">
      <c r="A4" s="11"/>
    </row>
    <row r="5" spans="1:13" ht="18" customHeight="1">
      <c r="A5"/>
      <c r="B5" s="270" t="str">
        <f>IF(Indice_index!$Z$1=1,"ANEXOS ESTATÍSTICOS","STATISTICAL ANNEXES")</f>
        <v>ANEXOS ESTATÍSTICOS</v>
      </c>
      <c r="C5"/>
      <c r="D5"/>
      <c r="F5"/>
      <c r="G5"/>
    </row>
    <row r="6" spans="1:13" ht="18" customHeight="1">
      <c r="A6"/>
      <c r="B6" s="271" t="str">
        <f>IF(Indice_index!$Z$1=1,"Agosto de 2025","August 2025")</f>
        <v>Agosto de 2025</v>
      </c>
      <c r="C6"/>
      <c r="D6"/>
      <c r="F6"/>
      <c r="G6"/>
    </row>
    <row r="7" spans="1:13" ht="48.75" customHeight="1">
      <c r="A7" s="11"/>
      <c r="B7" s="12"/>
      <c r="C7" s="13"/>
      <c r="D7" s="11"/>
      <c r="E7" s="11"/>
      <c r="F7" s="13"/>
      <c r="G7" s="11"/>
      <c r="H7" s="11"/>
      <c r="I7" s="10"/>
    </row>
    <row r="8" spans="1:13" ht="15.75">
      <c r="A8" s="80"/>
      <c r="B8" s="1" t="str">
        <f>IF(Indice_index!$Z$1=1,"Quadro 14 - Plano de Recuperação e Resiliência - Conta Consolidada da Administração Central","14 -Recovery and Resilience Plan - Central Administration Consolidated Account")</f>
        <v>Quadro 14 - Plano de Recuperação e Resiliência - Conta Consolidada da Administração Central</v>
      </c>
      <c r="C8" s="80"/>
      <c r="D8" s="80"/>
      <c r="E8" s="80"/>
      <c r="F8" s="80"/>
      <c r="G8" s="80"/>
      <c r="H8" s="80"/>
      <c r="I8" s="81"/>
      <c r="J8" s="81"/>
      <c r="K8" s="81"/>
      <c r="L8" s="43"/>
      <c r="M8" s="80"/>
    </row>
    <row r="9" spans="1:13" ht="15">
      <c r="A9" s="80"/>
      <c r="B9" s="3" t="str">
        <f>+'3 - Conta AC + SS'!B9</f>
        <v>Período: janeiro a agosto</v>
      </c>
      <c r="C9" s="80"/>
      <c r="D9" s="80"/>
      <c r="E9" s="80"/>
      <c r="F9" s="80"/>
      <c r="G9" s="80"/>
      <c r="H9" s="3" t="str">
        <f>IF(Indice_index!$Z$1=1,"€ Milhões","€ Millions")</f>
        <v>€ Milhões</v>
      </c>
      <c r="I9" s="81"/>
      <c r="J9" s="81"/>
      <c r="K9" s="81"/>
      <c r="L9" s="43"/>
      <c r="M9" s="80"/>
    </row>
    <row r="10" spans="1:13" ht="15">
      <c r="B10" s="389"/>
      <c r="C10" s="369" t="str">
        <f>IF(Indice_index!$Z$1=1,"Execução Acumulada","Accumulated Execution")</f>
        <v>Execução Acumulada</v>
      </c>
      <c r="D10" s="370"/>
      <c r="E10" s="370"/>
      <c r="F10" s="370"/>
      <c r="G10" s="370"/>
      <c r="H10" s="371"/>
    </row>
    <row r="11" spans="1:13" ht="15">
      <c r="B11" s="389"/>
      <c r="C11" s="391">
        <v>2024</v>
      </c>
      <c r="D11" s="387"/>
      <c r="E11" s="388"/>
      <c r="F11" s="391">
        <v>2025</v>
      </c>
      <c r="G11" s="387"/>
      <c r="H11" s="388"/>
    </row>
    <row r="12" spans="1:13" ht="24">
      <c r="B12" s="389"/>
      <c r="C12" s="22" t="str">
        <f>IF(Indice_index!$Z$1=1,"PRR","Recovery and Resilience Plan")</f>
        <v>PRR</v>
      </c>
      <c r="D12" s="22" t="str">
        <f>IF(Indice_index!$Z$1=1,"Esforço Nacional","National Effort")</f>
        <v>Esforço Nacional</v>
      </c>
      <c r="E12" s="22" t="s">
        <v>533</v>
      </c>
      <c r="F12" s="22" t="str">
        <f>IF(Indice_index!$Z$1=1,"PRR","Recovery and Resilience Plan")</f>
        <v>PRR</v>
      </c>
      <c r="G12" s="22" t="str">
        <f>IF(Indice_index!$Z$1=1,"Esforço Nacional","National Effort")</f>
        <v>Esforço Nacional</v>
      </c>
      <c r="H12" s="22" t="s">
        <v>533</v>
      </c>
    </row>
    <row r="13" spans="1:13" ht="14.1" customHeight="1">
      <c r="B13" s="174" t="str">
        <f>IF(Indice_index!$Z$1=1,"Receita corrente","Current revenue")</f>
        <v>Receita corrente</v>
      </c>
      <c r="C13" s="134">
        <f t="shared" ref="C13:H13" si="0">+C15+C16+C17+C18+C22+C23</f>
        <v>447.57855037000002</v>
      </c>
      <c r="D13" s="134">
        <f t="shared" si="0"/>
        <v>13.680775760000003</v>
      </c>
      <c r="E13" s="134">
        <f t="shared" si="0"/>
        <v>457.66988870000006</v>
      </c>
      <c r="F13" s="134">
        <f t="shared" si="0"/>
        <v>526.73856259000002</v>
      </c>
      <c r="G13" s="134">
        <f t="shared" si="0"/>
        <v>80.488882480000001</v>
      </c>
      <c r="H13" s="134">
        <f t="shared" si="0"/>
        <v>591.81834862000005</v>
      </c>
    </row>
    <row r="14" spans="1:13" ht="14.1" hidden="1" customHeight="1">
      <c r="B14" s="125" t="s">
        <v>501</v>
      </c>
      <c r="C14" s="4">
        <f t="shared" ref="C14:H14" si="1">+C15+C16</f>
        <v>0</v>
      </c>
      <c r="D14" s="4">
        <f t="shared" si="1"/>
        <v>0</v>
      </c>
      <c r="E14" s="4">
        <f t="shared" si="1"/>
        <v>0</v>
      </c>
      <c r="F14" s="4">
        <f t="shared" si="1"/>
        <v>0</v>
      </c>
      <c r="G14" s="4">
        <f t="shared" si="1"/>
        <v>0</v>
      </c>
      <c r="H14" s="4">
        <f t="shared" si="1"/>
        <v>0</v>
      </c>
    </row>
    <row r="15" spans="1:13" ht="14.1" hidden="1" customHeight="1">
      <c r="B15" s="172" t="s">
        <v>502</v>
      </c>
      <c r="C15" s="134">
        <v>0</v>
      </c>
      <c r="D15" s="134">
        <v>0</v>
      </c>
      <c r="E15" s="134">
        <v>0</v>
      </c>
      <c r="F15" s="134">
        <v>0</v>
      </c>
      <c r="G15" s="134">
        <v>0</v>
      </c>
      <c r="H15" s="134">
        <v>0</v>
      </c>
    </row>
    <row r="16" spans="1:13" ht="13.5" hidden="1" customHeight="1">
      <c r="B16" s="172" t="s">
        <v>503</v>
      </c>
      <c r="C16" s="4">
        <v>0</v>
      </c>
      <c r="D16" s="4">
        <v>0</v>
      </c>
      <c r="E16" s="4">
        <v>0</v>
      </c>
      <c r="F16" s="4">
        <v>0</v>
      </c>
      <c r="G16" s="4">
        <v>0</v>
      </c>
      <c r="H16" s="4">
        <v>0</v>
      </c>
    </row>
    <row r="17" spans="2:8" ht="13.5" hidden="1" customHeight="1">
      <c r="B17" s="125" t="s">
        <v>504</v>
      </c>
      <c r="C17" s="134">
        <v>0</v>
      </c>
      <c r="D17" s="134">
        <v>0</v>
      </c>
      <c r="E17" s="134">
        <v>0</v>
      </c>
      <c r="F17" s="134">
        <v>0</v>
      </c>
      <c r="G17" s="134">
        <v>0</v>
      </c>
      <c r="H17" s="134">
        <v>0</v>
      </c>
    </row>
    <row r="18" spans="2:8" ht="14.1" customHeight="1">
      <c r="B18" s="125" t="str">
        <f>IF(Indice_index!$Z$1=1,"Transferências correntes","Current transfers")</f>
        <v>Transferências correntes</v>
      </c>
      <c r="C18" s="4">
        <f t="shared" ref="C18:H18" si="2">+C19+C20</f>
        <v>436.41243906</v>
      </c>
      <c r="D18" s="4">
        <f t="shared" si="2"/>
        <v>2.8630188599999999</v>
      </c>
      <c r="E18" s="4">
        <f t="shared" si="2"/>
        <v>439.27545792000001</v>
      </c>
      <c r="F18" s="4">
        <f t="shared" si="2"/>
        <v>514.42644595000002</v>
      </c>
      <c r="G18" s="4">
        <f t="shared" si="2"/>
        <v>8.1983273099999998</v>
      </c>
      <c r="H18" s="4">
        <f t="shared" si="2"/>
        <v>522.62477325999998</v>
      </c>
    </row>
    <row r="19" spans="2:8" ht="13.5" customHeight="1">
      <c r="B19" s="172" t="s">
        <v>505</v>
      </c>
      <c r="C19" s="4">
        <v>0</v>
      </c>
      <c r="D19" s="4">
        <v>0</v>
      </c>
      <c r="E19" s="4">
        <v>0</v>
      </c>
      <c r="F19" s="4">
        <v>0</v>
      </c>
      <c r="G19" s="4">
        <v>0</v>
      </c>
      <c r="H19" s="4">
        <v>0</v>
      </c>
    </row>
    <row r="20" spans="2:8" ht="14.1" customHeight="1">
      <c r="B20" s="172" t="str">
        <f>IF(Indice_index!$Z$1=1,"Outras","Others")</f>
        <v>Outras</v>
      </c>
      <c r="C20" s="4">
        <v>436.41243906</v>
      </c>
      <c r="D20" s="4">
        <v>2.8630188599999999</v>
      </c>
      <c r="E20" s="4">
        <v>439.27545792000001</v>
      </c>
      <c r="F20" s="4">
        <v>514.42644595000002</v>
      </c>
      <c r="G20" s="4">
        <v>8.1983273099999998</v>
      </c>
      <c r="H20" s="4">
        <v>522.62477325999998</v>
      </c>
    </row>
    <row r="21" spans="2:8" ht="14.1" customHeight="1">
      <c r="B21" s="306" t="str">
        <f>IF(Indice_index!$Z$1=1,"Das quais: U.E.","of which U.E.")</f>
        <v>Das quais: U.E.</v>
      </c>
      <c r="C21" s="4">
        <v>435.75496801000003</v>
      </c>
      <c r="D21" s="4">
        <v>2.8630188599999999</v>
      </c>
      <c r="E21" s="4">
        <v>438.61798687000004</v>
      </c>
      <c r="F21" s="4">
        <v>512.83000970000001</v>
      </c>
      <c r="G21" s="4">
        <v>8.0585665999999989</v>
      </c>
      <c r="H21" s="4">
        <v>520.88857630000007</v>
      </c>
    </row>
    <row r="22" spans="2:8" ht="14.1" customHeight="1">
      <c r="B22" s="125" t="str">
        <f>IF(Indice_index!$Z$1=1,"Outras receitas correntes","Other current revenue")</f>
        <v>Outras receitas correntes</v>
      </c>
      <c r="C22" s="4">
        <v>0.98333934999999983</v>
      </c>
      <c r="D22" s="4">
        <v>10.064806640000002</v>
      </c>
      <c r="E22" s="4">
        <v>11.048145989999998</v>
      </c>
      <c r="F22" s="4">
        <v>12.312116640000001</v>
      </c>
      <c r="G22" s="4">
        <v>23.184788560000001</v>
      </c>
      <c r="H22" s="4">
        <v>35.4969052</v>
      </c>
    </row>
    <row r="23" spans="2:8" ht="14.1" customHeight="1">
      <c r="B23" s="125" t="str">
        <f>IF(Indice_index!$Z$1=1,"Diferenças de consolidação","Consolidation differences")</f>
        <v>Diferenças de consolidação</v>
      </c>
      <c r="C23" s="4">
        <v>10.182771959999998</v>
      </c>
      <c r="D23" s="4">
        <v>0.75295026000000009</v>
      </c>
      <c r="E23" s="4">
        <v>7.3462847900000021</v>
      </c>
      <c r="F23" s="4">
        <v>0</v>
      </c>
      <c r="G23" s="4">
        <v>49.105766610000003</v>
      </c>
      <c r="H23" s="4">
        <v>33.696670160000004</v>
      </c>
    </row>
    <row r="24" spans="2:8" ht="14.1" customHeight="1">
      <c r="B24" s="174" t="str">
        <f>IF(Indice_index!$Z$1=1,"Receita de capital","Capital revenue")</f>
        <v>Receita de capital</v>
      </c>
      <c r="C24" s="134">
        <f t="shared" ref="C24:H24" si="3">+C25+C26+C30+C31</f>
        <v>1059.1758972300001</v>
      </c>
      <c r="D24" s="134">
        <f t="shared" si="3"/>
        <v>2.3336183400000001</v>
      </c>
      <c r="E24" s="134">
        <f t="shared" si="3"/>
        <v>1061.5095155700003</v>
      </c>
      <c r="F24" s="134">
        <f t="shared" si="3"/>
        <v>1170.9580779799999</v>
      </c>
      <c r="G24" s="134">
        <f t="shared" si="3"/>
        <v>13.851791820000001</v>
      </c>
      <c r="H24" s="134">
        <f t="shared" si="3"/>
        <v>1180.1987307000002</v>
      </c>
    </row>
    <row r="25" spans="2:8" ht="13.5" hidden="1" customHeight="1">
      <c r="B25" s="125" t="s">
        <v>506</v>
      </c>
      <c r="C25" s="134">
        <v>0</v>
      </c>
      <c r="D25" s="134">
        <v>0</v>
      </c>
      <c r="E25" s="134">
        <v>0</v>
      </c>
      <c r="F25" s="134">
        <v>0</v>
      </c>
      <c r="G25" s="134">
        <v>0</v>
      </c>
      <c r="H25" s="134">
        <v>0</v>
      </c>
    </row>
    <row r="26" spans="2:8" ht="14.1" customHeight="1">
      <c r="B26" s="125" t="str">
        <f>IF(Indice_index!$Z$1=1,"Transferências de capital","Capital transfers")</f>
        <v>Transferências de capital</v>
      </c>
      <c r="C26" s="4">
        <f t="shared" ref="C26:H26" si="4">+C27+C28</f>
        <v>1059.1758972300001</v>
      </c>
      <c r="D26" s="4">
        <f t="shared" si="4"/>
        <v>2.2996982699999999</v>
      </c>
      <c r="E26" s="4">
        <f t="shared" si="4"/>
        <v>1061.4755955000003</v>
      </c>
      <c r="F26" s="4">
        <f t="shared" si="4"/>
        <v>1151.3919976099999</v>
      </c>
      <c r="G26" s="4">
        <f t="shared" si="4"/>
        <v>3.5212747499999999</v>
      </c>
      <c r="H26" s="4">
        <f t="shared" si="4"/>
        <v>1154.9132723600001</v>
      </c>
    </row>
    <row r="27" spans="2:8" ht="13.5" customHeight="1">
      <c r="B27" s="172" t="s">
        <v>505</v>
      </c>
      <c r="C27" s="4">
        <v>0</v>
      </c>
      <c r="D27" s="4">
        <v>0</v>
      </c>
      <c r="E27" s="4">
        <v>0</v>
      </c>
      <c r="F27" s="4">
        <v>2.637198E-2</v>
      </c>
      <c r="G27" s="4">
        <v>0</v>
      </c>
      <c r="H27" s="4">
        <v>2.637198E-2</v>
      </c>
    </row>
    <row r="28" spans="2:8" ht="14.1" customHeight="1">
      <c r="B28" s="172" t="str">
        <f>IF(Indice_index!$Z$1=1,"Outras","Others")</f>
        <v>Outras</v>
      </c>
      <c r="C28" s="4">
        <v>1059.1758972300001</v>
      </c>
      <c r="D28" s="4">
        <v>2.2996982699999999</v>
      </c>
      <c r="E28" s="4">
        <v>1061.4755955000003</v>
      </c>
      <c r="F28" s="4">
        <v>1151.3656256299998</v>
      </c>
      <c r="G28" s="4">
        <v>3.5212747499999999</v>
      </c>
      <c r="H28" s="4">
        <v>1154.88690038</v>
      </c>
    </row>
    <row r="29" spans="2:8" ht="14.1" customHeight="1">
      <c r="B29" s="306" t="str">
        <f>IF(Indice_index!$Z$1=1,"Das quais: U.E.","of which U.E.")</f>
        <v>Das quais: U.E.</v>
      </c>
      <c r="C29" s="4">
        <v>1059.0801193700001</v>
      </c>
      <c r="D29" s="4">
        <v>2.2996982699999999</v>
      </c>
      <c r="E29" s="4">
        <v>1061.3798176400003</v>
      </c>
      <c r="F29" s="4">
        <v>1149.9315455599999</v>
      </c>
      <c r="G29" s="4">
        <v>3.5212747499999999</v>
      </c>
      <c r="H29" s="4">
        <v>1153.4528203100001</v>
      </c>
    </row>
    <row r="30" spans="2:8" ht="13.5" hidden="1" customHeight="1">
      <c r="B30" s="125" t="s">
        <v>507</v>
      </c>
      <c r="C30" s="4">
        <v>0</v>
      </c>
      <c r="D30" s="4">
        <v>3.3920069999999997E-2</v>
      </c>
      <c r="E30" s="4">
        <v>3.3920069999999997E-2</v>
      </c>
      <c r="F30" s="4">
        <v>0</v>
      </c>
      <c r="G30" s="4">
        <v>0</v>
      </c>
      <c r="H30" s="4">
        <v>0</v>
      </c>
    </row>
    <row r="31" spans="2:8" ht="14.1" customHeight="1">
      <c r="B31" s="125" t="str">
        <f>IF(Indice_index!$Z$1=1,"Diferenças de consolidação","Consolidation differences")</f>
        <v>Diferenças de consolidação</v>
      </c>
      <c r="C31" s="4">
        <v>0</v>
      </c>
      <c r="D31" s="4">
        <v>0</v>
      </c>
      <c r="E31" s="4">
        <v>0</v>
      </c>
      <c r="F31" s="4">
        <v>19.566080370000009</v>
      </c>
      <c r="G31" s="4">
        <v>10.330517070000001</v>
      </c>
      <c r="H31" s="4">
        <v>25.28545834000008</v>
      </c>
    </row>
    <row r="32" spans="2:8" ht="14.1" customHeight="1">
      <c r="B32" s="30" t="str">
        <f>IF(Indice_index!$Z$1=1,"Receita efetiva","Effective revenue")</f>
        <v>Receita efetiva</v>
      </c>
      <c r="C32" s="18">
        <f t="shared" ref="C32:H32" si="5">+C13+C24</f>
        <v>1506.7544476000003</v>
      </c>
      <c r="D32" s="18">
        <f t="shared" si="5"/>
        <v>16.014394100000004</v>
      </c>
      <c r="E32" s="18">
        <f t="shared" si="5"/>
        <v>1519.1794042700003</v>
      </c>
      <c r="F32" s="18">
        <f t="shared" si="5"/>
        <v>1697.69664057</v>
      </c>
      <c r="G32" s="18">
        <f t="shared" si="5"/>
        <v>94.340674300000003</v>
      </c>
      <c r="H32" s="18">
        <f t="shared" si="5"/>
        <v>1772.0170793200002</v>
      </c>
    </row>
    <row r="33" spans="2:8" ht="14.1" customHeight="1">
      <c r="B33" s="174" t="str">
        <f>IF(Indice_index!$Z$1=1,"Despesa corrente","Current expenditure")</f>
        <v>Despesa corrente</v>
      </c>
      <c r="C33" s="134">
        <f t="shared" ref="C33:H33" si="6">+C34+C38+C39+C40+C44+C45+C46</f>
        <v>338.32499984999998</v>
      </c>
      <c r="D33" s="134">
        <f>+D34+D38+D39+D40+D44+D45+D46</f>
        <v>5.9223223100000002</v>
      </c>
      <c r="E33" s="134">
        <f t="shared" si="6"/>
        <v>340.65788473000003</v>
      </c>
      <c r="F33" s="134">
        <f t="shared" si="6"/>
        <v>373.02907055999998</v>
      </c>
      <c r="G33" s="134">
        <f t="shared" si="6"/>
        <v>28.23296968</v>
      </c>
      <c r="H33" s="134">
        <f t="shared" si="6"/>
        <v>385.85294378999998</v>
      </c>
    </row>
    <row r="34" spans="2:8" ht="14.1" customHeight="1">
      <c r="B34" s="125" t="str">
        <f>IF(Indice_index!$Z$1=1,"Despesas com o pessoal","Employees")</f>
        <v>Despesas com o pessoal</v>
      </c>
      <c r="C34" s="4">
        <f t="shared" ref="C34:H34" si="7">+C35+C36+C37</f>
        <v>25.176045729999995</v>
      </c>
      <c r="D34" s="4">
        <f t="shared" si="7"/>
        <v>1.2450562700000001</v>
      </c>
      <c r="E34" s="4">
        <f t="shared" si="7"/>
        <v>26.421102000000001</v>
      </c>
      <c r="F34" s="4">
        <f t="shared" si="7"/>
        <v>37.299123869999995</v>
      </c>
      <c r="G34" s="4">
        <f t="shared" si="7"/>
        <v>1.3164997599999999</v>
      </c>
      <c r="H34" s="4">
        <f t="shared" si="7"/>
        <v>38.615623630000002</v>
      </c>
    </row>
    <row r="35" spans="2:8" ht="14.1" customHeight="1">
      <c r="B35" s="172" t="str">
        <f>IF(Indice_index!$Z$1=1,"Remunerações certas e permanentes","Certain and permanent wages")</f>
        <v>Remunerações certas e permanentes</v>
      </c>
      <c r="C35" s="4">
        <v>20.787755789999995</v>
      </c>
      <c r="D35" s="4">
        <v>0.97525537000000007</v>
      </c>
      <c r="E35" s="4">
        <v>21.763011160000001</v>
      </c>
      <c r="F35" s="4">
        <v>29.354550149999998</v>
      </c>
      <c r="G35" s="4">
        <v>0.87557834999999984</v>
      </c>
      <c r="H35" s="4">
        <v>30.230128499999999</v>
      </c>
    </row>
    <row r="36" spans="2:8" ht="14.1" customHeight="1">
      <c r="B36" s="172" t="str">
        <f>IF(Indice_index!$Z$1=1,"Abonos variáveis ou eventuais","Variable or contingent bonuses")</f>
        <v>Abonos variáveis ou eventuais</v>
      </c>
      <c r="C36" s="4">
        <v>0.34985399</v>
      </c>
      <c r="D36" s="4">
        <v>2.984121E-2</v>
      </c>
      <c r="E36" s="4">
        <v>0.37969520000000001</v>
      </c>
      <c r="F36" s="4">
        <v>0.72571561999999989</v>
      </c>
      <c r="G36" s="4">
        <v>3.7450920000000006E-2</v>
      </c>
      <c r="H36" s="4">
        <v>0.76316653999999984</v>
      </c>
    </row>
    <row r="37" spans="2:8" ht="14.1" customHeight="1">
      <c r="B37" s="172" t="str">
        <f>IF(Indice_index!$Z$1=1,"Segurança social","Social security")</f>
        <v>Segurança social</v>
      </c>
      <c r="C37" s="4">
        <v>4.0384359500000002</v>
      </c>
      <c r="D37" s="4">
        <v>0.23995969</v>
      </c>
      <c r="E37" s="4">
        <v>4.2783956399999994</v>
      </c>
      <c r="F37" s="4">
        <v>7.2188580999999994</v>
      </c>
      <c r="G37" s="4">
        <v>0.40347048999999996</v>
      </c>
      <c r="H37" s="4">
        <v>7.6223285899999986</v>
      </c>
    </row>
    <row r="38" spans="2:8" ht="14.1" customHeight="1">
      <c r="B38" s="125" t="str">
        <f>IF(Indice_index!$Z$1=1,"Aquisição de bens e serviços","Purchase of goods and services")</f>
        <v>Aquisição de bens e serviços</v>
      </c>
      <c r="C38" s="4">
        <v>86.267642999999993</v>
      </c>
      <c r="D38" s="4">
        <v>1.1557545300000003</v>
      </c>
      <c r="E38" s="4">
        <v>87.423397530000003</v>
      </c>
      <c r="F38" s="4">
        <v>116.5273004</v>
      </c>
      <c r="G38" s="4">
        <v>10.732720410000001</v>
      </c>
      <c r="H38" s="4">
        <v>127.26002080999999</v>
      </c>
    </row>
    <row r="39" spans="2:8" ht="14.1" customHeight="1">
      <c r="B39" s="125" t="str">
        <f>IF(Indice_index!$Z$1=1,"Juros e outros encargos","Interests and other charges")</f>
        <v>Juros e outros encargos</v>
      </c>
      <c r="C39" s="4">
        <v>5.0831899999999996E-3</v>
      </c>
      <c r="D39" s="4">
        <v>0</v>
      </c>
      <c r="E39" s="4">
        <v>5.0831899999999996E-3</v>
      </c>
      <c r="F39" s="4">
        <v>1.2220219999999999E-2</v>
      </c>
      <c r="G39" s="4">
        <v>0</v>
      </c>
      <c r="H39" s="4">
        <v>1.2220219999999999E-2</v>
      </c>
    </row>
    <row r="40" spans="2:8" ht="14.1" customHeight="1">
      <c r="B40" s="125" t="str">
        <f>IF(Indice_index!$Z$1=1,"Transferências correntes","Current transfers")</f>
        <v>Transferências correntes</v>
      </c>
      <c r="C40" s="4">
        <f t="shared" ref="C40:H40" si="8">+C41+C43</f>
        <v>113.24447889</v>
      </c>
      <c r="D40" s="4">
        <f t="shared" si="8"/>
        <v>0.68450389</v>
      </c>
      <c r="E40" s="4">
        <f t="shared" si="8"/>
        <v>113.92898277999998</v>
      </c>
      <c r="F40" s="4">
        <f t="shared" si="8"/>
        <v>144.15102761</v>
      </c>
      <c r="G40" s="4">
        <f t="shared" si="8"/>
        <v>0.82690193000000001</v>
      </c>
      <c r="H40" s="4">
        <f t="shared" si="8"/>
        <v>144.97792953999999</v>
      </c>
    </row>
    <row r="41" spans="2:8" ht="14.1" customHeight="1">
      <c r="B41" s="172" t="str">
        <f>IF(Indice_index!$Z$1=1,"Administrações Públicas","General Government subsectors")</f>
        <v>Administrações Públicas</v>
      </c>
      <c r="C41" s="4">
        <v>51.28862384</v>
      </c>
      <c r="D41" s="4">
        <v>1.5378E-3</v>
      </c>
      <c r="E41" s="4">
        <v>51.290161640000001</v>
      </c>
      <c r="F41" s="4">
        <v>28.434051349999994</v>
      </c>
      <c r="G41" s="4">
        <v>0</v>
      </c>
      <c r="H41" s="4">
        <v>28.434051349999994</v>
      </c>
    </row>
    <row r="42" spans="2:8" ht="14.1" customHeight="1">
      <c r="B42" s="306" t="str">
        <f>IF(Indice_index!$Z$1=1,"Das quais: Administração Local","of which Local Administration")</f>
        <v>Das quais: Administração Local</v>
      </c>
      <c r="C42" s="4">
        <v>51.230857329999999</v>
      </c>
      <c r="D42" s="4">
        <v>0</v>
      </c>
      <c r="E42" s="4">
        <v>51.230857329999999</v>
      </c>
      <c r="F42" s="4">
        <v>28.433926349999993</v>
      </c>
      <c r="G42" s="4">
        <v>0</v>
      </c>
      <c r="H42" s="4">
        <v>28.433926349999993</v>
      </c>
    </row>
    <row r="43" spans="2:8" ht="14.1" customHeight="1">
      <c r="B43" s="172" t="str">
        <f>IF(Indice_index!$Z$1=1,"Outras","Others")</f>
        <v>Outras</v>
      </c>
      <c r="C43" s="4">
        <v>61.955855049999997</v>
      </c>
      <c r="D43" s="4">
        <v>0.68296608999999997</v>
      </c>
      <c r="E43" s="4">
        <v>62.63882113999999</v>
      </c>
      <c r="F43" s="4">
        <v>115.71697626000001</v>
      </c>
      <c r="G43" s="4">
        <v>0.82690193000000001</v>
      </c>
      <c r="H43" s="4">
        <v>116.54387819</v>
      </c>
    </row>
    <row r="44" spans="2:8" ht="14.1" customHeight="1">
      <c r="B44" s="125" t="str">
        <f>IF(Indice_index!$Z$1=1,"Subsídios","Subsidies")</f>
        <v>Subsídios</v>
      </c>
      <c r="C44" s="4">
        <v>63.036453059999999</v>
      </c>
      <c r="D44" s="4">
        <v>0</v>
      </c>
      <c r="E44" s="4">
        <v>63.036453059999999</v>
      </c>
      <c r="F44" s="4">
        <v>38.137097290000007</v>
      </c>
      <c r="G44" s="4">
        <v>0</v>
      </c>
      <c r="H44" s="4">
        <v>38.137097290000007</v>
      </c>
    </row>
    <row r="45" spans="2:8" ht="14.1" customHeight="1">
      <c r="B45" s="125" t="str">
        <f>IF(Indice_index!$Z$1=1,"Outras despesas correntes","Other current expenditure")</f>
        <v>Outras despesas correntes</v>
      </c>
      <c r="C45" s="4">
        <v>26.674052329999999</v>
      </c>
      <c r="D45" s="4">
        <v>5.2044999999999999E-4</v>
      </c>
      <c r="E45" s="4">
        <v>26.674572779999998</v>
      </c>
      <c r="F45" s="4">
        <v>20.819433689999997</v>
      </c>
      <c r="G45" s="4">
        <v>15.31177804</v>
      </c>
      <c r="H45" s="4">
        <v>36.131211730000004</v>
      </c>
    </row>
    <row r="46" spans="2:8" ht="14.1" customHeight="1">
      <c r="B46" s="125" t="str">
        <f>IF(Indice_index!$Z$1=1,"Diferenças de consolidação","Consolidation differences")</f>
        <v>Diferenças de consolidação</v>
      </c>
      <c r="C46" s="4">
        <v>23.921243650000015</v>
      </c>
      <c r="D46" s="4">
        <v>2.8364871699999998</v>
      </c>
      <c r="E46" s="4">
        <v>23.168293390000017</v>
      </c>
      <c r="F46" s="4">
        <v>16.082867479999987</v>
      </c>
      <c r="G46" s="4">
        <v>4.5069539999999998E-2</v>
      </c>
      <c r="H46" s="4">
        <v>0.71884057000000023</v>
      </c>
    </row>
    <row r="47" spans="2:8" ht="14.1" customHeight="1">
      <c r="B47" s="174" t="str">
        <f>IF(Indice_index!$Z$1=1,"Despesa de capital","Capital expenditure")</f>
        <v>Despesa de capital</v>
      </c>
      <c r="C47" s="134">
        <f t="shared" ref="C47:H47" si="9">+C48+C49+C53+C54</f>
        <v>1117.9968768399999</v>
      </c>
      <c r="D47" s="134">
        <f t="shared" si="9"/>
        <v>18.762299200000001</v>
      </c>
      <c r="E47" s="134">
        <f t="shared" si="9"/>
        <v>1136.7591760400001</v>
      </c>
      <c r="F47" s="134">
        <f t="shared" si="9"/>
        <v>1467.5134668500002</v>
      </c>
      <c r="G47" s="134">
        <f t="shared" si="9"/>
        <v>15.131393780000003</v>
      </c>
      <c r="H47" s="134">
        <f t="shared" si="9"/>
        <v>1478.0337215300001</v>
      </c>
    </row>
    <row r="48" spans="2:8" ht="14.1" customHeight="1">
      <c r="B48" s="125" t="str">
        <f>IF(Indice_index!$Z$1=1,"Investimento","Investments")</f>
        <v>Investimento</v>
      </c>
      <c r="C48" s="4">
        <v>275.57997343000005</v>
      </c>
      <c r="D48" s="4">
        <v>18.762299200000001</v>
      </c>
      <c r="E48" s="4">
        <v>294.34227263000002</v>
      </c>
      <c r="F48" s="4">
        <v>538.27560016000007</v>
      </c>
      <c r="G48" s="4">
        <v>14.556601110000003</v>
      </c>
      <c r="H48" s="4">
        <v>552.83220127000004</v>
      </c>
    </row>
    <row r="49" spans="2:8" ht="14.1" customHeight="1">
      <c r="B49" s="125" t="str">
        <f>IF(Indice_index!$Z$1=1,"Transferências de capital","Capital transfers")</f>
        <v>Transferências de capital</v>
      </c>
      <c r="C49" s="4">
        <f t="shared" ref="C49:H49" si="10">+C50+C52</f>
        <v>607.96235540999999</v>
      </c>
      <c r="D49" s="4">
        <f t="shared" si="10"/>
        <v>0</v>
      </c>
      <c r="E49" s="4">
        <f t="shared" si="10"/>
        <v>607.96235540999999</v>
      </c>
      <c r="F49" s="4">
        <f t="shared" si="10"/>
        <v>901.37008149000008</v>
      </c>
      <c r="G49" s="4">
        <f t="shared" si="10"/>
        <v>0.57479267000000001</v>
      </c>
      <c r="H49" s="4">
        <f t="shared" si="10"/>
        <v>901.94487416000004</v>
      </c>
    </row>
    <row r="50" spans="2:8" ht="14.1" customHeight="1">
      <c r="B50" s="172" t="str">
        <f>IF(Indice_index!$Z$1=1,"Administrações Públicas","General Government subsectors")</f>
        <v>Administrações Públicas</v>
      </c>
      <c r="C50" s="4">
        <v>174.70465538000002</v>
      </c>
      <c r="D50" s="4">
        <v>0</v>
      </c>
      <c r="E50" s="4">
        <v>174.70465538000002</v>
      </c>
      <c r="F50" s="4">
        <v>313.41780420000003</v>
      </c>
      <c r="G50" s="4">
        <v>9.9659950000000011E-2</v>
      </c>
      <c r="H50" s="4">
        <v>313.51746415000002</v>
      </c>
    </row>
    <row r="51" spans="2:8" ht="14.1" customHeight="1">
      <c r="B51" s="306" t="str">
        <f>IF(Indice_index!$Z$1=1,"Das quais: Administração Local","of which Local Administration")</f>
        <v>Das quais: Administração Local</v>
      </c>
      <c r="C51" s="4">
        <v>174.70465538000002</v>
      </c>
      <c r="D51" s="4">
        <v>0</v>
      </c>
      <c r="E51" s="4">
        <v>174.70465538000002</v>
      </c>
      <c r="F51" s="4">
        <v>312.40145314000006</v>
      </c>
      <c r="G51" s="4">
        <v>9.9659950000000011E-2</v>
      </c>
      <c r="H51" s="4">
        <v>312.50111309000005</v>
      </c>
    </row>
    <row r="52" spans="2:8" ht="13.5" customHeight="1">
      <c r="B52" s="172" t="str">
        <f>IF(Indice_index!$Z$1=1,"Outras","Others")</f>
        <v>Outras</v>
      </c>
      <c r="C52" s="4">
        <v>433.25770002999997</v>
      </c>
      <c r="D52" s="4">
        <v>0</v>
      </c>
      <c r="E52" s="4">
        <v>433.25770002999997</v>
      </c>
      <c r="F52" s="4">
        <v>587.9522772900001</v>
      </c>
      <c r="G52" s="4">
        <v>0.47513271999999995</v>
      </c>
      <c r="H52" s="4">
        <v>588.42741001000002</v>
      </c>
    </row>
    <row r="53" spans="2:8" ht="13.5" hidden="1" customHeight="1">
      <c r="B53" s="125" t="s">
        <v>508</v>
      </c>
      <c r="C53" s="4">
        <v>0</v>
      </c>
      <c r="D53" s="4">
        <v>0</v>
      </c>
      <c r="E53" s="4">
        <v>0</v>
      </c>
      <c r="F53" s="4">
        <v>0</v>
      </c>
      <c r="G53" s="4">
        <v>0</v>
      </c>
      <c r="H53" s="4">
        <v>0</v>
      </c>
    </row>
    <row r="54" spans="2:8" ht="14.1" customHeight="1">
      <c r="B54" s="125" t="str">
        <f>IF(Indice_index!$Z$1=1,"Diferenças de consolidação","Consolidation differences")</f>
        <v>Diferenças de consolidação</v>
      </c>
      <c r="C54" s="4">
        <v>234.45454800000002</v>
      </c>
      <c r="D54" s="4">
        <v>0</v>
      </c>
      <c r="E54" s="4">
        <v>234.45454800000002</v>
      </c>
      <c r="F54" s="4">
        <v>27.867785199999993</v>
      </c>
      <c r="G54" s="4">
        <v>0</v>
      </c>
      <c r="H54" s="4">
        <v>23.256646100000069</v>
      </c>
    </row>
    <row r="55" spans="2:8" ht="14.1" customHeight="1">
      <c r="B55" s="30" t="str">
        <f>IF(Indice_index!$Z$1=1,"Despesa efetiva","Effective Expenditure")</f>
        <v>Despesa efetiva</v>
      </c>
      <c r="C55" s="18">
        <f t="shared" ref="C55:H55" si="11">+C33+C47</f>
        <v>1456.32187669</v>
      </c>
      <c r="D55" s="18">
        <f t="shared" si="11"/>
        <v>24.684621509999999</v>
      </c>
      <c r="E55" s="18">
        <f t="shared" si="11"/>
        <v>1477.41706077</v>
      </c>
      <c r="F55" s="18">
        <f>+F33+F47</f>
        <v>1840.5425374100003</v>
      </c>
      <c r="G55" s="18">
        <f t="shared" si="11"/>
        <v>43.364363460000007</v>
      </c>
      <c r="H55" s="18">
        <f t="shared" si="11"/>
        <v>1863.88666532</v>
      </c>
    </row>
    <row r="56" spans="2:8" ht="14.1" customHeight="1">
      <c r="B56" s="30" t="str">
        <f>IF(Indice_index!$Z$1=1,"Saldo global","Overall balance")</f>
        <v>Saldo global</v>
      </c>
      <c r="C56" s="18">
        <f t="shared" ref="C56:H56" si="12">+C32-C55</f>
        <v>50.432570910000322</v>
      </c>
      <c r="D56" s="18">
        <f>+D32-D55</f>
        <v>-8.6702274099999954</v>
      </c>
      <c r="E56" s="18">
        <f t="shared" si="12"/>
        <v>41.76234350000027</v>
      </c>
      <c r="F56" s="18">
        <f t="shared" si="12"/>
        <v>-142.84589684000025</v>
      </c>
      <c r="G56" s="18">
        <f t="shared" si="12"/>
        <v>50.976310839999996</v>
      </c>
      <c r="H56" s="18">
        <f t="shared" si="12"/>
        <v>-91.869585999999799</v>
      </c>
    </row>
    <row r="57" spans="2:8" ht="14.1" customHeight="1">
      <c r="B57" s="285" t="str">
        <f>IF(Indice_index!$Z$1=1,"Por memória:","Memo item:")</f>
        <v>Por memória:</v>
      </c>
      <c r="C57" s="4"/>
      <c r="D57" s="4"/>
      <c r="E57" s="4"/>
      <c r="F57" s="4"/>
      <c r="G57" s="4"/>
      <c r="H57" s="4"/>
    </row>
    <row r="58" spans="2:8" ht="14.1" customHeight="1">
      <c r="B58" s="125" t="str">
        <f>IF(Indice_index!$Z$1=1,"Despesa primária","Primary expenditure")</f>
        <v>Despesa primária</v>
      </c>
      <c r="C58" s="4">
        <f t="shared" ref="C58:H58" si="13">+C55-C39</f>
        <v>1456.3167934999999</v>
      </c>
      <c r="D58" s="4">
        <f>+D55-D39</f>
        <v>24.684621509999999</v>
      </c>
      <c r="E58" s="4">
        <f t="shared" si="13"/>
        <v>1477.41197758</v>
      </c>
      <c r="F58" s="4">
        <f>+F55-F39</f>
        <v>1840.5303171900002</v>
      </c>
      <c r="G58" s="4">
        <f t="shared" si="13"/>
        <v>43.364363460000007</v>
      </c>
      <c r="H58" s="4">
        <f t="shared" si="13"/>
        <v>1863.8744451</v>
      </c>
    </row>
    <row r="59" spans="2:8" ht="14.1" customHeight="1">
      <c r="B59" s="125" t="str">
        <f>IF(Indice_index!$Z$1=1,"Saldo primário","Primary balance")</f>
        <v>Saldo primário</v>
      </c>
      <c r="C59" s="4">
        <f t="shared" ref="C59:H59" si="14">+C32-C58</f>
        <v>50.437654100000373</v>
      </c>
      <c r="D59" s="4">
        <f t="shared" si="14"/>
        <v>-8.6702274099999954</v>
      </c>
      <c r="E59" s="4">
        <f t="shared" si="14"/>
        <v>41.76742669000032</v>
      </c>
      <c r="F59" s="4">
        <f t="shared" si="14"/>
        <v>-142.83367662000023</v>
      </c>
      <c r="G59" s="4">
        <f t="shared" si="14"/>
        <v>50.976310839999996</v>
      </c>
      <c r="H59" s="4">
        <f t="shared" si="14"/>
        <v>-91.857365779999782</v>
      </c>
    </row>
    <row r="60" spans="2:8" ht="14.1" customHeight="1">
      <c r="B60" s="125" t="str">
        <f>IF(Indice_index!$Z$1=1,"Receita de ativos financeiros","Income from financial assets")</f>
        <v>Receita de ativos financeiros</v>
      </c>
      <c r="C60" s="4">
        <v>24.542749800000003</v>
      </c>
      <c r="D60" s="4">
        <v>0</v>
      </c>
      <c r="E60" s="4">
        <v>24.542749800000003</v>
      </c>
      <c r="F60" s="4">
        <v>440.64449216000003</v>
      </c>
      <c r="G60" s="4">
        <v>0</v>
      </c>
      <c r="H60" s="4">
        <v>440.64449216000003</v>
      </c>
    </row>
    <row r="61" spans="2:8" ht="14.1" customHeight="1">
      <c r="B61" s="125" t="str">
        <f>IF(Indice_index!$Z$1=1,"Receita de passivos financeiros","Income from Financial liabilities")</f>
        <v>Receita de passivos financeiros</v>
      </c>
      <c r="C61" s="4">
        <v>350.87000000000023</v>
      </c>
      <c r="D61" s="4">
        <v>0</v>
      </c>
      <c r="E61" s="4">
        <v>350.87000000000023</v>
      </c>
      <c r="F61" s="4">
        <v>495.19670093999991</v>
      </c>
      <c r="G61" s="4">
        <v>0</v>
      </c>
      <c r="H61" s="4">
        <v>495.19670093999991</v>
      </c>
    </row>
    <row r="62" spans="2:8" ht="14.1" customHeight="1">
      <c r="B62" s="173" t="str">
        <f>IF(Indice_index!$Z$1=1,"Despesa de ativos financeiros","Expense of financial assets")</f>
        <v>Despesa de ativos financeiros</v>
      </c>
      <c r="C62" s="19">
        <v>297.04736090999995</v>
      </c>
      <c r="D62" s="19">
        <v>0</v>
      </c>
      <c r="E62" s="19">
        <v>297.04736090999995</v>
      </c>
      <c r="F62" s="19">
        <v>287.99227092000001</v>
      </c>
      <c r="G62" s="19">
        <v>0</v>
      </c>
      <c r="H62" s="19">
        <v>287.99227092000001</v>
      </c>
    </row>
    <row r="63" spans="2:8" ht="15">
      <c r="B63" s="9" t="str">
        <f>IF(Indice_index!$Z$1=1,"Fonte: Entidade Orçamental.","Source: Budgetary Entity.")</f>
        <v>Fonte: Entidade Orçamental.</v>
      </c>
      <c r="C63" s="9"/>
      <c r="F63" s="9"/>
    </row>
    <row r="64" spans="2:8" ht="14.25" customHeight="1"/>
  </sheetData>
  <mergeCells count="4">
    <mergeCell ref="C11:E11"/>
    <mergeCell ref="F11:H11"/>
    <mergeCell ref="B10:B12"/>
    <mergeCell ref="C10:H10"/>
  </mergeCells>
  <conditionalFormatting sqref="C13:H31">
    <cfRule type="cellIs" dxfId="35" priority="3" operator="equal">
      <formula>0</formula>
    </cfRule>
  </conditionalFormatting>
  <conditionalFormatting sqref="C33:H54">
    <cfRule type="cellIs" dxfId="34" priority="2" operator="equal">
      <formula>0</formula>
    </cfRule>
  </conditionalFormatting>
  <conditionalFormatting sqref="C57:H62">
    <cfRule type="cellIs" dxfId="33" priority="1" operator="equal">
      <formula>0</formula>
    </cfRule>
  </conditionalFormatting>
  <pageMargins left="0.70866141732283472" right="0.70866141732283472" top="0.74803149606299213" bottom="0.74803149606299213" header="0.31496062992125984" footer="0.31496062992125984"/>
  <pageSetup paperSize="9" scale="83" orientation="portrait" r:id="rId1"/>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M38"/>
  <sheetViews>
    <sheetView showGridLines="0" zoomScaleNormal="100" workbookViewId="0"/>
  </sheetViews>
  <sheetFormatPr defaultColWidth="0" defaultRowHeight="14.85" customHeight="1" zeroHeight="1"/>
  <cols>
    <col min="1" max="1" width="8.5703125" style="50" customWidth="1"/>
    <col min="2" max="2" width="49.5703125" style="31" customWidth="1"/>
    <col min="3" max="3" width="10.5703125" style="31" customWidth="1"/>
    <col min="4" max="5" width="10.5703125" style="50" customWidth="1"/>
    <col min="6" max="8" width="10.5703125" customWidth="1"/>
    <col min="9" max="9" width="9.42578125" customWidth="1"/>
    <col min="10" max="16384" width="9.42578125" hidden="1"/>
  </cols>
  <sheetData>
    <row r="1" spans="1:13" ht="15"/>
    <row r="2" spans="1:13" ht="15"/>
    <row r="3" spans="1:13" ht="15"/>
    <row r="4" spans="1:13" ht="15"/>
    <row r="5" spans="1:13" ht="18" customHeight="1">
      <c r="A5"/>
      <c r="B5" s="270" t="str">
        <f>IF(Indice_index!$Z$1=1,"ANEXOS ESTATÍSTICOS","STATISTICAL ANNEXES")</f>
        <v>ANEXOS ESTATÍSTICOS</v>
      </c>
      <c r="C5"/>
      <c r="D5"/>
      <c r="E5"/>
    </row>
    <row r="6" spans="1:13" ht="18" customHeight="1">
      <c r="A6"/>
      <c r="B6" s="271" t="str">
        <f>IF(Indice_index!$Z$1=1,"Agosto de 2025","August 2025")</f>
        <v>Agosto de 2025</v>
      </c>
      <c r="C6"/>
      <c r="D6"/>
      <c r="E6"/>
    </row>
    <row r="7" spans="1:13" ht="48.75" customHeight="1">
      <c r="A7" s="11"/>
      <c r="B7" s="12"/>
      <c r="C7" s="13"/>
      <c r="D7" s="11"/>
      <c r="E7" s="11"/>
      <c r="F7" s="11"/>
      <c r="G7" s="11"/>
      <c r="H7" s="10"/>
      <c r="I7" s="10"/>
      <c r="J7" s="10"/>
      <c r="K7" s="10"/>
    </row>
    <row r="8" spans="1:13" ht="15.75">
      <c r="A8" s="80"/>
      <c r="B8" s="1" t="str">
        <f>IF(Indice_index!$Z$1=1,"Quadro 15 - Plano de Recuperação e Resiliência - Administração Central por Programa Orçamental","15 - Recovery and Resilience Plan - Central Administration by Budget Program")</f>
        <v>Quadro 15 - Plano de Recuperação e Resiliência - Administração Central por Programa Orçamental</v>
      </c>
      <c r="C8" s="80"/>
      <c r="D8" s="80"/>
      <c r="E8" s="80"/>
      <c r="F8" s="80"/>
      <c r="G8" s="80"/>
      <c r="H8" s="81"/>
      <c r="I8" s="81"/>
      <c r="J8" s="81"/>
      <c r="K8" s="81"/>
      <c r="L8" s="43"/>
      <c r="M8" s="80"/>
    </row>
    <row r="9" spans="1:13" ht="15">
      <c r="A9" s="80"/>
      <c r="B9" s="3" t="str">
        <f>+'3 - Conta AC + SS'!B9</f>
        <v>Período: janeiro a agosto</v>
      </c>
      <c r="C9" s="80"/>
      <c r="D9" s="80"/>
      <c r="E9" s="80"/>
      <c r="F9" s="80"/>
      <c r="G9" s="80"/>
      <c r="H9" s="3" t="str">
        <f>IF(Indice_index!$Z$1=1,"€ Milhões","€ Millions")</f>
        <v>€ Milhões</v>
      </c>
      <c r="I9" s="81"/>
      <c r="J9" s="81"/>
      <c r="K9" s="81"/>
      <c r="L9" s="43"/>
      <c r="M9" s="80"/>
    </row>
    <row r="10" spans="1:13" ht="15">
      <c r="B10" s="430" t="str">
        <f>IF(Indice_index!$Z$1=1,"Programa Orçamental","Budget Program")</f>
        <v>Programa Orçamental</v>
      </c>
      <c r="C10" s="369" t="str">
        <f>IF(Indice_index!$Z$1=1,"Execução Acumulada","Accumulated Execution")</f>
        <v>Execução Acumulada</v>
      </c>
      <c r="D10" s="370"/>
      <c r="E10" s="370"/>
      <c r="F10" s="370"/>
      <c r="G10" s="370"/>
      <c r="H10" s="371"/>
    </row>
    <row r="11" spans="1:13" ht="15">
      <c r="B11" s="431"/>
      <c r="C11" s="391">
        <v>2024</v>
      </c>
      <c r="D11" s="387"/>
      <c r="E11" s="388"/>
      <c r="F11" s="391">
        <v>2025</v>
      </c>
      <c r="G11" s="387"/>
      <c r="H11" s="388"/>
    </row>
    <row r="12" spans="1:13" ht="24">
      <c r="B12" s="371"/>
      <c r="C12" s="22" t="str">
        <f>IF(Indice_index!$Z$1=1,"PRR","Recovery and Resilience Plan")</f>
        <v>PRR</v>
      </c>
      <c r="D12" s="22" t="str">
        <f>IF(Indice_index!$Z$1=1,"Esforço Nacional","National Effort")</f>
        <v>Esforço Nacional</v>
      </c>
      <c r="E12" s="22" t="s">
        <v>533</v>
      </c>
      <c r="F12" s="22" t="str">
        <f>IF(Indice_index!$Z$1=1,"PRR","Recovery and Resilience Plan")</f>
        <v>PRR</v>
      </c>
      <c r="G12" s="22" t="str">
        <f>IF(Indice_index!$Z$1=1,"Esforço Nacional","National Effort")</f>
        <v>Esforço Nacional</v>
      </c>
      <c r="H12" s="22" t="s">
        <v>533</v>
      </c>
    </row>
    <row r="13" spans="1:13" ht="14.1" customHeight="1">
      <c r="B13" s="237" t="str">
        <f>IF(Indice_index!$Z$1=1,"Total da Receita Orçamental","Total Budget Expenditure")</f>
        <v>Total da Receita Orçamental</v>
      </c>
      <c r="C13" s="18">
        <v>1848.9188110800005</v>
      </c>
      <c r="D13" s="18">
        <v>15.261443840000004</v>
      </c>
      <c r="E13" s="18">
        <v>1864.1802549200006</v>
      </c>
      <c r="F13" s="18">
        <v>2174.4156839499997</v>
      </c>
      <c r="G13" s="18">
        <v>34.904390620000001</v>
      </c>
      <c r="H13" s="18">
        <v>2209.3200745700001</v>
      </c>
    </row>
    <row r="14" spans="1:13" ht="14.1" customHeight="1">
      <c r="B14" s="238" t="str">
        <f>IF(Indice_index!$Z$1=1,"Total da Despesa Orçamental","Total Budget Expenditure")</f>
        <v>Total da Despesa Orçamental</v>
      </c>
      <c r="C14" s="18">
        <v>1327.6352129899997</v>
      </c>
      <c r="D14" s="18">
        <v>21.848134340000001</v>
      </c>
      <c r="E14" s="18">
        <v>1349.4833473299996</v>
      </c>
      <c r="F14" s="18">
        <v>2045.7521556599997</v>
      </c>
      <c r="G14" s="18">
        <v>43.319293919999993</v>
      </c>
      <c r="H14" s="18">
        <v>2089.0714495799994</v>
      </c>
    </row>
    <row r="15" spans="1:13" ht="14.1" customHeight="1">
      <c r="B15" s="299" t="s">
        <v>591</v>
      </c>
      <c r="C15" s="4">
        <v>0.22294702000000002</v>
      </c>
      <c r="D15" s="4">
        <v>0</v>
      </c>
      <c r="E15" s="4">
        <v>0.22294702000000002</v>
      </c>
      <c r="F15" s="4">
        <v>0.68311889999999986</v>
      </c>
      <c r="G15" s="4">
        <v>5.9875870000000005E-2</v>
      </c>
      <c r="H15" s="4">
        <v>0.74299477000000003</v>
      </c>
    </row>
    <row r="16" spans="1:13" ht="14.1" customHeight="1">
      <c r="B16" s="299" t="s">
        <v>592</v>
      </c>
      <c r="C16" s="4">
        <v>71.399810289999934</v>
      </c>
      <c r="D16" s="4">
        <v>0</v>
      </c>
      <c r="E16" s="4">
        <v>71.399810289999934</v>
      </c>
      <c r="F16" s="4">
        <v>85.002235620000008</v>
      </c>
      <c r="G16" s="4">
        <v>0.68602498999999995</v>
      </c>
      <c r="H16" s="4">
        <v>85.688260610000015</v>
      </c>
    </row>
    <row r="17" spans="2:9" ht="14.1" customHeight="1">
      <c r="B17" s="299" t="s">
        <v>593</v>
      </c>
      <c r="C17" s="4">
        <v>5.37304476</v>
      </c>
      <c r="D17" s="4">
        <v>0</v>
      </c>
      <c r="E17" s="4">
        <v>5.37304476</v>
      </c>
      <c r="F17" s="4">
        <v>8.7159397199999962</v>
      </c>
      <c r="G17" s="4">
        <v>1.9733437000000003</v>
      </c>
      <c r="H17" s="4">
        <v>10.689283420000001</v>
      </c>
    </row>
    <row r="18" spans="2:9" ht="14.1" customHeight="1">
      <c r="B18" s="299" t="s">
        <v>594</v>
      </c>
      <c r="C18" s="4">
        <v>3.0964303299997691</v>
      </c>
      <c r="D18" s="4">
        <v>0</v>
      </c>
      <c r="E18" s="4">
        <v>3.0964303299997691</v>
      </c>
      <c r="F18" s="4">
        <v>12.75918785000008</v>
      </c>
      <c r="G18" s="4">
        <v>0</v>
      </c>
      <c r="H18" s="4">
        <v>12.75918785000008</v>
      </c>
    </row>
    <row r="19" spans="2:9" ht="14.1" customHeight="1">
      <c r="B19" s="299" t="s">
        <v>595</v>
      </c>
      <c r="C19" s="4">
        <v>53.359205360000004</v>
      </c>
      <c r="D19" s="4">
        <v>0</v>
      </c>
      <c r="E19" s="4">
        <v>53.359205360000004</v>
      </c>
      <c r="F19" s="4">
        <v>54.758753299999995</v>
      </c>
      <c r="G19" s="4">
        <v>9.2272247699999994</v>
      </c>
      <c r="H19" s="4">
        <v>63.985978070000002</v>
      </c>
    </row>
    <row r="20" spans="2:9" ht="14.1" customHeight="1">
      <c r="B20" s="299" t="s">
        <v>596</v>
      </c>
      <c r="C20" s="4">
        <v>35.920434240000027</v>
      </c>
      <c r="D20" s="4">
        <v>0.21621481000000001</v>
      </c>
      <c r="E20" s="4">
        <v>36.136649050000024</v>
      </c>
      <c r="F20" s="4">
        <v>51.784465059999995</v>
      </c>
      <c r="G20" s="4">
        <v>7.1038092499999976</v>
      </c>
      <c r="H20" s="4">
        <v>58.888274310000014</v>
      </c>
    </row>
    <row r="21" spans="2:9" ht="14.1" customHeight="1">
      <c r="B21" s="299" t="s">
        <v>597</v>
      </c>
      <c r="C21" s="4">
        <v>24.235138350000021</v>
      </c>
      <c r="D21" s="4">
        <v>0</v>
      </c>
      <c r="E21" s="4">
        <v>24.235138350000021</v>
      </c>
      <c r="F21" s="4">
        <v>12.035887959999997</v>
      </c>
      <c r="G21" s="4">
        <v>1.09102331</v>
      </c>
      <c r="H21" s="4">
        <v>13.126911269999995</v>
      </c>
    </row>
    <row r="22" spans="2:9" ht="14.1" customHeight="1">
      <c r="B22" s="299" t="s">
        <v>598</v>
      </c>
      <c r="C22" s="4">
        <v>61.201086970000006</v>
      </c>
      <c r="D22" s="4">
        <v>13.82335647</v>
      </c>
      <c r="E22" s="4">
        <v>75.024443439999999</v>
      </c>
      <c r="F22" s="4">
        <v>87.2383328599999</v>
      </c>
      <c r="G22" s="4">
        <v>1.4986058799999999</v>
      </c>
      <c r="H22" s="4">
        <v>88.736938739999886</v>
      </c>
    </row>
    <row r="23" spans="2:9" ht="14.1" customHeight="1">
      <c r="B23" s="299" t="s">
        <v>599</v>
      </c>
      <c r="C23" s="4">
        <v>107.01017724000022</v>
      </c>
      <c r="D23" s="4">
        <v>7.5529570799999979</v>
      </c>
      <c r="E23" s="4">
        <v>114.56313432000012</v>
      </c>
      <c r="F23" s="4">
        <v>185.91689240999989</v>
      </c>
      <c r="G23" s="4">
        <v>14.456003459999986</v>
      </c>
      <c r="H23" s="4">
        <v>200.37289586999907</v>
      </c>
    </row>
    <row r="24" spans="2:9" ht="14.1" customHeight="1">
      <c r="B24" s="299" t="s">
        <v>600</v>
      </c>
      <c r="C24" s="4">
        <v>55.012126100000053</v>
      </c>
      <c r="D24" s="4">
        <v>0</v>
      </c>
      <c r="E24" s="4">
        <v>55.012126100000053</v>
      </c>
      <c r="F24" s="4">
        <v>110.23878910999996</v>
      </c>
      <c r="G24" s="4">
        <v>3.9058434200000005</v>
      </c>
      <c r="H24" s="4">
        <v>114.14463252999994</v>
      </c>
    </row>
    <row r="25" spans="2:9" ht="14.1" customHeight="1">
      <c r="B25" s="299" t="s">
        <v>601</v>
      </c>
      <c r="C25" s="4">
        <v>228.63992145000006</v>
      </c>
      <c r="D25" s="4">
        <v>0.24622237</v>
      </c>
      <c r="E25" s="4">
        <v>228.88614382000006</v>
      </c>
      <c r="F25" s="4">
        <v>426.44961051000013</v>
      </c>
      <c r="G25" s="4">
        <v>1.6678511299999998</v>
      </c>
      <c r="H25" s="4">
        <v>428.11746164000016</v>
      </c>
    </row>
    <row r="26" spans="2:9" ht="14.1" customHeight="1">
      <c r="B26" s="299" t="s">
        <v>602</v>
      </c>
      <c r="C26" s="4">
        <v>517.94510488999981</v>
      </c>
      <c r="D26" s="4">
        <v>9.3836100000000006E-3</v>
      </c>
      <c r="E26" s="4">
        <v>517.95448849999991</v>
      </c>
      <c r="F26" s="4">
        <v>793.59143758999994</v>
      </c>
      <c r="G26" s="4">
        <v>0.59989665999999997</v>
      </c>
      <c r="H26" s="4">
        <v>794.19133425000007</v>
      </c>
    </row>
    <row r="27" spans="2:9" ht="14.1" customHeight="1">
      <c r="B27" s="299" t="s">
        <v>603</v>
      </c>
      <c r="C27" s="4">
        <v>72.591779039999977</v>
      </c>
      <c r="D27" s="4">
        <v>0</v>
      </c>
      <c r="E27" s="4">
        <v>72.591779039999977</v>
      </c>
      <c r="F27" s="4">
        <v>58.332036680000016</v>
      </c>
      <c r="G27" s="4">
        <v>0.10820675</v>
      </c>
      <c r="H27" s="4">
        <v>58.440243430000017</v>
      </c>
    </row>
    <row r="28" spans="2:9" ht="14.1" customHeight="1">
      <c r="B28" s="299" t="s">
        <v>604</v>
      </c>
      <c r="C28" s="4">
        <v>44.551035199999987</v>
      </c>
      <c r="D28" s="4">
        <v>0</v>
      </c>
      <c r="E28" s="4">
        <v>44.551035199999987</v>
      </c>
      <c r="F28" s="4">
        <v>90.772393719999968</v>
      </c>
      <c r="G28" s="4">
        <v>6.6722569999999995E-2</v>
      </c>
      <c r="H28" s="4">
        <v>90.839116289999964</v>
      </c>
    </row>
    <row r="29" spans="2:9" ht="14.1" customHeight="1">
      <c r="B29" s="299" t="s">
        <v>605</v>
      </c>
      <c r="C29" s="4">
        <v>12.09753521</v>
      </c>
      <c r="D29" s="4">
        <v>0</v>
      </c>
      <c r="E29" s="4">
        <v>12.09753521</v>
      </c>
      <c r="F29" s="4">
        <v>23.395984479999999</v>
      </c>
      <c r="G29" s="4">
        <v>0</v>
      </c>
      <c r="H29" s="4">
        <v>23.395984479999999</v>
      </c>
    </row>
    <row r="30" spans="2:9" ht="14.1" customHeight="1">
      <c r="B30" s="299" t="s">
        <v>606</v>
      </c>
      <c r="C30" s="4">
        <v>17.093039090000016</v>
      </c>
      <c r="D30" s="4">
        <v>0</v>
      </c>
      <c r="E30" s="4">
        <v>17.093039090000016</v>
      </c>
      <c r="F30" s="4">
        <v>25.684281040000041</v>
      </c>
      <c r="G30" s="4">
        <v>0.87486215999999994</v>
      </c>
      <c r="H30" s="4">
        <v>26.559143200000044</v>
      </c>
    </row>
    <row r="31" spans="2:9" ht="14.1" customHeight="1">
      <c r="B31" s="307" t="s">
        <v>607</v>
      </c>
      <c r="C31" s="19">
        <v>17.886397449999997</v>
      </c>
      <c r="D31" s="19">
        <v>0</v>
      </c>
      <c r="E31" s="19">
        <v>17.886397449999997</v>
      </c>
      <c r="F31" s="19">
        <v>18.392808849999994</v>
      </c>
      <c r="G31" s="19">
        <v>0</v>
      </c>
      <c r="H31" s="19">
        <v>18.392808849999994</v>
      </c>
    </row>
    <row r="32" spans="2:9" ht="15">
      <c r="B32" s="9" t="str">
        <f>IF(Indice_index!$Z$1=1,"Notas:","Notes:")</f>
        <v>Notas:</v>
      </c>
      <c r="C32" s="9"/>
      <c r="D32" s="9"/>
      <c r="E32" s="9"/>
      <c r="F32" s="9"/>
      <c r="G32" s="9"/>
      <c r="H32" s="9"/>
      <c r="I32" s="9"/>
    </row>
    <row r="33" spans="2:9" ht="15">
      <c r="B33" s="392" t="str">
        <f>IF(Indice_index!$Z$1=1,"Receita e despesa total consolidada de fluxos internos à Administração Central. Não inclui diferenças de consolidação.","Total revenue and expenditure consolidated ​​of internal flows to the Central Government. It does not include consolidation differences.")</f>
        <v>Receita e despesa total consolidada de fluxos internos à Administração Central. Não inclui diferenças de consolidação.</v>
      </c>
      <c r="C33" s="392"/>
      <c r="D33" s="392"/>
      <c r="E33" s="392"/>
      <c r="F33" s="392"/>
      <c r="G33" s="392"/>
      <c r="H33" s="392"/>
      <c r="I33" s="31"/>
    </row>
    <row r="34" spans="2:9" ht="15">
      <c r="B34" s="152" t="str">
        <f>IF(Indice_index!$Z$1=1,"Fonte: Entidade Orçamental.","Source: Budgetary Entity.")</f>
        <v>Fonte: Entidade Orçamental.</v>
      </c>
      <c r="C34" s="152"/>
      <c r="D34" s="152"/>
      <c r="E34" s="29"/>
      <c r="F34" s="189"/>
      <c r="G34" s="28"/>
      <c r="H34" s="28"/>
      <c r="I34" s="153"/>
    </row>
    <row r="35" spans="2:9" ht="15">
      <c r="B35" s="398"/>
      <c r="C35" s="398"/>
      <c r="D35" s="62"/>
      <c r="E35" s="62"/>
    </row>
    <row r="36" spans="2:9" ht="15" hidden="1">
      <c r="B36" s="397"/>
      <c r="C36" s="397"/>
    </row>
    <row r="37" spans="2:9" ht="15" hidden="1">
      <c r="B37" s="397"/>
      <c r="C37" s="397"/>
    </row>
    <row r="38" spans="2:9" ht="15" hidden="1">
      <c r="B38" s="398"/>
      <c r="C38" s="398"/>
    </row>
  </sheetData>
  <mergeCells count="9">
    <mergeCell ref="C11:E11"/>
    <mergeCell ref="F11:H11"/>
    <mergeCell ref="B38:C38"/>
    <mergeCell ref="B35:C35"/>
    <mergeCell ref="B36:C36"/>
    <mergeCell ref="B37:C37"/>
    <mergeCell ref="B10:B12"/>
    <mergeCell ref="C10:H10"/>
    <mergeCell ref="B33:H33"/>
  </mergeCells>
  <conditionalFormatting sqref="B31:H31">
    <cfRule type="cellIs" dxfId="32" priority="1" operator="equal">
      <formula>0</formula>
    </cfRule>
  </conditionalFormatting>
  <conditionalFormatting sqref="C15:H30">
    <cfRule type="cellIs" dxfId="31" priority="4" operator="equal">
      <formula>0</formula>
    </cfRule>
  </conditionalFormatting>
  <pageMargins left="0.70866141732283472" right="0.70866141732283472" top="0.74803149606299213" bottom="0.74803149606299213" header="0.31496062992125984" footer="0.31496062992125984"/>
  <pageSetup paperSize="9" scale="82" orientation="portrait" r:id="rId1"/>
  <ignoredErrors>
    <ignoredError sqref="B34" unlockedFormula="1"/>
  </ignoredErrors>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pageSetUpPr fitToPage="1"/>
  </sheetPr>
  <dimension ref="A1:M44"/>
  <sheetViews>
    <sheetView showGridLines="0" workbookViewId="0"/>
  </sheetViews>
  <sheetFormatPr defaultColWidth="0" defaultRowHeight="14.85" customHeight="1" zeroHeight="1"/>
  <cols>
    <col min="1" max="1" width="8.5703125" style="50" customWidth="1"/>
    <col min="2" max="2" width="46.5703125" style="31" customWidth="1"/>
    <col min="3" max="5" width="10.5703125" style="31" customWidth="1"/>
    <col min="6" max="7" width="10.5703125" style="50" customWidth="1"/>
    <col min="8" max="10" width="10.5703125" customWidth="1"/>
    <col min="11" max="11" width="9.42578125" customWidth="1"/>
    <col min="12" max="16384" width="9.42578125" hidden="1"/>
  </cols>
  <sheetData>
    <row r="1" spans="1:13" ht="15"/>
    <row r="2" spans="1:13" ht="15"/>
    <row r="3" spans="1:13" ht="15"/>
    <row r="4" spans="1:13" ht="15"/>
    <row r="5" spans="1:13" ht="18" customHeight="1">
      <c r="A5"/>
      <c r="B5" s="270" t="str">
        <f>IF(Indice_index!$Z$1=1,"ANEXOS ESTATÍSTICOS","STATISTICAL ANNEXES")</f>
        <v>ANEXOS ESTATÍSTICOS</v>
      </c>
      <c r="C5"/>
      <c r="D5"/>
      <c r="E5"/>
      <c r="F5"/>
      <c r="G5"/>
    </row>
    <row r="6" spans="1:13" ht="18" customHeight="1">
      <c r="A6"/>
      <c r="B6" s="271" t="str">
        <f>IF(Indice_index!$Z$1=1,"Agosto de 2025","August 2025")</f>
        <v>Agosto de 2025</v>
      </c>
      <c r="C6"/>
      <c r="D6"/>
      <c r="E6"/>
      <c r="F6"/>
      <c r="G6"/>
    </row>
    <row r="7" spans="1:13" ht="48.75" customHeight="1">
      <c r="A7" s="11"/>
      <c r="B7" s="12"/>
      <c r="C7" s="12"/>
      <c r="D7" s="12"/>
      <c r="E7" s="13"/>
      <c r="F7" s="11"/>
      <c r="G7" s="11"/>
      <c r="H7" s="11"/>
      <c r="I7" s="11"/>
      <c r="J7" s="10"/>
      <c r="K7" s="10"/>
      <c r="L7" s="10"/>
      <c r="M7" s="10"/>
    </row>
    <row r="8" spans="1:13" ht="15.75">
      <c r="B8" s="116" t="str">
        <f>IF(Indice_index!$Z$1=1,"Quadro 16 - Plano de Recuperação e Resiliência - Administração Central por Dimensão e Componente","16 - Recovery and Resilience Plan - Central Administration by Size and Component")</f>
        <v>Quadro 16 - Plano de Recuperação e Resiliência - Administração Central por Dimensão e Componente</v>
      </c>
      <c r="C8" s="116"/>
      <c r="D8" s="116"/>
      <c r="E8" s="2"/>
      <c r="F8" s="2"/>
      <c r="G8" s="2"/>
    </row>
    <row r="9" spans="1:13" ht="15.75">
      <c r="B9" s="3" t="str">
        <f>+'3 - Conta AC + SS'!B9</f>
        <v>Período: janeiro a agosto</v>
      </c>
      <c r="C9" s="116"/>
      <c r="D9" s="116"/>
      <c r="E9" s="2"/>
      <c r="F9" s="2"/>
      <c r="G9" s="2"/>
      <c r="J9" s="3" t="str">
        <f>IF(Indice_index!$Z$1=1,"€ Milhões","€ Millions")</f>
        <v>€ Milhões</v>
      </c>
    </row>
    <row r="10" spans="1:13" ht="15" customHeight="1">
      <c r="B10" s="430" t="str">
        <f>IF(Indice_index!$Z$1=1,"Dimensão/Componente","Dimension/Component")</f>
        <v>Dimensão/Componente</v>
      </c>
      <c r="C10" s="373" t="str">
        <f>IF(Indice_index!$Z$1=1,"Anos Anteriores (2021-2023)","Previous Years (2021-2023)")</f>
        <v>Anos Anteriores (2021-2023)</v>
      </c>
      <c r="D10" s="390" t="str">
        <f>IF(Indice_index!$Z$1=1,"CGE","Final execution")</f>
        <v>CGE</v>
      </c>
      <c r="E10" s="370" t="str">
        <f>IF(Indice_index!$Z$1=1,"Execução Acumulada","Accumulated Execution")</f>
        <v>Execução Acumulada</v>
      </c>
      <c r="F10" s="370"/>
      <c r="G10" s="370"/>
      <c r="H10" s="370"/>
      <c r="I10" s="370"/>
      <c r="J10" s="371"/>
    </row>
    <row r="11" spans="1:13" ht="15" customHeight="1">
      <c r="B11" s="431"/>
      <c r="C11" s="373"/>
      <c r="D11" s="389"/>
      <c r="E11" s="391">
        <v>2024</v>
      </c>
      <c r="F11" s="387"/>
      <c r="G11" s="388"/>
      <c r="H11" s="391">
        <v>2025</v>
      </c>
      <c r="I11" s="387"/>
      <c r="J11" s="388"/>
    </row>
    <row r="12" spans="1:13" ht="24">
      <c r="B12" s="371"/>
      <c r="C12" s="433"/>
      <c r="D12" s="432"/>
      <c r="E12" s="22" t="str">
        <f>IF(Indice_index!$Z$1=1,"PRR","Recovery and Resilience Plan")</f>
        <v>PRR</v>
      </c>
      <c r="F12" s="22" t="str">
        <f>IF(Indice_index!$Z$1=1,"Esforço Nacional","National Effort")</f>
        <v>Esforço Nacional</v>
      </c>
      <c r="G12" s="22" t="s">
        <v>533</v>
      </c>
      <c r="H12" s="22" t="str">
        <f>IF(Indice_index!$Z$1=1,"PRR","Recovery and Resilience Plan")</f>
        <v>PRR</v>
      </c>
      <c r="I12" s="22" t="str">
        <f>IF(Indice_index!$Z$1=1,"Esforço Nacional","National Effort")</f>
        <v>Esforço Nacional</v>
      </c>
      <c r="J12" s="22" t="s">
        <v>533</v>
      </c>
    </row>
    <row r="13" spans="1:13" ht="14.1" customHeight="1">
      <c r="B13" s="30" t="str">
        <f>IF(Indice_index!$Z$1=1,"RESILIÊNCIA","RESILIENCE")</f>
        <v>RESILIÊNCIA</v>
      </c>
      <c r="C13" s="18">
        <f t="shared" ref="C13:J13" si="0">+SUM(C14:C22)</f>
        <v>1879.9047453600006</v>
      </c>
      <c r="D13" s="18">
        <f t="shared" si="0"/>
        <v>1938.6497451500006</v>
      </c>
      <c r="E13" s="18">
        <f t="shared" si="0"/>
        <v>946.88556346000155</v>
      </c>
      <c r="F13" s="18">
        <f t="shared" si="0"/>
        <v>7.2145747299999998</v>
      </c>
      <c r="G13" s="18">
        <f t="shared" si="0"/>
        <v>954.10013819000199</v>
      </c>
      <c r="H13" s="18">
        <f t="shared" si="0"/>
        <v>1512.8195313599986</v>
      </c>
      <c r="I13" s="18">
        <f t="shared" si="0"/>
        <v>21.311118530000002</v>
      </c>
      <c r="J13" s="18">
        <f t="shared" si="0"/>
        <v>1534.1306498899976</v>
      </c>
    </row>
    <row r="14" spans="1:13" ht="14.1" customHeight="1">
      <c r="B14" s="125" t="str">
        <f>IF(Indice_index!$Z$1=1,"C1. SNS","C1. NATIONAL HEALTH SERVICE")</f>
        <v>C1. SNS</v>
      </c>
      <c r="C14" s="4">
        <v>74.398825920000107</v>
      </c>
      <c r="D14" s="4">
        <v>142.36729003999989</v>
      </c>
      <c r="E14" s="4">
        <v>55.399547600000069</v>
      </c>
      <c r="F14" s="4">
        <v>0</v>
      </c>
      <c r="G14" s="4">
        <v>55.399547600000069</v>
      </c>
      <c r="H14" s="4">
        <v>110.55944777999997</v>
      </c>
      <c r="I14" s="4">
        <v>3.9058434200000005</v>
      </c>
      <c r="J14" s="4">
        <v>114.46529119999995</v>
      </c>
    </row>
    <row r="15" spans="1:13" ht="14.1" customHeight="1">
      <c r="B15" s="125" t="str">
        <f>IF(Indice_index!$Z$1=1,"C2. HABITAÇÃO","C2. HOUSING")</f>
        <v>C2. HABITAÇÃO</v>
      </c>
      <c r="C15" s="4">
        <v>282.49961124999987</v>
      </c>
      <c r="D15" s="4">
        <v>474.42235347000013</v>
      </c>
      <c r="E15" s="4">
        <v>186.73758000999996</v>
      </c>
      <c r="F15" s="4">
        <v>4.5718549999999997E-2</v>
      </c>
      <c r="G15" s="4">
        <v>186.78329855999991</v>
      </c>
      <c r="H15" s="4">
        <v>362.8046599499998</v>
      </c>
      <c r="I15" s="4">
        <v>11.13245321</v>
      </c>
      <c r="J15" s="4">
        <v>373.93711315999974</v>
      </c>
    </row>
    <row r="16" spans="1:13" ht="14.1" customHeight="1">
      <c r="B16" s="125" t="str">
        <f>IF(Indice_index!$Z$1=1,"C3. RESPOSTAS SOCIAIS","C3. SOCIAL RESPONSES")</f>
        <v>C3. RESPOSTAS SOCIAIS</v>
      </c>
      <c r="C16" s="4">
        <v>10.09029696</v>
      </c>
      <c r="D16" s="4">
        <v>5.326351830000001</v>
      </c>
      <c r="E16" s="4">
        <v>2.2195702400000004</v>
      </c>
      <c r="F16" s="4">
        <v>0</v>
      </c>
      <c r="G16" s="4">
        <v>2.2195702400000004</v>
      </c>
      <c r="H16" s="4">
        <v>7.0928467400000015</v>
      </c>
      <c r="I16" s="4">
        <v>0.10988544</v>
      </c>
      <c r="J16" s="4">
        <v>7.2027321800000008</v>
      </c>
    </row>
    <row r="17" spans="2:10" ht="14.1" customHeight="1">
      <c r="B17" s="125" t="str">
        <f>IF(Indice_index!$Z$1=1,"C4. CULTURA","C4. CULTURE")</f>
        <v>C4. CULTURA</v>
      </c>
      <c r="C17" s="4">
        <v>37.792584319999996</v>
      </c>
      <c r="D17" s="4">
        <v>42.72033076999999</v>
      </c>
      <c r="E17" s="4">
        <v>17.813452209999998</v>
      </c>
      <c r="F17" s="4">
        <v>0</v>
      </c>
      <c r="G17" s="4">
        <v>17.813452209999998</v>
      </c>
      <c r="H17" s="4">
        <v>18.509065329999995</v>
      </c>
      <c r="I17" s="4">
        <v>0</v>
      </c>
      <c r="J17" s="4">
        <v>18.509065329999995</v>
      </c>
    </row>
    <row r="18" spans="2:10" ht="14.1" customHeight="1">
      <c r="B18" s="125" t="str">
        <f>IF(Indice_index!$Z$1=1,"C5. CAPITALIZAÇÃO E INOVAÇÃO EMPRESARIAL","C5. CAPITALIZATION AND BUSINESS INNOVATION")</f>
        <v>C5. CAPITALIZAÇÃO E INOVAÇÃO EMPRESARIAL</v>
      </c>
      <c r="C18" s="4">
        <v>1050.2212134800006</v>
      </c>
      <c r="D18" s="4">
        <v>679.27897924000047</v>
      </c>
      <c r="E18" s="4">
        <v>411.05502792000095</v>
      </c>
      <c r="F18" s="4">
        <v>1.0123353999999998</v>
      </c>
      <c r="G18" s="4">
        <v>412.06736332000128</v>
      </c>
      <c r="H18" s="4">
        <v>660.1555064899992</v>
      </c>
      <c r="I18" s="4">
        <v>3.771940310000002</v>
      </c>
      <c r="J18" s="4">
        <v>663.92744679999794</v>
      </c>
    </row>
    <row r="19" spans="2:10" ht="14.1" customHeight="1">
      <c r="B19" s="125" t="str">
        <f>IF(Indice_index!$Z$1=1,"C6. QUALIFICAÇÕES E COMPETÊNCIAS","C6. QUALIFICATIONS AND SKILLS")</f>
        <v>C6. QUALIFICAÇÕES E COMPETÊNCIAS</v>
      </c>
      <c r="C19" s="4">
        <v>292.56648226999982</v>
      </c>
      <c r="D19" s="4">
        <v>384.54941596999987</v>
      </c>
      <c r="E19" s="4">
        <v>179.9681880400004</v>
      </c>
      <c r="F19" s="4">
        <v>6.1565207800000001</v>
      </c>
      <c r="G19" s="4">
        <v>186.12470882000073</v>
      </c>
      <c r="H19" s="4">
        <v>196.5873475199997</v>
      </c>
      <c r="I19" s="4">
        <v>2.3227934999999991</v>
      </c>
      <c r="J19" s="4">
        <v>198.91014101999974</v>
      </c>
    </row>
    <row r="20" spans="2:10" ht="14.1" customHeight="1">
      <c r="B20" s="125" t="str">
        <f>IF(Indice_index!$Z$1=1,"C7. INFRAESTRUTURAS","C7. INFRASTRUCTURES")</f>
        <v>C7. INFRAESTRUTURAS</v>
      </c>
      <c r="C20" s="4">
        <v>86.169656910000015</v>
      </c>
      <c r="D20" s="4">
        <v>100.31600331000001</v>
      </c>
      <c r="E20" s="4">
        <v>52.96194629</v>
      </c>
      <c r="F20" s="4">
        <v>0</v>
      </c>
      <c r="G20" s="4">
        <v>52.96194629</v>
      </c>
      <c r="H20" s="4">
        <v>100.68843917999997</v>
      </c>
      <c r="I20" s="4">
        <v>0</v>
      </c>
      <c r="J20" s="4">
        <v>100.68843917999997</v>
      </c>
    </row>
    <row r="21" spans="2:10" ht="14.1" customHeight="1">
      <c r="B21" s="125" t="str">
        <f>IF(Indice_index!$Z$1=1,"C8. FLORESTAS","C8. FORESTS")</f>
        <v>C8. FLORESTAS</v>
      </c>
      <c r="C21" s="4">
        <v>45.813418760000005</v>
      </c>
      <c r="D21" s="4">
        <v>107.94007355999999</v>
      </c>
      <c r="E21" s="4">
        <v>40.282563620000033</v>
      </c>
      <c r="F21" s="4">
        <v>0</v>
      </c>
      <c r="G21" s="4">
        <v>40.282563620000033</v>
      </c>
      <c r="H21" s="4">
        <v>55.227958970000024</v>
      </c>
      <c r="I21" s="4">
        <v>1.4800800000000745E-3</v>
      </c>
      <c r="J21" s="4">
        <v>55.229439050000025</v>
      </c>
    </row>
    <row r="22" spans="2:10" ht="14.1" customHeight="1">
      <c r="B22" s="125" t="str">
        <f>IF(Indice_index!$Z$1=1,"C9. GESTÃO HÍDRICA","C9. WATER MANAGEMENT")</f>
        <v>C9. GESTÃO HÍDRICA</v>
      </c>
      <c r="C22" s="4">
        <v>0.35265548999999996</v>
      </c>
      <c r="D22" s="4">
        <v>1.72894696</v>
      </c>
      <c r="E22" s="4">
        <v>0.44768753000000006</v>
      </c>
      <c r="F22" s="4">
        <v>0</v>
      </c>
      <c r="G22" s="4">
        <v>0.44768753000000006</v>
      </c>
      <c r="H22" s="4">
        <v>1.1942594000000002</v>
      </c>
      <c r="I22" s="4">
        <v>6.6722569999999995E-2</v>
      </c>
      <c r="J22" s="4">
        <v>1.2609819700000002</v>
      </c>
    </row>
    <row r="23" spans="2:10" ht="14.1" customHeight="1">
      <c r="B23" s="30" t="str">
        <f>IF(Indice_index!$Z$1=1,"TRANSIÇÃO CLIMÁTICA","CLIMATE TRANSITION")</f>
        <v>TRANSIÇÃO CLIMÁTICA</v>
      </c>
      <c r="C23" s="18">
        <f>+SUM(C24:C30)</f>
        <v>376.14170951999995</v>
      </c>
      <c r="D23" s="18">
        <f t="shared" ref="D23:J23" si="1">+SUM(D24:D30)</f>
        <v>429.57283283999993</v>
      </c>
      <c r="E23" s="18">
        <f t="shared" si="1"/>
        <v>247.05808224000003</v>
      </c>
      <c r="F23" s="18">
        <f t="shared" si="1"/>
        <v>0.58791886999999998</v>
      </c>
      <c r="G23" s="18">
        <f t="shared" si="1"/>
        <v>247.64600111000004</v>
      </c>
      <c r="H23" s="18">
        <f t="shared" si="1"/>
        <v>321.39146119999998</v>
      </c>
      <c r="I23" s="18">
        <f t="shared" si="1"/>
        <v>9.5242424400000001</v>
      </c>
      <c r="J23" s="18">
        <f t="shared" si="1"/>
        <v>330.91570364</v>
      </c>
    </row>
    <row r="24" spans="2:10" ht="14.1" customHeight="1">
      <c r="B24" s="125" t="str">
        <f>IF(Indice_index!$Z$1=1,"C10. MAR","C10. SEA")</f>
        <v>C10. MAR</v>
      </c>
      <c r="C24" s="4">
        <v>33.626921900000006</v>
      </c>
      <c r="D24" s="4">
        <v>112.52029207999999</v>
      </c>
      <c r="E24" s="4">
        <v>62.03987008</v>
      </c>
      <c r="F24" s="4">
        <v>5.7344099999999997E-3</v>
      </c>
      <c r="G24" s="4">
        <v>62.045604490000009</v>
      </c>
      <c r="H24" s="4">
        <v>60.707435329999981</v>
      </c>
      <c r="I24" s="4">
        <v>8.823388099999999</v>
      </c>
      <c r="J24" s="4">
        <v>69.530823429999998</v>
      </c>
    </row>
    <row r="25" spans="2:10" ht="14.1" customHeight="1">
      <c r="B25" s="125" t="str">
        <f>IF(Indice_index!$Z$1=1,"C11. DESCARBONIZAÇÃO DA INDÚSTRIA","C11. DECARBONIZATION OF INDUSTRY")</f>
        <v>C11. DESCARBONIZAÇÃO DA INDÚSTRIA</v>
      </c>
      <c r="C25" s="4">
        <v>103.05356763999998</v>
      </c>
      <c r="D25" s="4">
        <v>174.42872280999998</v>
      </c>
      <c r="E25" s="4">
        <v>114.41387907000001</v>
      </c>
      <c r="F25" s="4">
        <v>0</v>
      </c>
      <c r="G25" s="4">
        <v>114.41387907000001</v>
      </c>
      <c r="H25" s="4">
        <v>122.15703425</v>
      </c>
      <c r="I25" s="4">
        <v>7.3010100000000001E-3</v>
      </c>
      <c r="J25" s="4">
        <v>122.16433526</v>
      </c>
    </row>
    <row r="26" spans="2:10" ht="14.1" customHeight="1">
      <c r="B26" s="125" t="str">
        <f>IF(Indice_index!$Z$1=1,"C12. BIOECONOMIA SUSTENTÁVEL","C12. SUSTAINABLE BIOECONOMY")</f>
        <v>C12. BIOECONOMIA SUSTENTÁVEL</v>
      </c>
      <c r="C26" s="4">
        <v>24.527136640000002</v>
      </c>
      <c r="D26" s="4">
        <v>16.715382639999998</v>
      </c>
      <c r="E26" s="4">
        <v>11.73231174</v>
      </c>
      <c r="F26" s="4">
        <v>9.5110500000000001E-2</v>
      </c>
      <c r="G26" s="4">
        <v>11.827422239999999</v>
      </c>
      <c r="H26" s="4">
        <v>24.008642189999996</v>
      </c>
      <c r="I26" s="4">
        <v>2.9823129999999996E-2</v>
      </c>
      <c r="J26" s="4">
        <v>24.03846532</v>
      </c>
    </row>
    <row r="27" spans="2:10" ht="14.1" customHeight="1">
      <c r="B27" s="125" t="str">
        <f>IF(Indice_index!$Z$1=1,"C13. EFICIÊNCIA ENERGÉTICA DOS EDIFÍCIOS","C13. ENERGY EFFICIENCY IN BUILDINGS")</f>
        <v>C13. EFICIÊNCIA ENERGÉTICA DOS EDIFÍCIOS</v>
      </c>
      <c r="C27" s="4">
        <v>161.37992128000002</v>
      </c>
      <c r="D27" s="4">
        <v>42.031048329999997</v>
      </c>
      <c r="E27" s="4">
        <v>11.813840750000001</v>
      </c>
      <c r="F27" s="4">
        <v>0.48707395999999997</v>
      </c>
      <c r="G27" s="4">
        <v>12.300914710000001</v>
      </c>
      <c r="H27" s="4">
        <v>19.500874509999996</v>
      </c>
      <c r="I27" s="4">
        <v>0.66373019999999994</v>
      </c>
      <c r="J27" s="4">
        <v>20.164604709999988</v>
      </c>
    </row>
    <row r="28" spans="2:10" ht="14.1" customHeight="1">
      <c r="B28" s="125" t="str">
        <f>IF(Indice_index!$Z$1=1,"C14. HIDROGÉNIO E RENOVÁVEIS","C14. HYDROGEN AND RENEWABLES")</f>
        <v>C14. HIDROGÉNIO E RENOVÁVEIS</v>
      </c>
      <c r="C28" s="4">
        <v>5.8077750000000004</v>
      </c>
      <c r="D28" s="4">
        <v>4.4088152799999989</v>
      </c>
      <c r="E28" s="4">
        <v>0.51500296000000012</v>
      </c>
      <c r="F28" s="4">
        <v>0</v>
      </c>
      <c r="G28" s="4">
        <v>0.51500296000000012</v>
      </c>
      <c r="H28" s="4">
        <v>1.44608</v>
      </c>
      <c r="I28" s="4">
        <v>0</v>
      </c>
      <c r="J28" s="4">
        <v>1.44608</v>
      </c>
    </row>
    <row r="29" spans="2:10" ht="14.1" customHeight="1">
      <c r="B29" s="125" t="str">
        <f>IF(Indice_index!$Z$1=1,"C15. MOBILIDADE SUSTENTÁVEL","C15. SUSTAINABLE MOBILITY")</f>
        <v>C15. MOBILIDADE SUSTENTÁVEL</v>
      </c>
      <c r="C29" s="4">
        <v>47.746387059999989</v>
      </c>
      <c r="D29" s="4">
        <v>79.468571700000012</v>
      </c>
      <c r="E29" s="4">
        <v>46.543177639999996</v>
      </c>
      <c r="F29" s="4">
        <v>0</v>
      </c>
      <c r="G29" s="4">
        <v>46.543177639999996</v>
      </c>
      <c r="H29" s="4">
        <v>50.442300469999999</v>
      </c>
      <c r="I29" s="4">
        <v>0</v>
      </c>
      <c r="J29" s="4">
        <v>50.442300469999999</v>
      </c>
    </row>
    <row r="30" spans="2:10" ht="14.1" customHeight="1">
      <c r="B30" s="125" t="s">
        <v>534</v>
      </c>
      <c r="C30" s="4">
        <v>0</v>
      </c>
      <c r="D30" s="4">
        <v>0</v>
      </c>
      <c r="E30" s="4">
        <v>0</v>
      </c>
      <c r="F30" s="4">
        <v>0</v>
      </c>
      <c r="G30" s="4">
        <v>0</v>
      </c>
      <c r="H30" s="4">
        <v>43.129094450000004</v>
      </c>
      <c r="I30" s="4">
        <v>0</v>
      </c>
      <c r="J30" s="4">
        <v>43.129094450000004</v>
      </c>
    </row>
    <row r="31" spans="2:10" ht="14.1" customHeight="1">
      <c r="B31" s="30" t="str">
        <f>IF(Indice_index!$Z$1=1,"TRANSIÇÃO DIGITAL","DIGITAL TRANSITION")</f>
        <v>TRANSIÇÃO DIGITAL</v>
      </c>
      <c r="C31" s="18">
        <f t="shared" ref="C31:J31" si="2">+SUM(C32:C36)</f>
        <v>448.2095915700001</v>
      </c>
      <c r="D31" s="18">
        <f t="shared" si="2"/>
        <v>326.45758424999997</v>
      </c>
      <c r="E31" s="18">
        <f t="shared" si="2"/>
        <v>133.69156729000002</v>
      </c>
      <c r="F31" s="18">
        <f t="shared" si="2"/>
        <v>14.04564074</v>
      </c>
      <c r="G31" s="18">
        <f t="shared" si="2"/>
        <v>147.73720803000003</v>
      </c>
      <c r="H31" s="18">
        <f t="shared" si="2"/>
        <v>211.54116309999998</v>
      </c>
      <c r="I31" s="18">
        <f t="shared" si="2"/>
        <v>12.48393295</v>
      </c>
      <c r="J31" s="18">
        <f t="shared" si="2"/>
        <v>224.02509605</v>
      </c>
    </row>
    <row r="32" spans="2:10" ht="14.1" customHeight="1">
      <c r="B32" s="125" t="str">
        <f>IF(Indice_index!$Z$1=1,"C16. EMPRESAS 4.0","C16. COMPANIES 4.0")</f>
        <v>C16. EMPRESAS 4.0</v>
      </c>
      <c r="C32" s="4">
        <v>58.891054800000006</v>
      </c>
      <c r="D32" s="4">
        <v>99.224137990000031</v>
      </c>
      <c r="E32" s="4">
        <v>59.76976294</v>
      </c>
      <c r="F32" s="4">
        <v>3.4014000000000006E-3</v>
      </c>
      <c r="G32" s="4">
        <v>59.773164340000037</v>
      </c>
      <c r="H32" s="4">
        <v>90.030826070000032</v>
      </c>
      <c r="I32" s="4">
        <v>0.16850532999999998</v>
      </c>
      <c r="J32" s="4">
        <v>90.199331400000034</v>
      </c>
    </row>
    <row r="33" spans="2:11" ht="14.1" customHeight="1">
      <c r="B33" s="125" t="str">
        <f>IF(Indice_index!$Z$1=1,"C17. QUALIDADE E SUSTENTABILIDADE DAS FINANÇAS PÚBLICAS","C17. QUALITY AND SUSTAINABILITY OF PUBLIC FINANCES")</f>
        <v>C17. QUALIDADE E SUSTENTABILIDADE DAS FINANÇAS PÚBLICAS</v>
      </c>
      <c r="C33" s="4">
        <v>15.047137060000004</v>
      </c>
      <c r="D33" s="4">
        <v>9.3699776999999997</v>
      </c>
      <c r="E33" s="4">
        <v>2.9610252100000003</v>
      </c>
      <c r="F33" s="4">
        <v>0</v>
      </c>
      <c r="G33" s="4">
        <v>2.9610252100000003</v>
      </c>
      <c r="H33" s="4">
        <v>12.203536369999997</v>
      </c>
      <c r="I33" s="4">
        <v>0</v>
      </c>
      <c r="J33" s="4">
        <v>12.203536369999997</v>
      </c>
    </row>
    <row r="34" spans="2:11" ht="14.1" customHeight="1">
      <c r="B34" s="125" t="str">
        <f>IF(Indice_index!$Z$1=1,"C18. JUSTIÇA ECONÓMICA E AMBIENTE DE NEGÓCIOS","C18. ECONOMIC JUSTICE AND BUSINESS ENVIRONMENT")</f>
        <v>C18. JUSTIÇA ECONÓMICA E AMBIENTE DE NEGÓCIOS</v>
      </c>
      <c r="C34" s="4">
        <v>26.369206410000004</v>
      </c>
      <c r="D34" s="4">
        <v>55.629534709999987</v>
      </c>
      <c r="E34" s="4">
        <v>27.81451135</v>
      </c>
      <c r="F34" s="4">
        <v>0</v>
      </c>
      <c r="G34" s="4">
        <v>27.81451135</v>
      </c>
      <c r="H34" s="4">
        <v>42.706760119999991</v>
      </c>
      <c r="I34" s="4">
        <v>7.1622050399999981</v>
      </c>
      <c r="J34" s="4">
        <v>49.868965160000009</v>
      </c>
    </row>
    <row r="35" spans="2:11" ht="14.1" customHeight="1">
      <c r="B35" s="125" t="str">
        <f>IF(Indice_index!$Z$1=1,"C19. ADMINISTRAÇÃO PÚBLICA MAIS EFICIENTE","C19. MORE EFFICIENT PUBLIC ADMINISTRATION")</f>
        <v>C19. ADMINISTRAÇÃO PÚBLICA MAIS EFICIENTE</v>
      </c>
      <c r="C35" s="4">
        <v>110.48285386000006</v>
      </c>
      <c r="D35" s="4">
        <v>68.94992603</v>
      </c>
      <c r="E35" s="4">
        <v>31.36646076000001</v>
      </c>
      <c r="F35" s="4">
        <v>0.21888286999999965</v>
      </c>
      <c r="G35" s="4">
        <v>31.585343629999997</v>
      </c>
      <c r="H35" s="4">
        <v>44.71946472999997</v>
      </c>
      <c r="I35" s="4">
        <v>3.7606663100000017</v>
      </c>
      <c r="J35" s="4">
        <v>48.480131039999968</v>
      </c>
    </row>
    <row r="36" spans="2:11" ht="14.1" customHeight="1">
      <c r="B36" s="125" t="str">
        <f>IF(Indice_index!$Z$1=1,"C20. ESCOLA DIGITAL","C20. DIGITAL SCHOOL")</f>
        <v>C20. ESCOLA DIGITAL</v>
      </c>
      <c r="C36" s="4">
        <v>237.41933944000002</v>
      </c>
      <c r="D36" s="4">
        <v>93.284007819999999</v>
      </c>
      <c r="E36" s="4">
        <v>11.779807030000001</v>
      </c>
      <c r="F36" s="4">
        <v>13.82335647</v>
      </c>
      <c r="G36" s="4">
        <v>25.603163500000001</v>
      </c>
      <c r="H36" s="4">
        <v>21.880575809999971</v>
      </c>
      <c r="I36" s="4">
        <v>1.39255627</v>
      </c>
      <c r="J36" s="4">
        <v>23.273132079999968</v>
      </c>
    </row>
    <row r="37" spans="2:11" ht="14.1" customHeight="1">
      <c r="B37" s="92" t="str">
        <f>IF(Indice_index!$Z$1=1,"Despesa Total","Total Expenditure")</f>
        <v>Despesa Total</v>
      </c>
      <c r="C37" s="27">
        <f t="shared" ref="C37:J37" si="3">+C13+C23+C31</f>
        <v>2704.2560464500007</v>
      </c>
      <c r="D37" s="27">
        <f t="shared" si="3"/>
        <v>2694.6801622400003</v>
      </c>
      <c r="E37" s="27">
        <f t="shared" si="3"/>
        <v>1327.6352129900015</v>
      </c>
      <c r="F37" s="27">
        <f t="shared" si="3"/>
        <v>21.848134340000001</v>
      </c>
      <c r="G37" s="27">
        <f t="shared" si="3"/>
        <v>1349.4833473300023</v>
      </c>
      <c r="H37" s="27">
        <f t="shared" si="3"/>
        <v>2045.7521556599984</v>
      </c>
      <c r="I37" s="27">
        <f t="shared" si="3"/>
        <v>43.319293920000007</v>
      </c>
      <c r="J37" s="27">
        <f t="shared" si="3"/>
        <v>2089.0714495799975</v>
      </c>
    </row>
    <row r="38" spans="2:11" ht="15">
      <c r="B38" s="9" t="str">
        <f>IF(Indice_index!$Z$1=1,"Notas:","Notes:")</f>
        <v>Notas:</v>
      </c>
      <c r="C38" s="9"/>
      <c r="D38" s="9"/>
      <c r="E38" s="9"/>
      <c r="F38" s="9"/>
      <c r="G38" s="9"/>
      <c r="H38" s="9"/>
      <c r="I38" s="9"/>
      <c r="J38" s="9"/>
      <c r="K38" s="9"/>
    </row>
    <row r="39" spans="2:11" ht="15">
      <c r="B39" s="392" t="str">
        <f>IF(Indice_index!$Z$1=1,"Despesa total consolidada de fluxos internos à Administração Central. Não inclui diferenças de consolidação.","Total Expenditure Consolidated ​​of internal flows to the Central Government. It does not include consolidation differences.")</f>
        <v>Despesa total consolidada de fluxos internos à Administração Central. Não inclui diferenças de consolidação.</v>
      </c>
      <c r="C39" s="392"/>
      <c r="D39" s="392"/>
      <c r="E39" s="392"/>
      <c r="F39" s="392"/>
      <c r="G39" s="392"/>
      <c r="H39" s="392"/>
      <c r="I39" s="392"/>
      <c r="J39" s="392"/>
      <c r="K39" s="31"/>
    </row>
    <row r="40" spans="2:11" ht="15">
      <c r="B40" s="152" t="str">
        <f>IF(Indice_index!$Z$1=1,"Fonte: Entidade Orçamental.","Source: Budgetary Entity.")</f>
        <v>Fonte: Entidade Orçamental.</v>
      </c>
      <c r="C40" s="152"/>
      <c r="D40" s="152"/>
      <c r="E40" s="152"/>
      <c r="F40" s="152"/>
      <c r="G40" s="29"/>
      <c r="H40" s="189"/>
      <c r="I40" s="28"/>
      <c r="J40" s="28"/>
      <c r="K40" s="153"/>
    </row>
    <row r="41" spans="2:11" ht="15">
      <c r="B41" s="398"/>
      <c r="C41" s="398"/>
      <c r="D41" s="398"/>
      <c r="E41" s="398"/>
      <c r="F41" s="62"/>
      <c r="G41" s="62"/>
    </row>
    <row r="42" spans="2:11" ht="15" hidden="1">
      <c r="B42" s="397"/>
      <c r="C42" s="397"/>
      <c r="D42" s="397"/>
      <c r="E42" s="397"/>
      <c r="F42" s="62"/>
      <c r="G42" s="62"/>
    </row>
    <row r="43" spans="2:11" ht="15" hidden="1">
      <c r="B43" s="397"/>
      <c r="C43" s="397"/>
      <c r="D43" s="397"/>
      <c r="E43" s="397"/>
      <c r="F43" s="62"/>
      <c r="G43" s="62"/>
    </row>
    <row r="44" spans="2:11" ht="15" hidden="1">
      <c r="B44" s="398"/>
      <c r="C44" s="398"/>
      <c r="D44" s="398"/>
      <c r="E44" s="398"/>
      <c r="F44" s="54"/>
      <c r="G44" s="54"/>
    </row>
  </sheetData>
  <mergeCells count="11">
    <mergeCell ref="B41:E41"/>
    <mergeCell ref="B42:E42"/>
    <mergeCell ref="B43:E43"/>
    <mergeCell ref="B44:E44"/>
    <mergeCell ref="B39:J39"/>
    <mergeCell ref="E11:G11"/>
    <mergeCell ref="H11:J11"/>
    <mergeCell ref="B10:B12"/>
    <mergeCell ref="E10:J10"/>
    <mergeCell ref="D10:D12"/>
    <mergeCell ref="C10:C12"/>
  </mergeCells>
  <conditionalFormatting sqref="C14:J22 C24:J30 C32:J36">
    <cfRule type="cellIs" dxfId="30"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40" unlockedFormula="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olha3">
    <pageSetUpPr fitToPage="1"/>
  </sheetPr>
  <dimension ref="A1:AB40"/>
  <sheetViews>
    <sheetView showGridLines="0" tabSelected="1" zoomScaleNormal="100" workbookViewId="0">
      <selection activeCell="C8" sqref="C8"/>
    </sheetView>
  </sheetViews>
  <sheetFormatPr defaultColWidth="0" defaultRowHeight="15" zeroHeight="1"/>
  <cols>
    <col min="1" max="2" width="3.5703125" style="34" customWidth="1"/>
    <col min="3" max="3" width="125.5703125" style="34" customWidth="1"/>
    <col min="4" max="6" width="16.28515625" style="34" customWidth="1"/>
    <col min="7" max="7" width="9.42578125" style="34" customWidth="1"/>
    <col min="8" max="28" width="9.42578125" style="34" hidden="1" customWidth="1"/>
    <col min="29" max="16384" width="9.42578125" hidden="1"/>
  </cols>
  <sheetData>
    <row r="1" spans="2:26">
      <c r="B1"/>
      <c r="C1"/>
      <c r="D1"/>
      <c r="E1"/>
      <c r="F1"/>
      <c r="G1"/>
      <c r="H1"/>
      <c r="I1"/>
      <c r="J1"/>
      <c r="K1"/>
      <c r="L1"/>
      <c r="M1"/>
      <c r="N1"/>
      <c r="O1"/>
      <c r="P1"/>
      <c r="Q1"/>
      <c r="R1"/>
      <c r="S1"/>
      <c r="T1"/>
      <c r="U1"/>
      <c r="V1"/>
      <c r="W1"/>
      <c r="X1" s="46">
        <v>1</v>
      </c>
      <c r="Y1" s="40" t="s">
        <v>7</v>
      </c>
      <c r="Z1" s="46">
        <v>1</v>
      </c>
    </row>
    <row r="2" spans="2:26" ht="32.25" customHeight="1">
      <c r="B2" s="45"/>
      <c r="C2"/>
      <c r="D2"/>
      <c r="E2"/>
      <c r="F2"/>
      <c r="G2"/>
      <c r="H2"/>
      <c r="I2"/>
      <c r="J2"/>
      <c r="K2"/>
      <c r="L2"/>
      <c r="M2"/>
      <c r="N2"/>
      <c r="O2"/>
      <c r="P2"/>
      <c r="Q2"/>
      <c r="R2"/>
      <c r="S2"/>
      <c r="T2"/>
      <c r="U2"/>
      <c r="V2"/>
      <c r="W2"/>
      <c r="X2" s="46">
        <v>2</v>
      </c>
      <c r="Y2" s="40" t="s">
        <v>6</v>
      </c>
      <c r="Z2" s="46"/>
    </row>
    <row r="3" spans="2:26" ht="30" customHeight="1">
      <c r="B3" s="45"/>
      <c r="C3"/>
      <c r="D3" s="352" t="str">
        <f>IF(Indice_index!$Z$1=1,"ANEXOS ESTATÍSTICOS","STATISTICAL ANNEXES")</f>
        <v>ANEXOS ESTATÍSTICOS</v>
      </c>
      <c r="E3" s="352"/>
      <c r="F3"/>
      <c r="G3"/>
      <c r="H3"/>
      <c r="I3"/>
      <c r="J3"/>
      <c r="K3"/>
      <c r="L3"/>
      <c r="M3"/>
      <c r="N3"/>
      <c r="O3"/>
      <c r="P3"/>
      <c r="Q3"/>
      <c r="R3"/>
      <c r="S3"/>
      <c r="T3"/>
      <c r="U3"/>
      <c r="V3"/>
      <c r="W3"/>
      <c r="X3"/>
      <c r="Y3"/>
      <c r="Z3"/>
    </row>
    <row r="4" spans="2:26" ht="49.5" customHeight="1">
      <c r="B4" s="36"/>
      <c r="C4" s="44"/>
      <c r="D4" s="353" t="str">
        <f>IF(Indice_index!$Z$1=1,"Agosto de 2025","August 2025")</f>
        <v>Agosto de 2025</v>
      </c>
      <c r="E4" s="353"/>
      <c r="F4"/>
      <c r="G4"/>
      <c r="H4"/>
      <c r="I4"/>
      <c r="J4"/>
      <c r="K4"/>
      <c r="L4"/>
      <c r="M4"/>
      <c r="N4"/>
      <c r="O4"/>
      <c r="P4"/>
      <c r="Q4"/>
      <c r="R4"/>
      <c r="S4"/>
      <c r="T4"/>
      <c r="U4"/>
      <c r="V4"/>
      <c r="W4"/>
      <c r="X4"/>
      <c r="Y4"/>
      <c r="Z4"/>
    </row>
    <row r="5" spans="2:26">
      <c r="B5" s="349" t="s">
        <v>5</v>
      </c>
      <c r="C5" s="349"/>
      <c r="D5" s="41"/>
      <c r="E5" s="40"/>
      <c r="F5" s="40"/>
      <c r="G5" s="43"/>
      <c r="H5" s="43"/>
      <c r="I5" s="40"/>
      <c r="J5" s="40"/>
      <c r="K5" s="40"/>
      <c r="L5" s="40"/>
      <c r="M5" s="40"/>
      <c r="N5" s="40"/>
      <c r="O5" s="40"/>
      <c r="P5" s="40"/>
      <c r="Q5" s="40"/>
      <c r="R5" s="40"/>
      <c r="S5" s="40"/>
      <c r="T5" s="40"/>
      <c r="U5" s="40"/>
      <c r="V5" s="40"/>
      <c r="W5" s="40"/>
      <c r="X5" s="40"/>
      <c r="Y5" s="40"/>
      <c r="Z5" s="40"/>
    </row>
    <row r="6" spans="2:26">
      <c r="B6" s="42"/>
      <c r="C6" s="42"/>
      <c r="D6" s="41"/>
      <c r="E6" s="40"/>
      <c r="F6" s="40"/>
      <c r="G6" s="40"/>
      <c r="H6" s="40"/>
      <c r="I6" s="40"/>
      <c r="J6" s="40"/>
      <c r="K6" s="40"/>
      <c r="L6" s="40"/>
      <c r="M6" s="40"/>
      <c r="N6" s="40"/>
      <c r="O6" s="40"/>
      <c r="P6" s="40"/>
      <c r="Q6" s="40"/>
      <c r="R6" s="40"/>
      <c r="S6" s="40"/>
      <c r="T6" s="40"/>
      <c r="U6" s="40"/>
      <c r="V6" s="40"/>
      <c r="W6" s="40"/>
      <c r="X6" s="40"/>
      <c r="Y6" s="40"/>
      <c r="Z6" s="40"/>
    </row>
    <row r="7" spans="2:26"/>
    <row r="8" spans="2:26" ht="30">
      <c r="C8" s="39"/>
      <c r="D8" s="38" t="str">
        <f>IF(Indice_index!$Z$1=1,"Última actualização","Last updated on")</f>
        <v>Última actualização</v>
      </c>
      <c r="E8" s="38" t="str">
        <f>IF(Indice_index!$Z$1=1,"Próxima actualização","Next update")</f>
        <v>Próxima actualização</v>
      </c>
      <c r="F8" s="38" t="str">
        <f>IF(Indice_index!$Z$1=1,"Último valor disponível","Last available figures")</f>
        <v>Último valor disponível</v>
      </c>
    </row>
    <row r="9" spans="2:26" ht="20.85" customHeight="1">
      <c r="C9" s="35" t="str">
        <f>+'1 - Saldo Global Rec Desp'!B8</f>
        <v>Quadro 1 - Receita, despesa e saldo das Administrações Públicas</v>
      </c>
      <c r="D9" s="350" t="str">
        <f>IF(Indice_index!$Z$1=1,"30-setembro-25","30-September-25")</f>
        <v>30-setembro-25</v>
      </c>
      <c r="E9" s="350" t="str">
        <f>IF(Indice_index!$Z$1=1,"31-outubro-25","31-October-25")</f>
        <v>31-outubro-25</v>
      </c>
      <c r="F9" s="351" t="str">
        <f>IF(Indice_index!$Z$1=1,"agosto 2025","August 2025")</f>
        <v>agosto 2025</v>
      </c>
    </row>
    <row r="10" spans="2:26" ht="20.85" customHeight="1">
      <c r="C10" s="35" t="str">
        <f>+'2 - Conta Consol AP'!B8</f>
        <v>Quadro 2 - Conta Consolidada das Administrações Públicas</v>
      </c>
      <c r="D10" s="350"/>
      <c r="E10" s="350"/>
      <c r="F10" s="351"/>
    </row>
    <row r="11" spans="2:26" ht="20.85" customHeight="1">
      <c r="C11" s="35" t="str">
        <f>+'3 - Conta AC + SS'!B8</f>
        <v>Quadro 3 - Conta Consolidada da Administração Central e Segurança Social</v>
      </c>
      <c r="D11" s="350"/>
      <c r="E11" s="350"/>
      <c r="F11" s="351"/>
    </row>
    <row r="12" spans="2:26" ht="20.85" customHeight="1">
      <c r="C12" s="35" t="str">
        <f>+'4 - Conta AC'!B8</f>
        <v>Quadro 4 - Conta Consolidada da Administração Central</v>
      </c>
      <c r="D12" s="350"/>
      <c r="E12" s="350"/>
      <c r="F12" s="351"/>
    </row>
    <row r="13" spans="2:26" ht="20.85" customHeight="1">
      <c r="C13" s="35" t="str">
        <f>+'5 - Estado'!B8</f>
        <v>Quadro 5 - Execução Orçamental do Estado</v>
      </c>
      <c r="D13" s="350"/>
      <c r="E13" s="350"/>
      <c r="F13" s="351"/>
      <c r="J13" s="37"/>
    </row>
    <row r="14" spans="2:26" ht="20.85" customHeight="1">
      <c r="C14" s="35" t="str">
        <f>+'6 - R_Est'!B8</f>
        <v>Quadro 6 - Receita do Estado</v>
      </c>
      <c r="D14" s="350"/>
      <c r="E14" s="350"/>
      <c r="F14" s="351"/>
    </row>
    <row r="15" spans="2:26" ht="20.85" customHeight="1">
      <c r="C15" s="35" t="str">
        <f>+'7 - SFA'!B8</f>
        <v>Quadro 7 - Execução Orçamental dos Serviços e Fundos Autónomos (inclui Entidades Públicas Reclassificadas da Administração Central)</v>
      </c>
      <c r="D15" s="350"/>
      <c r="E15" s="350"/>
      <c r="F15" s="351"/>
    </row>
    <row r="16" spans="2:26" ht="20.85" customHeight="1">
      <c r="C16" s="35" t="str">
        <f>+'8 - EPR'!B8</f>
        <v>Quadro 8 - Execução Orçamental das Entidades Públicas Reclassificadas da Administração Central</v>
      </c>
      <c r="D16" s="350"/>
      <c r="E16" s="350"/>
      <c r="F16" s="351"/>
    </row>
    <row r="17" spans="3:6" ht="20.85" customHeight="1">
      <c r="C17" s="35" t="str">
        <f>+'9 - CGA'!B8</f>
        <v>Quadro 9 - Execução Orçamental da Caixa Geral de Aposentações</v>
      </c>
      <c r="D17" s="350"/>
      <c r="E17" s="350"/>
      <c r="F17" s="351"/>
    </row>
    <row r="18" spans="3:6" ht="20.85" customHeight="1">
      <c r="C18" s="35" t="str">
        <f>+'10 - SS'!B8</f>
        <v>Quadro 10 - Execução Orçamental da Segurança Social</v>
      </c>
      <c r="D18" s="350"/>
      <c r="E18" s="350"/>
      <c r="F18" s="351"/>
    </row>
    <row r="19" spans="3:6" ht="20.85" customHeight="1">
      <c r="C19" s="35" t="str">
        <f>+'11 - SS Eco'!B8</f>
        <v>Quadro 11 - Execução Orçamental da Segurança Social por Classificação Económica</v>
      </c>
      <c r="D19" s="350"/>
      <c r="E19" s="350"/>
      <c r="F19" s="351"/>
    </row>
    <row r="20" spans="3:6" ht="20.85" customHeight="1">
      <c r="C20" s="35" t="str">
        <f>+'12 - Adm R'!B8</f>
        <v>Quadro 12 - Execução Orçamental da Administração Regional</v>
      </c>
      <c r="D20" s="350"/>
      <c r="E20" s="350"/>
      <c r="F20" s="351"/>
    </row>
    <row r="21" spans="3:6" ht="20.85" customHeight="1">
      <c r="C21" s="35" t="str">
        <f>+'13 - Adm Loc'!B8</f>
        <v>Quadro 13 - Execução Orçamental dos Municípios</v>
      </c>
      <c r="D21" s="350"/>
      <c r="E21" s="350"/>
      <c r="F21" s="351"/>
    </row>
    <row r="22" spans="3:6" ht="20.85" customHeight="1">
      <c r="C22" s="35" t="str">
        <f>'14 - PRR Conta AC'!B8</f>
        <v>Quadro 14 - Plano de Recuperação e Resiliência - Conta Consolidada da Administração Central</v>
      </c>
      <c r="D22" s="350"/>
      <c r="E22" s="350"/>
      <c r="F22" s="351"/>
    </row>
    <row r="23" spans="3:6" ht="20.85" customHeight="1">
      <c r="C23" s="35" t="str">
        <f>'15 - PRR Exec Programa'!B8</f>
        <v>Quadro 15 - Plano de Recuperação e Resiliência - Administração Central por Programa Orçamental</v>
      </c>
      <c r="D23" s="350"/>
      <c r="E23" s="350"/>
      <c r="F23" s="351"/>
    </row>
    <row r="24" spans="3:6" ht="20.85" customHeight="1">
      <c r="C24" s="35" t="str">
        <f>'16 - PRR Exec Componente'!B8</f>
        <v>Quadro 16 - Plano de Recuperação e Resiliência - Administração Central por Dimensão e Componente</v>
      </c>
      <c r="D24" s="350"/>
      <c r="E24" s="350"/>
      <c r="F24" s="351"/>
    </row>
    <row r="25" spans="3:6" ht="20.85" customHeight="1">
      <c r="C25" s="35" t="str">
        <f>'17 - Despesa Ativos '!B8</f>
        <v>Quadro 17 - Despesa com Ativos Financeiros do Estado</v>
      </c>
      <c r="D25" s="350"/>
      <c r="E25" s="350"/>
      <c r="F25" s="351"/>
    </row>
    <row r="26" spans="3:6" ht="20.85" customHeight="1">
      <c r="C26" s="35" t="str">
        <f>'18 - SNS exec fin'!B8</f>
        <v>Quadro 18 - Execução Financeira Consolidada do Serviço Nacional de Saúde</v>
      </c>
      <c r="D26" s="350"/>
      <c r="E26" s="350"/>
      <c r="F26" s="351"/>
    </row>
    <row r="27" spans="3:6" ht="20.85" customHeight="1">
      <c r="C27" s="35" t="str">
        <f>'19 - Dív não Fin'!B8</f>
        <v>Quadro 19 - Dívida não Financeira das Administrações Públicas</v>
      </c>
      <c r="D27" s="350"/>
      <c r="E27" s="350"/>
      <c r="F27" s="351"/>
    </row>
    <row r="28" spans="3:6" ht="20.85" customHeight="1">
      <c r="C28" s="35" t="str">
        <f>'20 - CGA Ind'!B8</f>
        <v>Quadro 20 - Indicadores Físicos e Financeiros do Sistema de Proteção Social da Função Pública</v>
      </c>
      <c r="D28" s="350"/>
      <c r="E28" s="350"/>
      <c r="F28" s="351"/>
    </row>
    <row r="29" spans="3:6" ht="20.85" customHeight="1">
      <c r="C29" s="35" t="str">
        <f>'21 - Ef Temp AC+SS'!B8</f>
        <v>Quadro 21 - Efeitos temporários/especiais na conta da Administração Central e Segurança Social</v>
      </c>
      <c r="D29" s="350"/>
      <c r="E29" s="350"/>
      <c r="F29" s="351"/>
    </row>
    <row r="30" spans="3:6" ht="20.85" customHeight="1">
      <c r="C30" s="35" t="str">
        <f>'22 - Estimativas'!B8</f>
        <v>Quadro 22 - Estimativas de execução consideradas na conta da Administração Central</v>
      </c>
      <c r="D30" s="350"/>
      <c r="E30" s="350"/>
      <c r="F30" s="351"/>
    </row>
    <row r="31" spans="3:6" ht="20.85" customHeight="1">
      <c r="C31" s="35" t="str">
        <f>'23 - Util. Cond. Dot. Orç'!B8</f>
        <v>Quadro 23 - Utilização condicionada das dotações orçamentais do OE 2025</v>
      </c>
      <c r="D31" s="350"/>
      <c r="E31" s="350"/>
      <c r="F31" s="351"/>
    </row>
    <row r="32" spans="3:6" ht="20.85" customHeight="1">
      <c r="C32" s="35" t="str">
        <f>'24 - Desp. Efetiva por PO'!B8</f>
        <v>Quadro 24 - Despesa Efetiva Consolidada por Programa Orçamental</v>
      </c>
      <c r="D32" s="350"/>
      <c r="E32" s="350"/>
      <c r="F32" s="351"/>
    </row>
    <row r="33" spans="1:28" ht="20.85" customHeight="1">
      <c r="C33" s="35" t="str">
        <f>'25 - Fator. explic. Contas Nac.'!B8</f>
        <v>Quadro 25 - Fatores explicativos com efeito diferenciado em Contas Nacionais</v>
      </c>
      <c r="D33" s="350"/>
      <c r="E33" s="350"/>
      <c r="F33" s="351"/>
    </row>
    <row r="34" spans="1:28" ht="20.85" customHeight="1">
      <c r="C34" s="35" t="str">
        <f>'26 - Lista Entidades AC 2025'!B8</f>
        <v>Quadro 26 - Lista de entidades da Administração Central em 2025</v>
      </c>
      <c r="D34" s="350"/>
      <c r="E34" s="350"/>
      <c r="F34" s="351"/>
    </row>
    <row r="35" spans="1:28">
      <c r="A35"/>
      <c r="B35" s="205"/>
      <c r="C35" s="205"/>
      <c r="D35" s="205"/>
      <c r="E35" s="205"/>
      <c r="F35" s="205"/>
      <c r="G35"/>
      <c r="H35"/>
      <c r="I35"/>
      <c r="J35"/>
      <c r="K35"/>
      <c r="L35"/>
      <c r="M35"/>
      <c r="N35"/>
      <c r="O35"/>
      <c r="P35"/>
      <c r="Q35"/>
      <c r="R35"/>
      <c r="S35"/>
      <c r="T35"/>
      <c r="U35"/>
      <c r="V35"/>
      <c r="W35"/>
      <c r="X35"/>
      <c r="Y35"/>
      <c r="Z35"/>
      <c r="AA35"/>
      <c r="AB35"/>
    </row>
    <row r="36" spans="1:28"/>
    <row r="37" spans="1:28"/>
    <row r="38" spans="1:28"/>
    <row r="39" spans="1:28"/>
    <row r="40" spans="1:28"/>
  </sheetData>
  <mergeCells count="6">
    <mergeCell ref="B5:C5"/>
    <mergeCell ref="D9:D34"/>
    <mergeCell ref="E9:E34"/>
    <mergeCell ref="F9:F34"/>
    <mergeCell ref="D3:E3"/>
    <mergeCell ref="D4:E4"/>
  </mergeCells>
  <hyperlinks>
    <hyperlink ref="C9" location="'1 - Saldo Global Rec Desp'!A1" display="'1 - Saldo Global Rec Desp'!A1" xr:uid="{00000000-0004-0000-0100-000000000000}"/>
    <hyperlink ref="C10" location="'2 - Conta Consol AP'!A1" display="'2 - Conta Consol AP'!A1" xr:uid="{00000000-0004-0000-0100-000001000000}"/>
    <hyperlink ref="C11" location="'3 - Conta AC + SS'!A1" display="'3 - Conta AC + SS'!A1" xr:uid="{00000000-0004-0000-0100-000004000000}"/>
    <hyperlink ref="C12" location="'4 - Conta AC'!A1" display="'4 - Conta AC'!A1" xr:uid="{00000000-0004-0000-0100-000005000000}"/>
    <hyperlink ref="C13" location="'5 - Estado'!A1" display="'5 - Estado'!A1" xr:uid="{00000000-0004-0000-0100-000006000000}"/>
    <hyperlink ref="C14" location="'6 - R_Est'!A1" display="'6 - R_Est'!A1" xr:uid="{00000000-0004-0000-0100-000007000000}"/>
    <hyperlink ref="C15" location="'7 - SFA'!A1" display="'7 - SFA'!A1" xr:uid="{00000000-0004-0000-0100-000008000000}"/>
    <hyperlink ref="C16" location="'8 - EPR'!A1" display="'8 - EPR'!A1" xr:uid="{00000000-0004-0000-0100-000009000000}"/>
    <hyperlink ref="C17" location="'9 - CGA'!A1" display="'9 - CGA'!A1" xr:uid="{00000000-0004-0000-0100-00000A000000}"/>
    <hyperlink ref="C18" location="'10 - SS'!A1" display="'10 - SS'!A1" xr:uid="{00000000-0004-0000-0100-00000B000000}"/>
    <hyperlink ref="C19" location="'11 - SS Eco'!A1" display="'11 - SS Eco'!A1" xr:uid="{00000000-0004-0000-0100-00000C000000}"/>
    <hyperlink ref="C20" location="'12 - Adm R'!A1" display="'12 - Adm R'!A1" xr:uid="{00000000-0004-0000-0100-00000D000000}"/>
    <hyperlink ref="C21" location="'13 - Adm Loc'!A1" display="'13 - Adm Loc'!A1" xr:uid="{00000000-0004-0000-0100-00000E000000}"/>
    <hyperlink ref="C25" location="'17 - Despesa Ativos '!A1" display="'17 - Despesa Ativos '!A1" xr:uid="{00000000-0004-0000-0100-00000F000000}"/>
    <hyperlink ref="C26" location="'18 - SNS exec fin'!A1" display="'18 - SNS exec fin'!A1" xr:uid="{00000000-0004-0000-0100-000010000000}"/>
    <hyperlink ref="C27" location="'19 - Dív não Fin'!A1" display="'19 - Dív não Fin'!A1" xr:uid="{00000000-0004-0000-0100-000011000000}"/>
    <hyperlink ref="C28" location="'20 - CGA Ind'!A1" display="'20 - CGA Ind'!A1" xr:uid="{00000000-0004-0000-0100-000012000000}"/>
    <hyperlink ref="C29" location="'21 - Ef Temp AC+SS'!A1" display="'21 - Ef Temp AC+SS'!A1" xr:uid="{00000000-0004-0000-0100-000013000000}"/>
    <hyperlink ref="C30" location="'22 - Estimativas'!A1" display="'22 - Estimativas'!A1" xr:uid="{00000000-0004-0000-0100-000014000000}"/>
    <hyperlink ref="C31" location="'23 - Util. Cond. Dot. Orç'!A1" display="'23 - Util. Cond. Dot. Orç'!A1" xr:uid="{00000000-0004-0000-0100-000015000000}"/>
    <hyperlink ref="C32" location="'24 - Desp. Efetiva por PO'!A1" display="'24 - Desp. Efetiva por PO'!A1" xr:uid="{00000000-0004-0000-0100-000016000000}"/>
    <hyperlink ref="C22" location="'14 - PRR Conta AC'!A1" display="'14 - PRR Conta AC'!A1" xr:uid="{00000000-0004-0000-0100-000018000000}"/>
    <hyperlink ref="C23" location="'15 - PRR Exec Programa'!A1" display="'15 - PRR Exec Programa'!A1" xr:uid="{00000000-0004-0000-0100-000019000000}"/>
    <hyperlink ref="C24" location="'16 - PRR Exec Componente'!A1" display="'16 - PRR Exec Componente'!A1" xr:uid="{00000000-0004-0000-0100-00001A000000}"/>
    <hyperlink ref="C33" location="'26 - Fator. explic. Contas Nac.'!A1" display="'26 - Fator. explic. Contas Nac.'!A1" xr:uid="{AABD5D43-BBDC-4EC8-B5A3-9ABAE8354A84}"/>
    <hyperlink ref="C34" location="'27 - Lista Entidades AC 2025'!A1" display="'27 - Lista Entidades AC 2025'!A1" xr:uid="{11FFDC9C-24A3-4023-B49A-CE45E277F4A0}"/>
  </hyperlinks>
  <pageMargins left="0.70866141732283472" right="0.70866141732283472" top="0.74803149606299213" bottom="0.74803149606299213" header="0.31496062992125984" footer="0.31496062992125984"/>
  <pageSetup paperSize="9" scale="58" orientation="portrait" r:id="rId1"/>
  <ignoredErrors>
    <ignoredError sqref="D10:F34 D9:E9" twoDigitTextYear="1"/>
  </ignoredErrors>
  <drawing r:id="rId2"/>
  <legacyDrawing r:id="rId3"/>
  <mc:AlternateContent xmlns:mc="http://schemas.openxmlformats.org/markup-compatibility/2006">
    <mc:Choice Requires="x14">
      <controls>
        <mc:AlternateContent xmlns:mc="http://schemas.openxmlformats.org/markup-compatibility/2006">
          <mc:Choice Requires="x14">
            <control shapeId="9217" r:id="rId4" name="Drop Down 1">
              <controlPr defaultSize="0" autoLine="0" autoPict="0">
                <anchor moveWithCells="1">
                  <from>
                    <xdr:col>2</xdr:col>
                    <xdr:colOff>1524000</xdr:colOff>
                    <xdr:row>4</xdr:row>
                    <xdr:rowOff>28575</xdr:rowOff>
                  </from>
                  <to>
                    <xdr:col>2</xdr:col>
                    <xdr:colOff>4371975</xdr:colOff>
                    <xdr:row>5</xdr:row>
                    <xdr:rowOff>66675</xdr:rowOff>
                  </to>
                </anchor>
              </controlPr>
            </control>
          </mc:Choice>
        </mc:AlternateContent>
      </controls>
    </mc:Choice>
  </mc:AlternateConten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Folha20">
    <pageSetUpPr fitToPage="1"/>
  </sheetPr>
  <dimension ref="A1:R38"/>
  <sheetViews>
    <sheetView showGridLines="0" zoomScaleNormal="100" workbookViewId="0"/>
  </sheetViews>
  <sheetFormatPr defaultColWidth="0" defaultRowHeight="14.85" customHeight="1" zeroHeight="1"/>
  <cols>
    <col min="1" max="1" width="8.5703125" style="91" customWidth="1"/>
    <col min="2" max="2" width="35.42578125" style="91" customWidth="1"/>
    <col min="3" max="9" width="9.42578125" style="91" customWidth="1"/>
    <col min="10" max="10" width="8.5703125" style="91" customWidth="1"/>
    <col min="11" max="18" width="0" hidden="1" customWidth="1"/>
    <col min="19" max="16384" width="9.42578125" hidden="1"/>
  </cols>
  <sheetData>
    <row r="1" spans="1:11" ht="14.85" customHeight="1">
      <c r="K1" s="91"/>
    </row>
    <row r="2" spans="1:11" ht="15">
      <c r="K2" s="91"/>
    </row>
    <row r="3" spans="1:11" ht="15">
      <c r="K3" s="91"/>
    </row>
    <row r="4" spans="1:11" ht="15">
      <c r="K4" s="91"/>
    </row>
    <row r="5" spans="1:11" ht="18" customHeight="1">
      <c r="A5"/>
      <c r="B5" s="270" t="str">
        <f>IF(Indice_index!$Z$1=1,"ANEXOS ESTATÍSTICOS","STATISTICAL ANNEXES")</f>
        <v>ANEXOS ESTATÍSTICOS</v>
      </c>
      <c r="C5"/>
      <c r="D5"/>
      <c r="E5"/>
      <c r="F5"/>
      <c r="G5"/>
      <c r="H5"/>
      <c r="I5"/>
      <c r="J5"/>
    </row>
    <row r="6" spans="1:11" ht="18" customHeight="1">
      <c r="A6"/>
      <c r="B6" s="271" t="str">
        <f>IF(Indice_index!$Z$1=1,"Agosto de 2025","August 2025")</f>
        <v>Agosto de 2025</v>
      </c>
      <c r="C6"/>
      <c r="D6"/>
      <c r="E6"/>
      <c r="F6"/>
      <c r="G6"/>
      <c r="H6"/>
      <c r="I6"/>
      <c r="J6"/>
    </row>
    <row r="7" spans="1:11" ht="50.1" customHeight="1">
      <c r="B7" s="12"/>
      <c r="C7" s="13"/>
      <c r="D7" s="11"/>
      <c r="E7" s="11"/>
      <c r="F7" s="11"/>
      <c r="G7" s="11"/>
      <c r="H7" s="11"/>
      <c r="I7" s="11"/>
      <c r="J7" s="11"/>
      <c r="K7" s="91"/>
    </row>
    <row r="8" spans="1:11" ht="15.75">
      <c r="B8" s="1" t="str">
        <f>IF(Indice_index!$Z$1=1,"Quadro 17 - Despesa com Ativos Financeiros do Estado","17 - State Financial assets expenditure")</f>
        <v>Quadro 17 - Despesa com Ativos Financeiros do Estado</v>
      </c>
      <c r="C8" s="2"/>
      <c r="D8" s="2"/>
      <c r="E8" s="2"/>
      <c r="F8" s="2"/>
      <c r="G8" s="2"/>
      <c r="H8" s="2"/>
      <c r="I8" s="2"/>
    </row>
    <row r="9" spans="1:11" ht="15">
      <c r="B9" s="3" t="str">
        <f>IF(Indice_index!$Z$1=1,"Período: janeiro a agosto","Period: January to August")</f>
        <v>Período: janeiro a agosto</v>
      </c>
      <c r="C9" s="3"/>
      <c r="D9" s="3"/>
      <c r="E9" s="118"/>
      <c r="F9" s="118"/>
      <c r="G9" s="3"/>
      <c r="H9" s="3" t="str">
        <f>IF(Indice_index!$Z$1=1,"€ Milhões","€ Millions")</f>
        <v>€ Milhões</v>
      </c>
    </row>
    <row r="10" spans="1:11" ht="26.85" customHeight="1">
      <c r="B10" s="390"/>
      <c r="C10" s="22" t="str">
        <f>IF(Indice_index!$Z$1=1,"CGE","Final execution")</f>
        <v>CGE</v>
      </c>
      <c r="D10" s="22" t="str">
        <f>IF(Indice_index!$Z$1=1,"Orçamento Inicial","Budget")</f>
        <v>Orçamento Inicial</v>
      </c>
      <c r="E10" s="391" t="str">
        <f>IF(Indice_index!$Z$1=1,"Execução","Execution")</f>
        <v>Execução</v>
      </c>
      <c r="F10" s="388"/>
      <c r="G10" s="390" t="str">
        <f>IF(Indice_index!$Z$1=1,"Execução Acumulada","Accumulated Execution")</f>
        <v>Execução Acumulada</v>
      </c>
      <c r="H10" s="390" t="str">
        <f>IF(Indice_index!$Z$1=1,"Grau de Execução (%)","Execution Rate (%)")</f>
        <v>Grau de Execução (%)</v>
      </c>
    </row>
    <row r="11" spans="1:11" ht="15" customHeight="1">
      <c r="B11" s="389"/>
      <c r="C11" s="22">
        <v>2024</v>
      </c>
      <c r="D11" s="22">
        <v>2025</v>
      </c>
      <c r="E11" s="251" t="str">
        <f>IF(Indice_index!$Z$1=1,"jul/2025","Jul/2025")</f>
        <v>jul/2025</v>
      </c>
      <c r="F11" s="251" t="str">
        <f>IF(Indice_index!$Z$1=1,"ago/2025","Aug/2025")</f>
        <v>ago/2025</v>
      </c>
      <c r="G11" s="389"/>
      <c r="H11" s="389"/>
    </row>
    <row r="12" spans="1:11" ht="14.1" customHeight="1">
      <c r="B12" s="174" t="str">
        <f>IF(Indice_index!$Z$1=1,"Empréstimos a curto prazo","Short term loans")</f>
        <v>Empréstimos a curto prazo</v>
      </c>
      <c r="C12" s="134">
        <v>0</v>
      </c>
      <c r="D12" s="134">
        <v>50</v>
      </c>
      <c r="E12" s="283">
        <v>0</v>
      </c>
      <c r="F12" s="134">
        <v>0</v>
      </c>
      <c r="G12" s="134">
        <v>0</v>
      </c>
      <c r="H12" s="134">
        <v>0</v>
      </c>
      <c r="I12" s="254"/>
    </row>
    <row r="13" spans="1:11" ht="14.1" customHeight="1">
      <c r="B13" s="174" t="str">
        <f>IF(Indice_index!$Z$1=1,"Empréstimos a médio e longo prazos","Medium-long term loans")</f>
        <v>Empréstimos a médio e longo prazos</v>
      </c>
      <c r="C13" s="134">
        <f>SUM(C14:C23)</f>
        <v>607.59621805000006</v>
      </c>
      <c r="D13" s="134">
        <f t="shared" ref="D13" si="0">SUM(D14:D23)</f>
        <v>6406.6647029999995</v>
      </c>
      <c r="E13" s="134">
        <v>49.999999999999993</v>
      </c>
      <c r="F13" s="134">
        <v>0.69087600000000005</v>
      </c>
      <c r="G13" s="134">
        <v>392.61444935999998</v>
      </c>
      <c r="H13" s="134">
        <v>6.128219089975997</v>
      </c>
      <c r="I13" s="254"/>
      <c r="J13" s="213"/>
    </row>
    <row r="14" spans="1:11" ht="14.1" customHeight="1">
      <c r="B14" s="125" t="str">
        <f>IF(Indice_index!$Z$1=1,"Entidades Públicas","Public Entities")</f>
        <v>Entidades Públicas</v>
      </c>
      <c r="C14" s="4">
        <v>0</v>
      </c>
      <c r="D14" s="4">
        <v>5126</v>
      </c>
      <c r="E14" s="4">
        <v>0</v>
      </c>
      <c r="F14" s="4">
        <v>0</v>
      </c>
      <c r="G14" s="4">
        <v>0</v>
      </c>
      <c r="H14" s="4">
        <v>0</v>
      </c>
      <c r="I14" s="254"/>
      <c r="J14" s="213"/>
    </row>
    <row r="15" spans="1:11" ht="14.1" customHeight="1">
      <c r="B15" s="125" t="str">
        <f>IF(Indice_index!$Z$1=1,"Serviços e Fundos Autónomos","Autonomous Services and Funds ")</f>
        <v>Serviços e Fundos Autónomos</v>
      </c>
      <c r="C15" s="4">
        <v>425.15077845999997</v>
      </c>
      <c r="D15" s="4">
        <v>1209.063165</v>
      </c>
      <c r="E15" s="4">
        <v>49.999999999999993</v>
      </c>
      <c r="F15" s="4">
        <v>0</v>
      </c>
      <c r="G15" s="4">
        <v>207.73780635999998</v>
      </c>
      <c r="H15" s="4">
        <v>17.181716586329053</v>
      </c>
      <c r="I15" s="254"/>
      <c r="J15" s="213"/>
    </row>
    <row r="16" spans="1:11" ht="14.1" customHeight="1">
      <c r="B16" s="125" t="str">
        <f>IF(Indice_index!$Z$1=1,"Entidades Públicas Reclassificadas","Reclassified Public Entities")</f>
        <v>Entidades Públicas Reclassificadas</v>
      </c>
      <c r="C16" s="4">
        <v>27.42010887</v>
      </c>
      <c r="D16" s="4">
        <v>55.254197999999995</v>
      </c>
      <c r="E16" s="4">
        <v>0</v>
      </c>
      <c r="F16" s="4">
        <v>0</v>
      </c>
      <c r="G16" s="4">
        <v>32.185766999999998</v>
      </c>
      <c r="H16" s="4">
        <v>58.250355927707062</v>
      </c>
      <c r="I16" s="254"/>
      <c r="J16" s="213"/>
    </row>
    <row r="17" spans="2:10" ht="14.1" customHeight="1">
      <c r="B17" s="125" t="str">
        <f>IF(Indice_index!$Z$1=1,"Administração Regional","Regional Government")</f>
        <v>Administração Regional</v>
      </c>
      <c r="C17" s="4">
        <v>110</v>
      </c>
      <c r="D17" s="4">
        <v>0</v>
      </c>
      <c r="E17" s="4">
        <v>0</v>
      </c>
      <c r="F17" s="4">
        <v>0</v>
      </c>
      <c r="G17" s="4">
        <v>150</v>
      </c>
      <c r="H17" s="4">
        <v>0</v>
      </c>
      <c r="I17" s="254"/>
      <c r="J17" s="213"/>
    </row>
    <row r="18" spans="2:10" ht="14.1" customHeight="1">
      <c r="B18" s="125" t="str">
        <f>IF(Indice_index!$Z$1=1," Administração Local (Portugal 2020)","Local Administration (Portugal 2020)")</f>
        <v xml:space="preserve"> Administração Local (Portugal 2020)</v>
      </c>
      <c r="C18" s="4">
        <v>27.520077000000001</v>
      </c>
      <c r="D18" s="4">
        <v>0</v>
      </c>
      <c r="E18" s="4">
        <v>0</v>
      </c>
      <c r="F18" s="4">
        <v>0</v>
      </c>
      <c r="G18" s="4">
        <v>0</v>
      </c>
      <c r="H18" s="4">
        <v>0</v>
      </c>
      <c r="I18" s="254"/>
      <c r="J18" s="213"/>
    </row>
    <row r="19" spans="2:10" ht="14.1" customHeight="1">
      <c r="B19" s="125" t="str">
        <f>IF(Indice_index!$Z$1=1,"Administração Local (IFRRU)","Local Administration (IFRRU)")</f>
        <v>Administração Local (IFRRU)</v>
      </c>
      <c r="C19" s="4">
        <v>0</v>
      </c>
      <c r="D19" s="4">
        <v>0</v>
      </c>
      <c r="E19" s="4">
        <v>0</v>
      </c>
      <c r="F19" s="4">
        <v>0</v>
      </c>
      <c r="G19" s="4">
        <v>0</v>
      </c>
      <c r="H19" s="4">
        <v>0</v>
      </c>
      <c r="I19" s="254"/>
      <c r="J19" s="213"/>
    </row>
    <row r="20" spans="2:10" ht="14.1" customHeight="1">
      <c r="B20" s="125" t="str">
        <f>IF(Indice_index!$Z$1=1,"Fundos Públicos","Public Funds")</f>
        <v>Fundos Públicos</v>
      </c>
      <c r="C20" s="4">
        <v>0</v>
      </c>
      <c r="D20" s="4">
        <v>0</v>
      </c>
      <c r="E20" s="4">
        <v>0</v>
      </c>
      <c r="F20" s="4">
        <v>0</v>
      </c>
      <c r="G20" s="4">
        <v>0</v>
      </c>
      <c r="H20" s="4">
        <v>0</v>
      </c>
      <c r="I20" s="254"/>
      <c r="J20" s="213"/>
    </row>
    <row r="21" spans="2:10" ht="14.1" customHeight="1">
      <c r="B21" s="125" t="str">
        <f>IF(Indice_index!$Z$1=1,"Outros Fundos","Other Funds")</f>
        <v>Outros Fundos</v>
      </c>
      <c r="C21" s="4">
        <v>0.50525372000000002</v>
      </c>
      <c r="D21" s="4">
        <v>1.34734</v>
      </c>
      <c r="E21" s="4">
        <v>0</v>
      </c>
      <c r="F21" s="4">
        <v>0.69087600000000005</v>
      </c>
      <c r="G21" s="4">
        <v>0.69087600000000005</v>
      </c>
      <c r="H21" s="4">
        <v>51.277034749951753</v>
      </c>
      <c r="I21" s="254"/>
      <c r="J21" s="213"/>
    </row>
    <row r="22" spans="2:10" ht="14.1" customHeight="1">
      <c r="B22" s="125" t="str">
        <f>IF(Indice_index!$Z$1=1,"Fundo de Resolução Europeu","European Resolution Fund")</f>
        <v>Fundo de Resolução Europeu</v>
      </c>
      <c r="C22" s="4">
        <v>0</v>
      </c>
      <c r="D22" s="4">
        <v>0</v>
      </c>
      <c r="E22" s="4">
        <v>0</v>
      </c>
      <c r="F22" s="4">
        <v>0</v>
      </c>
      <c r="G22" s="4">
        <v>0</v>
      </c>
      <c r="H22" s="4">
        <v>0</v>
      </c>
      <c r="I22" s="254"/>
      <c r="J22" s="213"/>
    </row>
    <row r="23" spans="2:10" ht="14.1" customHeight="1">
      <c r="B23" s="125" t="str">
        <f>IF(Indice_index!$Z$1=1,"Países Terceiros","Other Countries")</f>
        <v>Países Terceiros</v>
      </c>
      <c r="C23" s="4">
        <v>17</v>
      </c>
      <c r="D23" s="4">
        <v>15</v>
      </c>
      <c r="E23" s="4">
        <v>0</v>
      </c>
      <c r="F23" s="4">
        <v>0</v>
      </c>
      <c r="G23" s="4">
        <v>2</v>
      </c>
      <c r="H23" s="4">
        <v>13.333333333333334</v>
      </c>
      <c r="I23" s="254"/>
      <c r="J23" s="213"/>
    </row>
    <row r="24" spans="2:10" ht="14.1" customHeight="1">
      <c r="B24" s="174" t="str">
        <f>IF(Indice_index!$Z$1=1,"Dotações de capital","Capital injections")</f>
        <v>Dotações de capital</v>
      </c>
      <c r="C24" s="134">
        <f>SUM(C25:C28)</f>
        <v>3814.9470678599996</v>
      </c>
      <c r="D24" s="134">
        <f t="shared" ref="D24" si="1">SUM(D25:D28)</f>
        <v>3729.8816500000003</v>
      </c>
      <c r="E24" s="134">
        <v>199.143261</v>
      </c>
      <c r="F24" s="134">
        <v>234.91278999999986</v>
      </c>
      <c r="G24" s="134">
        <v>1567.2184159999999</v>
      </c>
      <c r="H24" s="134">
        <v>42.017912713128574</v>
      </c>
      <c r="I24" s="254"/>
      <c r="J24" s="213"/>
    </row>
    <row r="25" spans="2:10" ht="14.1" customHeight="1">
      <c r="B25" s="125" t="str">
        <f>IF(Indice_index!$Z$1=1,"Empresas Públicas não Financeiras","Non Financial Public Enterprises")</f>
        <v>Empresas Públicas não Financeiras</v>
      </c>
      <c r="C25" s="4">
        <v>343</v>
      </c>
      <c r="D25" s="4">
        <v>1750</v>
      </c>
      <c r="E25" s="4">
        <v>0</v>
      </c>
      <c r="F25" s="4">
        <v>0</v>
      </c>
      <c r="G25" s="4">
        <v>343</v>
      </c>
      <c r="H25" s="4">
        <v>19.600000000000001</v>
      </c>
      <c r="I25" s="254"/>
      <c r="J25" s="213"/>
    </row>
    <row r="26" spans="2:10" ht="14.1" customHeight="1">
      <c r="B26" s="125" t="str">
        <f>IF(Indice_index!$Z$1=1,"Entidades Públicas Reclassificadas","Reclassified Public Entities")</f>
        <v>Entidades Públicas Reclassificadas</v>
      </c>
      <c r="C26" s="4">
        <v>3461.9123554699995</v>
      </c>
      <c r="D26" s="4">
        <v>1953.2429490000002</v>
      </c>
      <c r="E26" s="4">
        <v>199.143261</v>
      </c>
      <c r="F26" s="4">
        <v>234.91279</v>
      </c>
      <c r="G26" s="4">
        <v>1224.2184159999999</v>
      </c>
      <c r="H26" s="4">
        <v>62.676197890629112</v>
      </c>
      <c r="I26" s="254"/>
      <c r="J26" s="213"/>
    </row>
    <row r="27" spans="2:10" ht="14.1" customHeight="1">
      <c r="B27" s="125" t="str">
        <f>IF(Indice_index!$Z$1=1,"Fundos Públicos","Public Funds")</f>
        <v>Fundos Públicos</v>
      </c>
      <c r="C27" s="4">
        <v>10</v>
      </c>
      <c r="D27" s="4">
        <v>20</v>
      </c>
      <c r="E27" s="4">
        <v>0</v>
      </c>
      <c r="F27" s="4">
        <v>0</v>
      </c>
      <c r="G27" s="4">
        <v>0</v>
      </c>
      <c r="H27" s="4">
        <v>0</v>
      </c>
      <c r="I27" s="254"/>
      <c r="J27" s="213"/>
    </row>
    <row r="28" spans="2:10" ht="14.1" customHeight="1">
      <c r="B28" s="125" t="str">
        <f>IF(Indice_index!$Z$1=1,"Outros Fundos","Other Funds")</f>
        <v>Outros Fundos</v>
      </c>
      <c r="C28" s="4">
        <v>3.4712390000000003E-2</v>
      </c>
      <c r="D28" s="4">
        <v>6.6387010000000002</v>
      </c>
      <c r="E28" s="4">
        <v>0</v>
      </c>
      <c r="F28" s="4">
        <v>0</v>
      </c>
      <c r="G28" s="4">
        <v>0</v>
      </c>
      <c r="H28" s="4">
        <v>0</v>
      </c>
      <c r="I28" s="254"/>
      <c r="J28" s="213"/>
    </row>
    <row r="29" spans="2:10" ht="14.1" customHeight="1">
      <c r="B29" s="174" t="str">
        <f>IF(Indice_index!$Z$1=1,"Aquisição de Participações","Acquisition of Shares")</f>
        <v>Aquisição de Participações</v>
      </c>
      <c r="C29" s="134">
        <v>2.57249236</v>
      </c>
      <c r="D29" s="134">
        <v>0</v>
      </c>
      <c r="E29" s="134">
        <v>0</v>
      </c>
      <c r="F29" s="134">
        <v>0</v>
      </c>
      <c r="G29" s="134">
        <v>5.7720000000000004E-4</v>
      </c>
      <c r="H29" s="4">
        <v>0</v>
      </c>
      <c r="I29" s="254"/>
      <c r="J29" s="213"/>
    </row>
    <row r="30" spans="2:10" ht="14.1" customHeight="1">
      <c r="B30" s="174" t="str">
        <f>IF(Indice_index!$Z$1=1,"Execução de garantias","Guarantees executions")</f>
        <v>Execução de garantias</v>
      </c>
      <c r="C30" s="134">
        <v>116.00802499</v>
      </c>
      <c r="D30" s="134">
        <v>74.100000000000009</v>
      </c>
      <c r="E30" s="134">
        <v>19.367557969999996</v>
      </c>
      <c r="F30" s="134">
        <v>4.9404450000000377E-2</v>
      </c>
      <c r="G30" s="134">
        <v>40.595999380000002</v>
      </c>
      <c r="H30" s="134">
        <v>54.785424264507419</v>
      </c>
      <c r="I30" s="254"/>
      <c r="J30" s="213"/>
    </row>
    <row r="31" spans="2:10" ht="14.1" customHeight="1">
      <c r="B31" s="174" t="str">
        <f>IF(Indice_index!$Z$1=1,"Expropriações","Expropriations")</f>
        <v>Expropriações</v>
      </c>
      <c r="C31" s="134">
        <v>4.4863599999999997E-2</v>
      </c>
      <c r="D31" s="134">
        <v>1</v>
      </c>
      <c r="E31" s="134">
        <v>0</v>
      </c>
      <c r="F31" s="134">
        <v>0</v>
      </c>
      <c r="G31" s="134">
        <v>0</v>
      </c>
      <c r="H31" s="134">
        <v>0</v>
      </c>
      <c r="I31" s="254"/>
      <c r="J31" s="213"/>
    </row>
    <row r="32" spans="2:10" ht="14.1" customHeight="1">
      <c r="B32" s="174" t="str">
        <f>IF(Indice_index!$Z$1=1,"Participações em organizações internacionais","International Organizations membership")</f>
        <v>Participações em organizações internacionais</v>
      </c>
      <c r="C32" s="134">
        <v>59.854262069999997</v>
      </c>
      <c r="D32" s="134">
        <v>30.387734999999999</v>
      </c>
      <c r="E32" s="134">
        <v>11.012164499999997</v>
      </c>
      <c r="F32" s="134">
        <v>0</v>
      </c>
      <c r="G32" s="134">
        <v>16.355146229999999</v>
      </c>
      <c r="H32" s="134">
        <v>53.821537636813012</v>
      </c>
      <c r="I32" s="254"/>
      <c r="J32" s="213"/>
    </row>
    <row r="33" spans="2:10" ht="14.1" customHeight="1">
      <c r="B33" s="174" t="str">
        <f>IF(Indice_index!$Z$1=1,"Outros ativos","Other assets")</f>
        <v>Outros ativos</v>
      </c>
      <c r="C33" s="134">
        <v>0</v>
      </c>
      <c r="D33" s="134">
        <v>20</v>
      </c>
      <c r="E33" s="283">
        <v>0</v>
      </c>
      <c r="F33" s="134">
        <v>0</v>
      </c>
      <c r="G33" s="134">
        <v>0</v>
      </c>
      <c r="H33" s="134">
        <v>0</v>
      </c>
      <c r="I33" s="254"/>
      <c r="J33" s="213"/>
    </row>
    <row r="34" spans="2:10" ht="14.1" customHeight="1">
      <c r="B34" s="92" t="str">
        <f>IF(Indice_index!$Z$1=1,"Total dos ativos financeiros","Financial Assets - Total")</f>
        <v>Total dos ativos financeiros</v>
      </c>
      <c r="C34" s="27">
        <f>C12+C13+C24+C29+C30+C31+C32+C33</f>
        <v>4601.0229289300005</v>
      </c>
      <c r="D34" s="27">
        <f t="shared" ref="D34:E34" si="2">D12+D13+D24+D29+D30+D31+D32+D33</f>
        <v>10312.034088</v>
      </c>
      <c r="E34" s="27">
        <f t="shared" si="2"/>
        <v>279.52298346999999</v>
      </c>
      <c r="F34" s="27">
        <v>235.65307044999986</v>
      </c>
      <c r="G34" s="27">
        <v>2016.7845881699998</v>
      </c>
      <c r="H34" s="27">
        <v>19.557582635582147</v>
      </c>
      <c r="I34" s="254"/>
      <c r="J34" s="213"/>
    </row>
    <row r="35" spans="2:10" ht="15" customHeight="1">
      <c r="B35" s="161" t="str">
        <f>IF(Indice_index!$Z$1=1,"Fonte: Ministério das Finanças.","Source: Ministry of Finance.")</f>
        <v>Fonte: Ministério das Finanças.</v>
      </c>
      <c r="C35" s="9"/>
      <c r="D35" s="9"/>
      <c r="E35" s="9"/>
      <c r="F35" s="9"/>
      <c r="G35" s="9"/>
      <c r="H35" s="9"/>
      <c r="I35" s="9"/>
    </row>
    <row r="36" spans="2:10" ht="15" customHeight="1">
      <c r="B36" s="434"/>
      <c r="C36" s="434"/>
      <c r="D36" s="434"/>
      <c r="E36" s="434"/>
      <c r="F36" s="434"/>
      <c r="G36" s="434"/>
      <c r="H36" s="434"/>
    </row>
    <row r="37" spans="2:10" ht="15" customHeight="1"/>
    <row r="38" spans="2:10" ht="14.85" customHeight="1"/>
  </sheetData>
  <mergeCells count="5">
    <mergeCell ref="B10:B11"/>
    <mergeCell ref="E10:F10"/>
    <mergeCell ref="H10:H11"/>
    <mergeCell ref="B36:H36"/>
    <mergeCell ref="G10:G11"/>
  </mergeCells>
  <conditionalFormatting sqref="C12:H33">
    <cfRule type="cellIs" dxfId="29" priority="1" operator="equal">
      <formula>0</formula>
    </cfRule>
  </conditionalFormatting>
  <pageMargins left="0.70866141732283472" right="0.70866141732283472" top="0.74803149606299213" bottom="0.74803149606299213" header="0.31496062992125984" footer="0.31496062992125984"/>
  <pageSetup paperSize="9" scale="86" orientation="portrait" r:id="rId1"/>
  <ignoredErrors>
    <ignoredError sqref="D13 C24:D24" formulaRange="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Folha21">
    <pageSetUpPr fitToPage="1"/>
  </sheetPr>
  <dimension ref="A1:I42"/>
  <sheetViews>
    <sheetView showGridLines="0" zoomScaleNormal="100" workbookViewId="0"/>
  </sheetViews>
  <sheetFormatPr defaultColWidth="0" defaultRowHeight="15" zeroHeight="1"/>
  <cols>
    <col min="1" max="1" width="8.5703125" style="93" customWidth="1"/>
    <col min="2" max="2" width="47.42578125" style="93" customWidth="1"/>
    <col min="3" max="6" width="9.5703125" style="93" customWidth="1"/>
    <col min="7" max="9" width="8.5703125" style="93" customWidth="1"/>
    <col min="10" max="16384" width="8.5703125" hidden="1"/>
  </cols>
  <sheetData>
    <row r="1" spans="1:9"/>
    <row r="2" spans="1:9"/>
    <row r="3" spans="1:9"/>
    <row r="4" spans="1:9"/>
    <row r="5" spans="1:9" ht="18" customHeight="1">
      <c r="A5"/>
      <c r="B5" s="270" t="str">
        <f>IF(Indice_index!$Z$1=1,"ANEXOS ESTATÍSTICOS","STATISTICAL ANNEXES")</f>
        <v>ANEXOS ESTATÍSTICOS</v>
      </c>
      <c r="C5"/>
      <c r="D5"/>
      <c r="E5"/>
      <c r="F5"/>
      <c r="G5"/>
      <c r="H5"/>
      <c r="I5"/>
    </row>
    <row r="6" spans="1:9" ht="18" customHeight="1">
      <c r="A6"/>
      <c r="B6" s="271" t="str">
        <f>IF(Indice_index!$Z$1=1,"Agosto de 2025","August 2025")</f>
        <v>Agosto de 2025</v>
      </c>
      <c r="C6"/>
      <c r="D6"/>
      <c r="E6"/>
      <c r="F6"/>
      <c r="G6"/>
      <c r="H6"/>
      <c r="I6"/>
    </row>
    <row r="7" spans="1:9" ht="48.75" customHeight="1">
      <c r="B7" s="12"/>
      <c r="C7" s="13"/>
      <c r="D7" s="11"/>
      <c r="E7" s="11"/>
      <c r="F7" s="11"/>
      <c r="G7" s="11"/>
      <c r="H7" s="11"/>
    </row>
    <row r="8" spans="1:9" ht="15.75">
      <c r="B8" s="1" t="str">
        <f>IF(Indice_index!$Z$1=1,"Quadro 18 - Execução Financeira Consolidada do Serviço Nacional de Saúde","18 - National Health Service Consolidated Financial Execution")</f>
        <v>Quadro 18 - Execução Financeira Consolidada do Serviço Nacional de Saúde</v>
      </c>
      <c r="C8" s="1"/>
      <c r="D8" s="2"/>
      <c r="E8" s="2"/>
      <c r="F8" s="2"/>
      <c r="G8" s="2"/>
      <c r="H8" s="2"/>
    </row>
    <row r="9" spans="1:9">
      <c r="B9" s="3" t="str">
        <f>+'3 - Conta AC + SS'!B9</f>
        <v>Período: janeiro a agosto</v>
      </c>
      <c r="C9" s="3"/>
      <c r="D9" s="3"/>
      <c r="E9" s="3"/>
      <c r="F9" s="3"/>
      <c r="G9" s="3"/>
      <c r="H9" s="3" t="str">
        <f>IF(Indice_index!$Z$1=1,"€ Milhões","€ Millions")</f>
        <v>€ Milhões</v>
      </c>
    </row>
    <row r="10" spans="1:9" ht="26.85" customHeight="1">
      <c r="B10" s="390"/>
      <c r="C10" s="22" t="str">
        <f>IF(Indice_index!$Z$1=1,"Execução provisória","Provisional execution")</f>
        <v>Execução provisória</v>
      </c>
      <c r="D10" s="22" t="str">
        <f>IF(Indice_index!$Z$1=1,"Orçamento Inicial","Budget")</f>
        <v>Orçamento Inicial</v>
      </c>
      <c r="E10" s="391" t="str">
        <f>IF(Indice_index!$Z$1=1,"Execução Acumulada","Accumulated Execution")</f>
        <v>Execução Acumulada</v>
      </c>
      <c r="F10" s="388"/>
      <c r="G10" s="391" t="str">
        <f>IF(Indice_index!$Z$1=1,"Variação Homóloga Acumulada","YOY Change Rate")</f>
        <v>Variação Homóloga Acumulada</v>
      </c>
      <c r="H10" s="388"/>
    </row>
    <row r="11" spans="1:9" ht="26.85" customHeight="1">
      <c r="B11" s="389"/>
      <c r="C11" s="22">
        <v>2024</v>
      </c>
      <c r="D11" s="22">
        <v>2025</v>
      </c>
      <c r="E11" s="22">
        <v>2024</v>
      </c>
      <c r="F11" s="22">
        <v>2025</v>
      </c>
      <c r="G11" s="22" t="str">
        <f>IF(Indice_index!$Z$1=1,"TVHA (%)","YOY Change Rate (%)")</f>
        <v>TVHA (%)</v>
      </c>
      <c r="H11" s="22" t="str">
        <f>IF(Indice_index!$Z$1=1,"Contributo VHA (pp)","YOY Change Contrib. (pp)")</f>
        <v>Contributo VHA (pp)</v>
      </c>
    </row>
    <row r="12" spans="1:9" s="193" customFormat="1" ht="14.1" customHeight="1">
      <c r="B12" s="174" t="str">
        <f>IF(Indice_index!$Z$1=1,"Receita corrente","Current revenue")</f>
        <v>Receita corrente</v>
      </c>
      <c r="C12" s="134">
        <f>C17+C13</f>
        <v>14046.44680908</v>
      </c>
      <c r="D12" s="134">
        <f t="shared" ref="D12" si="0">D17+D13</f>
        <v>15951.58</v>
      </c>
      <c r="E12" s="134">
        <v>9260.6968950899991</v>
      </c>
      <c r="F12" s="134">
        <v>9783.7575821600003</v>
      </c>
      <c r="G12" s="134">
        <f>IFERROR(IF(ABS((F12-E12)/E12)*100&gt;500,"n.r",((F12-E12)/E12)*100),0)</f>
        <v>5.6481784577932448</v>
      </c>
      <c r="H12" s="134">
        <f>IFERROR((F12-E12)/E19*100,"-")</f>
        <v>5.6164593735209927</v>
      </c>
    </row>
    <row r="13" spans="1:9" s="193" customFormat="1" ht="14.1" customHeight="1">
      <c r="B13" s="125" t="str">
        <f>IF(Indice_index!$Z$1=1,"Receita fiscal","Tax")</f>
        <v>Receita fiscal</v>
      </c>
      <c r="C13" s="4">
        <v>108.5</v>
      </c>
      <c r="D13" s="4">
        <v>128.6</v>
      </c>
      <c r="E13" s="4">
        <v>82.2</v>
      </c>
      <c r="F13" s="4">
        <v>90.3</v>
      </c>
      <c r="G13" s="4">
        <f t="shared" ref="G13:G38" si="1">IFERROR(IF(ABS((F13-E13)/E13)*100&gt;500,"n.r",((F13-E13)/E13)*100),0)</f>
        <v>9.8540145985401377</v>
      </c>
      <c r="H13" s="4">
        <f>IFERROR((F13-E13)/E19*100,"-")</f>
        <v>8.6975224959760039E-2</v>
      </c>
    </row>
    <row r="14" spans="1:9" s="193" customFormat="1" ht="14.1" customHeight="1">
      <c r="B14" s="172" t="str">
        <f>IF(Indice_index!$Z$1=1,"Impostos diretos","Direct taxes")</f>
        <v>Impostos diretos</v>
      </c>
      <c r="C14" s="4">
        <v>0</v>
      </c>
      <c r="D14" s="4">
        <v>0</v>
      </c>
      <c r="E14" s="4">
        <v>0</v>
      </c>
      <c r="F14" s="4">
        <v>0</v>
      </c>
      <c r="G14" s="4">
        <f>IFERROR(IF(ABS((F14-E14)/E14)*100&gt;500,"n.r",((F14-E14)/E14)*100),0)</f>
        <v>0</v>
      </c>
      <c r="H14" s="4">
        <f>IFERROR((F14-E14)/E19*100,"-")</f>
        <v>0</v>
      </c>
    </row>
    <row r="15" spans="1:9" s="193" customFormat="1" ht="14.1" customHeight="1">
      <c r="B15" s="172" t="str">
        <f>IF(Indice_index!$Z$1=1,"Impostos indiretos","Indirect taxes")</f>
        <v>Impostos indiretos</v>
      </c>
      <c r="C15" s="4">
        <v>108.5</v>
      </c>
      <c r="D15" s="4">
        <v>128.6</v>
      </c>
      <c r="E15" s="4">
        <v>82.2</v>
      </c>
      <c r="F15" s="4">
        <v>90.3</v>
      </c>
      <c r="G15" s="4">
        <f>IFERROR(IF(ABS((F15-E15)/E15)*100&gt;500,"n.r",((F15-E15)/E15)*100),0)</f>
        <v>9.8540145985401377</v>
      </c>
      <c r="H15" s="4">
        <f>IFERROR((F15-E15)/E19*100,"-")</f>
        <v>8.6975224959760039E-2</v>
      </c>
    </row>
    <row r="16" spans="1:9" s="193" customFormat="1" ht="14.1" customHeight="1">
      <c r="B16" s="125" t="str">
        <f>IF(Indice_index!$Z$1=1,"Contribuições de Segurança Social","Social security contributions")</f>
        <v>Contribuições de Segurança Social</v>
      </c>
      <c r="C16" s="4">
        <v>0</v>
      </c>
      <c r="D16" s="4">
        <v>0</v>
      </c>
      <c r="E16" s="4">
        <v>0</v>
      </c>
      <c r="F16" s="4">
        <v>0</v>
      </c>
      <c r="G16" s="4">
        <f t="shared" si="1"/>
        <v>0</v>
      </c>
      <c r="H16" s="4">
        <f>IFERROR((F16-E16)/E19*100,"-")</f>
        <v>0</v>
      </c>
    </row>
    <row r="17" spans="2:8" s="193" customFormat="1" ht="14.1" customHeight="1">
      <c r="B17" s="125" t="str">
        <f>IF(Indice_index!$Z$1=1,"Outras receitas correntes","Other current revenue")</f>
        <v>Outras receitas correntes</v>
      </c>
      <c r="C17" s="4">
        <v>13937.94680908</v>
      </c>
      <c r="D17" s="4">
        <v>15822.98</v>
      </c>
      <c r="E17" s="4">
        <v>9178.4968950899984</v>
      </c>
      <c r="F17" s="4">
        <v>9693.457582160001</v>
      </c>
      <c r="G17" s="4">
        <f t="shared" si="1"/>
        <v>5.610512189043491</v>
      </c>
      <c r="H17" s="4">
        <f>IFERROR((F17-E17)/E19*100,"-")</f>
        <v>5.5294841485612487</v>
      </c>
    </row>
    <row r="18" spans="2:8" s="193" customFormat="1" ht="14.1" customHeight="1">
      <c r="B18" s="174" t="str">
        <f>IF(Indice_index!$Z$1=1,"Receita de capital","Capital revenue")</f>
        <v>Receita de capital</v>
      </c>
      <c r="C18" s="134">
        <v>128.90000000000003</v>
      </c>
      <c r="D18" s="134">
        <v>578.4</v>
      </c>
      <c r="E18" s="134">
        <v>52.300000000000004</v>
      </c>
      <c r="F18" s="134">
        <v>126.5</v>
      </c>
      <c r="G18" s="134">
        <f t="shared" si="1"/>
        <v>141.87380497131926</v>
      </c>
      <c r="H18" s="134">
        <f>IFERROR((F18-E18)/E19*100,"-")</f>
        <v>0.79673601135977767</v>
      </c>
    </row>
    <row r="19" spans="2:8" ht="14.1" customHeight="1">
      <c r="B19" s="30" t="str">
        <f>IF(Indice_index!$Z$1=1,"Receita efetiva","Effective revenue")</f>
        <v>Receita efetiva</v>
      </c>
      <c r="C19" s="18">
        <f>C12+C18</f>
        <v>14175.34680908</v>
      </c>
      <c r="D19" s="18">
        <f>D12+D18</f>
        <v>16529.98</v>
      </c>
      <c r="E19" s="18">
        <v>9312.9968950899984</v>
      </c>
      <c r="F19" s="18">
        <v>9910.2575821600003</v>
      </c>
      <c r="G19" s="18">
        <f t="shared" si="1"/>
        <v>6.4131953848807779</v>
      </c>
      <c r="H19" s="18"/>
    </row>
    <row r="20" spans="2:8" s="193" customFormat="1" ht="14.1" customHeight="1">
      <c r="B20" s="174" t="str">
        <f>IF(Indice_index!$Z$1=1,"Despesa corrente","Current expenditure")</f>
        <v>Despesa corrente</v>
      </c>
      <c r="C20" s="134">
        <f>C21+C25+C31+C32+C33</f>
        <v>15177.6</v>
      </c>
      <c r="D20" s="134">
        <f>D21+D25+D31+D32+D33</f>
        <v>16168.800625000002</v>
      </c>
      <c r="E20" s="134">
        <v>9461.4</v>
      </c>
      <c r="F20" s="134">
        <v>10432.9</v>
      </c>
      <c r="G20" s="134">
        <f t="shared" si="1"/>
        <v>10.268036442809732</v>
      </c>
      <c r="H20" s="134">
        <f>IFERROR((F20-E20)/E38*100,"-")</f>
        <v>10.072576464489373</v>
      </c>
    </row>
    <row r="21" spans="2:8" s="193" customFormat="1" ht="14.1" customHeight="1">
      <c r="B21" s="125" t="str">
        <f>IF(Indice_index!$Z$1=1,"Despesas com o pessoal","Employees")</f>
        <v>Despesas com o pessoal</v>
      </c>
      <c r="C21" s="4">
        <f>SUM(C22:C24)</f>
        <v>6520.4000000000005</v>
      </c>
      <c r="D21" s="4">
        <f t="shared" ref="D21" si="2">SUM(D22:D24)</f>
        <v>7055.1006250000009</v>
      </c>
      <c r="E21" s="4">
        <v>4144.8</v>
      </c>
      <c r="F21" s="4">
        <v>4645.8</v>
      </c>
      <c r="G21" s="4">
        <f t="shared" si="1"/>
        <v>12.087434858135495</v>
      </c>
      <c r="H21" s="4">
        <f>IFERROR((F21-E21)/E38*100,"-")</f>
        <v>5.1944012441679632</v>
      </c>
    </row>
    <row r="22" spans="2:8" s="193" customFormat="1" ht="14.1" customHeight="1">
      <c r="B22" s="172" t="str">
        <f>IF(Indice_index!$Z$1=1,"Remunerações certas e permanentes","Certain and permanent wages")</f>
        <v>Remunerações certas e permanentes</v>
      </c>
      <c r="C22" s="4">
        <v>4220.6000000000004</v>
      </c>
      <c r="D22" s="4">
        <v>4468.45</v>
      </c>
      <c r="E22" s="4">
        <v>2700.4</v>
      </c>
      <c r="F22" s="4">
        <v>3030</v>
      </c>
      <c r="G22" s="4">
        <f t="shared" si="1"/>
        <v>12.205599170493256</v>
      </c>
      <c r="H22" s="4">
        <f>IFERROR((F22-E22)/E38*100,"-")</f>
        <v>3.4173146708138926</v>
      </c>
    </row>
    <row r="23" spans="2:8" s="193" customFormat="1" ht="14.1" customHeight="1">
      <c r="B23" s="172" t="str">
        <f>IF(Indice_index!$Z$1=1,"Abonos variáveis ou eventuais","Variable or contingent bonuses")</f>
        <v>Abonos variáveis ou eventuais</v>
      </c>
      <c r="C23" s="4">
        <v>1100</v>
      </c>
      <c r="D23" s="4">
        <v>1256.9000000000001</v>
      </c>
      <c r="E23" s="4">
        <v>690.2</v>
      </c>
      <c r="F23" s="4">
        <v>762.40000000000009</v>
      </c>
      <c r="G23" s="4">
        <f t="shared" si="1"/>
        <v>10.460736018545354</v>
      </c>
      <c r="H23" s="4">
        <f>IFERROR((F23-E23)/E38*100,"-")</f>
        <v>0.74857439087610211</v>
      </c>
    </row>
    <row r="24" spans="2:8" s="193" customFormat="1" ht="14.1" customHeight="1">
      <c r="B24" s="172" t="str">
        <f>IF(Indice_index!$Z$1=1,"Segurança Social","Social security")</f>
        <v>Segurança Social</v>
      </c>
      <c r="C24" s="4">
        <v>1199.8</v>
      </c>
      <c r="D24" s="4">
        <v>1329.7506250000001</v>
      </c>
      <c r="E24" s="4">
        <v>754.2</v>
      </c>
      <c r="F24" s="4">
        <v>853.4</v>
      </c>
      <c r="G24" s="4">
        <f t="shared" si="1"/>
        <v>13.15300981172102</v>
      </c>
      <c r="H24" s="4">
        <f>IFERROR((F24-E24)/E38*100,"-")</f>
        <v>1.0285121824779671</v>
      </c>
    </row>
    <row r="25" spans="2:8" s="193" customFormat="1" ht="14.1" customHeight="1">
      <c r="B25" s="125" t="str">
        <f>IF(Indice_index!$Z$1=1,"Aquisição de bens e serviços","Purchase of goods and services")</f>
        <v>Aquisição de bens e serviços</v>
      </c>
      <c r="C25" s="4">
        <f>SUM(C26:C30)</f>
        <v>8424.5</v>
      </c>
      <c r="D25" s="4">
        <f t="shared" ref="D25" si="3">SUM(D26:D30)</f>
        <v>8889.3000000000011</v>
      </c>
      <c r="E25" s="4">
        <v>5185.3999999999996</v>
      </c>
      <c r="F25" s="4">
        <v>5636.5999999999985</v>
      </c>
      <c r="G25" s="4">
        <f t="shared" si="1"/>
        <v>8.7013538010567917</v>
      </c>
      <c r="H25" s="4">
        <f>IFERROR((F25-E25)/E38*100,"-")</f>
        <v>4.6780715396578421</v>
      </c>
    </row>
    <row r="26" spans="2:8" s="193" customFormat="1" ht="14.1" customHeight="1">
      <c r="B26" s="172" t="str">
        <f>IF(Indice_index!$Z$1=1,"Produtos vendidos em farmácias","Medicines")</f>
        <v>Produtos vendidos em farmácias</v>
      </c>
      <c r="C26" s="4">
        <v>1813.2</v>
      </c>
      <c r="D26" s="4">
        <v>1897.1999999999998</v>
      </c>
      <c r="E26" s="4">
        <v>1184.2</v>
      </c>
      <c r="F26" s="4">
        <v>1326.8</v>
      </c>
      <c r="G26" s="4">
        <f t="shared" si="1"/>
        <v>12.041884816753919</v>
      </c>
      <c r="H26" s="4">
        <f>IFERROR((F26-E26)/E38*100,"-")</f>
        <v>1.4784862623120778</v>
      </c>
    </row>
    <row r="27" spans="2:8" s="193" customFormat="1" ht="24" customHeight="1">
      <c r="B27" s="338" t="str">
        <f>IF(Indice_index!$Z$1=1,"Meios complementares de diagnóstico e terapêutica e outros subcontratos","Complementary diagnosis and therapeutic means and other subcontracts")</f>
        <v>Meios complementares de diagnóstico e terapêutica e outros subcontratos</v>
      </c>
      <c r="C27" s="4">
        <v>1916.1</v>
      </c>
      <c r="D27" s="4">
        <v>2040.6000000000008</v>
      </c>
      <c r="E27" s="4">
        <v>1191.7</v>
      </c>
      <c r="F27" s="4">
        <v>1290.6999999999994</v>
      </c>
      <c r="G27" s="4">
        <f t="shared" si="1"/>
        <v>8.307459931190678</v>
      </c>
      <c r="H27" s="4">
        <f>IFERROR((F27-E27)/E38*100,"-")</f>
        <v>1.0264385692068358</v>
      </c>
    </row>
    <row r="28" spans="2:8" s="193" customFormat="1" ht="14.1" customHeight="1">
      <c r="B28" s="172" t="str">
        <f>IF(Indice_index!$Z$1=1,"Parcerias público-privadas (PPP)","Public-Private Partnerships (PPP)")</f>
        <v>Parcerias público-privadas (PPP)</v>
      </c>
      <c r="C28" s="4">
        <v>199.2</v>
      </c>
      <c r="D28" s="4">
        <v>180.4</v>
      </c>
      <c r="E28" s="4">
        <v>101.8</v>
      </c>
      <c r="F28" s="4">
        <v>130.69999999999999</v>
      </c>
      <c r="G28" s="4">
        <f t="shared" si="1"/>
        <v>28.38899803536345</v>
      </c>
      <c r="H28" s="4">
        <f>IFERROR((F28-E28)/E38*100,"-")</f>
        <v>0.29963711767755308</v>
      </c>
    </row>
    <row r="29" spans="2:8" s="193" customFormat="1" ht="14.1" customHeight="1">
      <c r="B29" s="172" t="str">
        <f>IF(Indice_index!$Z$1=1,"Aquisição de bens (compras inventários)","Purchase of goods (inventories)")</f>
        <v>Aquisição de bens (compras inventários)</v>
      </c>
      <c r="C29" s="4">
        <v>3074.9999999999995</v>
      </c>
      <c r="D29" s="4">
        <v>3346.4</v>
      </c>
      <c r="E29" s="4">
        <v>1826.6999999999998</v>
      </c>
      <c r="F29" s="4">
        <v>1930.8999999999999</v>
      </c>
      <c r="G29" s="4">
        <f t="shared" si="1"/>
        <v>5.7042754694257436</v>
      </c>
      <c r="H29" s="4">
        <f>IFERROR((F29-E29)/E38*100,"-")</f>
        <v>1.0803525142560917</v>
      </c>
    </row>
    <row r="30" spans="2:8" s="193" customFormat="1" ht="14.1" customHeight="1">
      <c r="B30" s="172" t="str">
        <f>IF(Indice_index!$Z$1=1,"Outras aquisições de bens e serviços","Other acquisitions of goods and services")</f>
        <v>Outras aquisições de bens e serviços</v>
      </c>
      <c r="C30" s="4">
        <v>1421</v>
      </c>
      <c r="D30" s="4">
        <v>1424.7</v>
      </c>
      <c r="E30" s="4">
        <v>881</v>
      </c>
      <c r="F30" s="4">
        <v>957.5</v>
      </c>
      <c r="G30" s="4">
        <f t="shared" si="1"/>
        <v>8.6833144154370032</v>
      </c>
      <c r="H30" s="4">
        <f>IFERROR((F30-E30)/E38*100,"-")</f>
        <v>0.79315707620528764</v>
      </c>
    </row>
    <row r="31" spans="2:8" s="193" customFormat="1" ht="14.1" customHeight="1">
      <c r="B31" s="125" t="str">
        <f>IF(Indice_index!$Z$1=1,"Juros e outros encargos","Interests and other charges")</f>
        <v>Juros e outros encargos</v>
      </c>
      <c r="C31" s="4">
        <v>3.3</v>
      </c>
      <c r="D31" s="4">
        <v>0.5</v>
      </c>
      <c r="E31" s="4">
        <v>2</v>
      </c>
      <c r="F31" s="4">
        <v>3.2</v>
      </c>
      <c r="G31" s="4">
        <f t="shared" si="1"/>
        <v>60.000000000000007</v>
      </c>
      <c r="H31" s="4">
        <f>IFERROR((F31-E31)/E38*100,"-")</f>
        <v>1.2441679626749613E-2</v>
      </c>
    </row>
    <row r="32" spans="2:8" s="193" customFormat="1" ht="14.1" customHeight="1">
      <c r="B32" s="125" t="str">
        <f>IF(Indice_index!$Z$1=1,"Transferências correntes","Current transfers")</f>
        <v>Transferências correntes</v>
      </c>
      <c r="C32" s="4">
        <v>222.6</v>
      </c>
      <c r="D32" s="4">
        <v>202.3</v>
      </c>
      <c r="E32" s="4">
        <v>124.3</v>
      </c>
      <c r="F32" s="4">
        <v>145.9</v>
      </c>
      <c r="G32" s="4">
        <f t="shared" si="1"/>
        <v>17.377312952534201</v>
      </c>
      <c r="H32" s="4">
        <f>IFERROR((F32-E32)/E38*100,"-")</f>
        <v>0.22395023328149311</v>
      </c>
    </row>
    <row r="33" spans="2:8" s="193" customFormat="1" ht="14.1" customHeight="1">
      <c r="B33" s="125" t="str">
        <f>IF(Indice_index!$Z$1=1,"Outras despesas correntes","Other current expenditures")</f>
        <v>Outras despesas correntes</v>
      </c>
      <c r="C33" s="4">
        <v>6.8</v>
      </c>
      <c r="D33" s="4">
        <v>21.6</v>
      </c>
      <c r="E33" s="4">
        <v>4.9000000000000004</v>
      </c>
      <c r="F33" s="4">
        <v>1.4</v>
      </c>
      <c r="G33" s="4">
        <f t="shared" si="1"/>
        <v>-71.428571428571431</v>
      </c>
      <c r="H33" s="4">
        <f>IFERROR((F33-E33)/E38*100,"-")</f>
        <v>-3.6288232244686372E-2</v>
      </c>
    </row>
    <row r="34" spans="2:8" s="193" customFormat="1" ht="14.1" customHeight="1">
      <c r="B34" s="174" t="str">
        <f>IF(Indice_index!$Z$1=1,"Despesa de capital","Capital expenditure")</f>
        <v>Despesa de capital</v>
      </c>
      <c r="C34" s="134">
        <f>C35+C36+C37</f>
        <v>375.29999999999995</v>
      </c>
      <c r="D34" s="134">
        <f t="shared" ref="D34" si="4">D35+D36+D37</f>
        <v>578.40000000000009</v>
      </c>
      <c r="E34" s="134">
        <v>183.6</v>
      </c>
      <c r="F34" s="134">
        <v>222.5</v>
      </c>
      <c r="G34" s="134">
        <f t="shared" si="1"/>
        <v>21.187363834422662</v>
      </c>
      <c r="H34" s="134">
        <f>IFERROR((F34-E34)/E38*100,"-")</f>
        <v>0.40331778123379997</v>
      </c>
    </row>
    <row r="35" spans="2:8" s="193" customFormat="1" ht="14.1" customHeight="1">
      <c r="B35" s="125" t="str">
        <f>IF(Indice_index!$Z$1=1,"Investimentos","Investments")</f>
        <v>Investimentos</v>
      </c>
      <c r="C35" s="4">
        <v>357.4</v>
      </c>
      <c r="D35" s="4">
        <v>334.40000000000003</v>
      </c>
      <c r="E35" s="4">
        <v>166.7</v>
      </c>
      <c r="F35" s="4">
        <v>165.2</v>
      </c>
      <c r="G35" s="4">
        <f t="shared" si="1"/>
        <v>-0.89982003599280158</v>
      </c>
      <c r="H35" s="4">
        <f>IFERROR((F35-E35)/E38*100,"-")</f>
        <v>-1.5552099533437013E-2</v>
      </c>
    </row>
    <row r="36" spans="2:8" s="193" customFormat="1" ht="14.1" customHeight="1">
      <c r="B36" s="125" t="str">
        <f>IF(Indice_index!$Z$1=1,"Transferências de capital","Capital transfers")</f>
        <v>Transferências de capital</v>
      </c>
      <c r="C36" s="4">
        <v>17.899999999999999</v>
      </c>
      <c r="D36" s="4">
        <v>244</v>
      </c>
      <c r="E36" s="4">
        <v>16.899999999999999</v>
      </c>
      <c r="F36" s="4">
        <v>57.3</v>
      </c>
      <c r="G36" s="4">
        <f t="shared" si="1"/>
        <v>239.05325443786984</v>
      </c>
      <c r="H36" s="4">
        <f>IFERROR((F36-E36)/E38*100,"-")</f>
        <v>0.41886988076723691</v>
      </c>
    </row>
    <row r="37" spans="2:8" s="193" customFormat="1" ht="14.1" customHeight="1">
      <c r="B37" s="125" t="str">
        <f>IF(Indice_index!$Z$1=1,"Outras despesas de capital","Other capital expenditures")</f>
        <v>Outras despesas de capital</v>
      </c>
      <c r="C37" s="4">
        <v>0</v>
      </c>
      <c r="D37" s="4">
        <v>0</v>
      </c>
      <c r="E37" s="4">
        <v>0</v>
      </c>
      <c r="F37" s="4">
        <v>0</v>
      </c>
      <c r="G37" s="4">
        <f t="shared" si="1"/>
        <v>0</v>
      </c>
      <c r="H37" s="4">
        <f>IFERROR((F37-E37)/E38*100,"-")</f>
        <v>0</v>
      </c>
    </row>
    <row r="38" spans="2:8" ht="14.1" customHeight="1">
      <c r="B38" s="30" t="str">
        <f>IF(Indice_index!$Z$1=1,"Despesa efetiva","Effective expenditure")</f>
        <v>Despesa efetiva</v>
      </c>
      <c r="C38" s="18">
        <f>C20+C34</f>
        <v>15552.9</v>
      </c>
      <c r="D38" s="18">
        <f t="shared" ref="D38" si="5">D20+D34</f>
        <v>16747.200625000001</v>
      </c>
      <c r="E38" s="18">
        <v>9645</v>
      </c>
      <c r="F38" s="18">
        <v>10655.4</v>
      </c>
      <c r="G38" s="18">
        <f t="shared" si="1"/>
        <v>10.475894245723168</v>
      </c>
      <c r="H38" s="18"/>
    </row>
    <row r="39" spans="2:8" ht="14.1" customHeight="1">
      <c r="B39" s="30" t="str">
        <f>IF(Indice_index!$Z$1=1,"Saldo global","Overall balance")</f>
        <v>Saldo global</v>
      </c>
      <c r="C39" s="18">
        <f>C19-C38</f>
        <v>-1377.5531909199999</v>
      </c>
      <c r="D39" s="18">
        <f t="shared" ref="D39" si="6">D19-D38</f>
        <v>-217.22062500000175</v>
      </c>
      <c r="E39" s="18">
        <v>-332.00310491000164</v>
      </c>
      <c r="F39" s="18">
        <v>-745.14241783999933</v>
      </c>
      <c r="G39" s="18"/>
      <c r="H39" s="18"/>
    </row>
    <row r="40" spans="2:8" ht="15" customHeight="1">
      <c r="B40" s="9" t="str">
        <f>IF(Indice_index!$Z$1=1,"Fonte: Administração Central do Sistema de Saúde, I.P.","Source: Health System Central Administration.")</f>
        <v>Fonte: Administração Central do Sistema de Saúde, I.P.</v>
      </c>
      <c r="C40" s="9"/>
      <c r="D40" s="154"/>
      <c r="E40" s="9"/>
      <c r="F40" s="9"/>
      <c r="G40" s="9"/>
      <c r="H40" s="9"/>
    </row>
    <row r="41" spans="2:8" ht="15" customHeight="1">
      <c r="B41" s="9"/>
      <c r="C41" s="9"/>
      <c r="D41" s="154"/>
      <c r="E41" s="9"/>
      <c r="F41" s="9"/>
      <c r="G41" s="9"/>
      <c r="H41" s="9"/>
    </row>
    <row r="42" spans="2:8"/>
  </sheetData>
  <mergeCells count="3">
    <mergeCell ref="B10:B11"/>
    <mergeCell ref="E10:F10"/>
    <mergeCell ref="G10:H10"/>
  </mergeCells>
  <conditionalFormatting sqref="C12:H18">
    <cfRule type="cellIs" dxfId="28" priority="2" operator="equal">
      <formula>0</formula>
    </cfRule>
  </conditionalFormatting>
  <conditionalFormatting sqref="C20:H37">
    <cfRule type="cellIs" dxfId="27" priority="1" operator="equal">
      <formula>0</formula>
    </cfRule>
  </conditionalFormatting>
  <pageMargins left="0.70866141732283472" right="0.70866141732283472" top="0.74803149606299213" bottom="0.74803149606299213" header="0.31496062992125984" footer="0.31496062992125984"/>
  <pageSetup paperSize="9" scale="77" orientation="portrait" r:id="rId1"/>
  <ignoredErrors>
    <ignoredError sqref="C25:D25" formulaRange="1"/>
  </ignoredError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Folha22">
    <pageSetUpPr fitToPage="1"/>
  </sheetPr>
  <dimension ref="A1:S100"/>
  <sheetViews>
    <sheetView showGridLines="0" zoomScaleNormal="100" workbookViewId="0"/>
  </sheetViews>
  <sheetFormatPr defaultColWidth="0" defaultRowHeight="14.85" customHeight="1" zeroHeight="1"/>
  <cols>
    <col min="1" max="1" width="8.5703125" style="93" customWidth="1"/>
    <col min="2" max="2" width="2.42578125" style="79" customWidth="1"/>
    <col min="3" max="3" width="27.5703125" style="79" customWidth="1"/>
    <col min="4" max="17" width="8.42578125" style="79" customWidth="1"/>
    <col min="18" max="18" width="11" style="79" bestFit="1" customWidth="1"/>
    <col min="19" max="19" width="0" hidden="1" customWidth="1"/>
    <col min="20" max="16384" width="9.42578125" hidden="1"/>
  </cols>
  <sheetData>
    <row r="1" spans="1:18" ht="14.85" customHeight="1"/>
    <row r="2" spans="1:18" ht="15"/>
    <row r="3" spans="1:18" ht="15"/>
    <row r="4" spans="1:18" ht="15"/>
    <row r="5" spans="1:18" ht="18" customHeight="1">
      <c r="A5"/>
      <c r="B5" s="270" t="str">
        <f>IF(Indice_index!$Z$1=1,"ANEXOS ESTATÍSTICOS","STATISTICAL ANNEXES")</f>
        <v>ANEXOS ESTATÍSTICOS</v>
      </c>
      <c r="C5"/>
      <c r="D5"/>
      <c r="E5"/>
      <c r="F5"/>
      <c r="G5"/>
      <c r="H5"/>
      <c r="I5"/>
      <c r="J5"/>
      <c r="K5"/>
      <c r="L5"/>
      <c r="M5"/>
      <c r="N5"/>
      <c r="O5"/>
      <c r="P5"/>
      <c r="Q5"/>
      <c r="R5"/>
    </row>
    <row r="6" spans="1:18" ht="18" customHeight="1">
      <c r="A6"/>
      <c r="B6" s="271" t="str">
        <f>IF(Indice_index!$Z$1=1,"Agosto de 2025","August 2025")</f>
        <v>Agosto de 2025</v>
      </c>
      <c r="C6"/>
      <c r="D6"/>
      <c r="E6"/>
      <c r="F6"/>
      <c r="G6"/>
      <c r="H6"/>
      <c r="I6"/>
      <c r="J6"/>
      <c r="K6"/>
      <c r="L6"/>
      <c r="M6"/>
      <c r="N6"/>
      <c r="O6"/>
      <c r="P6"/>
      <c r="Q6"/>
      <c r="R6"/>
    </row>
    <row r="7" spans="1:18" ht="49.5" customHeight="1">
      <c r="B7" s="12"/>
      <c r="C7" s="13"/>
      <c r="D7" s="11"/>
      <c r="E7" s="11"/>
      <c r="F7" s="11"/>
      <c r="G7" s="11"/>
      <c r="H7" s="11"/>
      <c r="I7" s="11"/>
      <c r="J7" s="11"/>
      <c r="K7" s="10"/>
      <c r="L7" s="10"/>
      <c r="M7" s="10"/>
      <c r="N7" s="10"/>
      <c r="O7" s="10"/>
      <c r="P7"/>
      <c r="Q7"/>
    </row>
    <row r="8" spans="1:18" ht="15.75">
      <c r="B8" s="1" t="str">
        <f>IF(Indice_index!$Z$1=1,"Quadro 19 - Dívida não Financeira das Administrações Públicas","19 - General Government Non-Financial Debt")</f>
        <v>Quadro 19 - Dívida não Financeira das Administrações Públicas</v>
      </c>
      <c r="C8" s="2"/>
      <c r="D8" s="2"/>
      <c r="E8" s="2"/>
      <c r="F8" s="2"/>
      <c r="G8" s="2"/>
      <c r="H8" s="2"/>
      <c r="I8" s="2"/>
      <c r="J8" s="2"/>
      <c r="K8" s="2"/>
      <c r="L8" s="2"/>
      <c r="M8" s="2"/>
      <c r="N8" s="2"/>
      <c r="O8" s="2"/>
      <c r="P8" s="2"/>
      <c r="Q8" s="2"/>
    </row>
    <row r="9" spans="1:18" ht="15">
      <c r="B9" s="3" t="str">
        <f>+'3 - Conta AC + SS'!B9</f>
        <v>Período: janeiro a agosto</v>
      </c>
      <c r="C9" s="3"/>
      <c r="D9" s="3"/>
      <c r="E9" s="3"/>
      <c r="F9" s="3"/>
      <c r="G9" s="3"/>
      <c r="H9" s="3"/>
      <c r="I9" s="3"/>
      <c r="J9" s="3"/>
      <c r="K9" s="3"/>
      <c r="L9" s="3"/>
      <c r="M9" s="3"/>
      <c r="N9" s="3"/>
      <c r="O9" s="3"/>
      <c r="P9" s="3"/>
      <c r="Q9" s="3" t="str">
        <f>IF(Indice_index!$Z$1=1,"€ Milhões","€ Millions")</f>
        <v>€ Milhões</v>
      </c>
    </row>
    <row r="10" spans="1:18" ht="14.1" customHeight="1">
      <c r="B10" s="387" t="str">
        <f>IF(Indice_index!$Z$1=1,"Passivo não financeiro das Administrações Públicas  - Stock em fim de período","Non financial Liabilities from General Government - Stock in the end of the period")</f>
        <v>Passivo não financeiro das Administrações Públicas  - Stock em fim de período</v>
      </c>
      <c r="C10" s="387"/>
      <c r="D10" s="387"/>
      <c r="E10" s="387"/>
      <c r="F10" s="387"/>
      <c r="G10" s="387"/>
      <c r="H10" s="436"/>
      <c r="I10" s="387"/>
      <c r="J10" s="387"/>
      <c r="K10" s="387"/>
      <c r="L10" s="387"/>
      <c r="M10" s="387"/>
      <c r="N10" s="387"/>
      <c r="O10" s="387"/>
      <c r="P10" s="387"/>
      <c r="Q10" s="388"/>
    </row>
    <row r="11" spans="1:18" ht="14.1" customHeight="1">
      <c r="B11" s="436" t="str">
        <f>IF(Indice_index!$Z$1=1,"Natureza da Dívida","Nature of Debt")</f>
        <v>Natureza da Dívida</v>
      </c>
      <c r="C11" s="430"/>
      <c r="D11" s="391">
        <v>2024</v>
      </c>
      <c r="E11" s="387"/>
      <c r="F11" s="387"/>
      <c r="G11" s="387"/>
      <c r="H11" s="388"/>
      <c r="I11" s="391">
        <v>2025</v>
      </c>
      <c r="J11" s="387"/>
      <c r="K11" s="387"/>
      <c r="L11" s="387"/>
      <c r="M11" s="387"/>
      <c r="N11" s="387"/>
      <c r="O11" s="387"/>
      <c r="P11" s="388"/>
      <c r="Q11" s="410" t="str">
        <f>IF(Indice_index!$Z$1=1,"Variação Homóloga","YOY change")</f>
        <v>Variação Homóloga</v>
      </c>
    </row>
    <row r="12" spans="1:18" ht="14.1" customHeight="1">
      <c r="B12" s="374"/>
      <c r="C12" s="431"/>
      <c r="D12" s="22" t="str">
        <f>IF(Indice_index!$Z$1=1,"ago*","Aug*")</f>
        <v>ago*</v>
      </c>
      <c r="E12" s="22" t="str">
        <f>IF(Indice_index!$Z$1=1,"set*","Sep*")</f>
        <v>set*</v>
      </c>
      <c r="F12" s="22" t="str">
        <f>IF(Indice_index!$Z$1=1,"out*","Oct*")</f>
        <v>out*</v>
      </c>
      <c r="G12" s="22" t="str">
        <f>IF(Indice_index!$Z$1=1,"nov*","Nov*")</f>
        <v>nov*</v>
      </c>
      <c r="H12" s="167" t="str">
        <f>IF(Indice_index!$Z$1=1,"dez*","Dec*")</f>
        <v>dez*</v>
      </c>
      <c r="I12" s="22" t="str">
        <f>IF(Indice_index!$Z$1=1,"jan*","Jan*")</f>
        <v>jan*</v>
      </c>
      <c r="J12" s="167" t="str">
        <f>IF(Indice_index!$Z$1=1,"fev*","Feb*")</f>
        <v>fev*</v>
      </c>
      <c r="K12" s="22" t="str">
        <f>IF(Indice_index!$Z$1=1,"mar*","Mar*")</f>
        <v>mar*</v>
      </c>
      <c r="L12" s="22" t="str">
        <f>IF(Indice_index!$Z$1=1,"abr*","Apr*")</f>
        <v>abr*</v>
      </c>
      <c r="M12" s="22" t="str">
        <f>IF(Indice_index!$Z$1=1,"mai*","May*")</f>
        <v>mai*</v>
      </c>
      <c r="N12" s="22" t="str">
        <f>IF(Indice_index!$Z$1=1,"jun*","Jun*")</f>
        <v>jun*</v>
      </c>
      <c r="O12" s="22" t="str">
        <f>IF(Indice_index!$Z$1=1,"jul*","Jul*")</f>
        <v>jul*</v>
      </c>
      <c r="P12" s="22" t="str">
        <f>IF(Indice_index!$Z$1=1,"ago*","Aug*")</f>
        <v>ago*</v>
      </c>
      <c r="Q12" s="373"/>
    </row>
    <row r="13" spans="1:18" ht="14.1" customHeight="1">
      <c r="B13" s="439" t="str">
        <f>IF(Indice_index!$Z$1=1,"AC","CG")</f>
        <v>AC</v>
      </c>
      <c r="C13" s="313" t="str">
        <f>IF(Indice_index!$Z$1=1,"Aquisição de bens e serviços","Goods and services acquisition")</f>
        <v>Aquisição de bens e serviços</v>
      </c>
      <c r="D13" s="314">
        <v>436.38730921999996</v>
      </c>
      <c r="E13" s="314">
        <v>388.57053697000038</v>
      </c>
      <c r="F13" s="314">
        <v>418.48610200000019</v>
      </c>
      <c r="G13" s="314">
        <v>410.47286422999997</v>
      </c>
      <c r="H13" s="314">
        <v>308.98794730999998</v>
      </c>
      <c r="I13" s="314">
        <v>349.26952365</v>
      </c>
      <c r="J13" s="314">
        <v>402.11718879</v>
      </c>
      <c r="K13" s="314">
        <v>400.5373681799997</v>
      </c>
      <c r="L13" s="314">
        <v>409.77110701999987</v>
      </c>
      <c r="M13" s="314">
        <v>416.02163306999995</v>
      </c>
      <c r="N13" s="314">
        <v>432.18811052999968</v>
      </c>
      <c r="O13" s="314">
        <v>458.94588540999979</v>
      </c>
      <c r="P13" s="314">
        <v>472.80655403999998</v>
      </c>
      <c r="Q13" s="314">
        <f>P13-D13</f>
        <v>36.419244820000017</v>
      </c>
    </row>
    <row r="14" spans="1:18" ht="14.1" customHeight="1">
      <c r="B14" s="439"/>
      <c r="C14" s="313" t="str">
        <f>IF(Indice_index!$Z$1=1,"Aquisição de bens de capital","Capital goods acquisition")</f>
        <v>Aquisição de bens de capital</v>
      </c>
      <c r="D14" s="314">
        <v>63.450239259999961</v>
      </c>
      <c r="E14" s="314">
        <v>50.744649470000006</v>
      </c>
      <c r="F14" s="314">
        <v>86.206567670000013</v>
      </c>
      <c r="G14" s="314">
        <v>116.71487563000007</v>
      </c>
      <c r="H14" s="314">
        <v>26.005163099999994</v>
      </c>
      <c r="I14" s="314">
        <v>32.200848420000007</v>
      </c>
      <c r="J14" s="314">
        <v>58.738656590000012</v>
      </c>
      <c r="K14" s="314">
        <v>40.000553350000004</v>
      </c>
      <c r="L14" s="314">
        <v>77.366496799999993</v>
      </c>
      <c r="M14" s="314">
        <v>107.33635807999998</v>
      </c>
      <c r="N14" s="314">
        <v>86.589033249999972</v>
      </c>
      <c r="O14" s="314">
        <v>85.515196369999998</v>
      </c>
      <c r="P14" s="314">
        <v>82.364098830000032</v>
      </c>
      <c r="Q14" s="314">
        <f t="shared" ref="Q14:Q17" si="0">P14-D14</f>
        <v>18.913859570000071</v>
      </c>
    </row>
    <row r="15" spans="1:18" ht="14.1" customHeight="1">
      <c r="B15" s="439"/>
      <c r="C15" s="313" t="str">
        <f>IF(Indice_index!$Z$1=1,"Transferências para AP","Transfers inside GG")</f>
        <v>Transferências para AP</v>
      </c>
      <c r="D15" s="314">
        <v>82.073939150000001</v>
      </c>
      <c r="E15" s="314">
        <v>109.12633774000001</v>
      </c>
      <c r="F15" s="314">
        <v>92.07155984000002</v>
      </c>
      <c r="G15" s="314">
        <v>127.01837291000001</v>
      </c>
      <c r="H15" s="314">
        <v>33.117586390000007</v>
      </c>
      <c r="I15" s="314">
        <v>38.151747740000005</v>
      </c>
      <c r="J15" s="314">
        <v>60.975087290000005</v>
      </c>
      <c r="K15" s="314">
        <v>60.382807239999991</v>
      </c>
      <c r="L15" s="314">
        <v>104.78081091999999</v>
      </c>
      <c r="M15" s="314">
        <v>119.99284994000003</v>
      </c>
      <c r="N15" s="314">
        <v>132.96035567999999</v>
      </c>
      <c r="O15" s="314">
        <v>341.58550317999999</v>
      </c>
      <c r="P15" s="314">
        <v>201.73365041999998</v>
      </c>
      <c r="Q15" s="314">
        <f t="shared" si="0"/>
        <v>119.65971126999997</v>
      </c>
    </row>
    <row r="16" spans="1:18" ht="14.1" customHeight="1">
      <c r="B16" s="439"/>
      <c r="C16" s="313" t="str">
        <f>IF(Indice_index!$Z$1=1,"Transferências para fora das AP","Transfers outside GG")</f>
        <v>Transferências para fora das AP</v>
      </c>
      <c r="D16" s="314">
        <v>38.778790890000003</v>
      </c>
      <c r="E16" s="314">
        <v>41.563431289999997</v>
      </c>
      <c r="F16" s="314">
        <v>32.746508390000002</v>
      </c>
      <c r="G16" s="314">
        <v>29.771715290000007</v>
      </c>
      <c r="H16" s="314">
        <v>5.1968861300000002</v>
      </c>
      <c r="I16" s="314">
        <v>11.340357580000001</v>
      </c>
      <c r="J16" s="314">
        <v>21.461241019999999</v>
      </c>
      <c r="K16" s="314">
        <v>55.119289370000004</v>
      </c>
      <c r="L16" s="314">
        <v>16.228620039999996</v>
      </c>
      <c r="M16" s="314">
        <v>18.476546790000008</v>
      </c>
      <c r="N16" s="314">
        <v>30.932567660000007</v>
      </c>
      <c r="O16" s="314">
        <v>40.043442129999995</v>
      </c>
      <c r="P16" s="314">
        <v>35.014837150000005</v>
      </c>
      <c r="Q16" s="314">
        <f t="shared" si="0"/>
        <v>-3.763953739999998</v>
      </c>
    </row>
    <row r="17" spans="2:17" ht="14.1" customHeight="1">
      <c r="B17" s="439"/>
      <c r="C17" s="313" t="str">
        <f>IF(Indice_index!$Z$1=1,"Outras","Others")</f>
        <v>Outras</v>
      </c>
      <c r="D17" s="314">
        <v>134.71216394000001</v>
      </c>
      <c r="E17" s="314">
        <v>121.72485161000002</v>
      </c>
      <c r="F17" s="314">
        <v>115.91719153999995</v>
      </c>
      <c r="G17" s="314">
        <v>156.25583556999993</v>
      </c>
      <c r="H17" s="314">
        <v>111.56815862000005</v>
      </c>
      <c r="I17" s="314">
        <v>120.12511100999997</v>
      </c>
      <c r="J17" s="314">
        <v>149.46258260999991</v>
      </c>
      <c r="K17" s="314">
        <v>163.02365346000011</v>
      </c>
      <c r="L17" s="314">
        <v>163.86451108000011</v>
      </c>
      <c r="M17" s="314">
        <v>158.24365516</v>
      </c>
      <c r="N17" s="314">
        <v>201.02531443000007</v>
      </c>
      <c r="O17" s="314">
        <v>189.68079045000005</v>
      </c>
      <c r="P17" s="314">
        <v>141.54180792000002</v>
      </c>
      <c r="Q17" s="314">
        <f t="shared" si="0"/>
        <v>6.8296439800000144</v>
      </c>
    </row>
    <row r="18" spans="2:17" ht="14.1" customHeight="1">
      <c r="B18" s="440" t="str">
        <f>IF(Indice_index!$Z$1=1,"Total da Administração Central","Central Government - Total")</f>
        <v>Total da Administração Central</v>
      </c>
      <c r="C18" s="441"/>
      <c r="D18" s="18">
        <v>755.40244245999986</v>
      </c>
      <c r="E18" s="18">
        <v>711.72980708000046</v>
      </c>
      <c r="F18" s="18">
        <v>745.42792944000018</v>
      </c>
      <c r="G18" s="18">
        <v>840.23366363000002</v>
      </c>
      <c r="H18" s="18">
        <v>484.87574155000004</v>
      </c>
      <c r="I18" s="18">
        <v>551.08758839999996</v>
      </c>
      <c r="J18" s="18">
        <v>692.75475629999994</v>
      </c>
      <c r="K18" s="18">
        <v>719.06367159999991</v>
      </c>
      <c r="L18" s="18">
        <v>772.01154585999973</v>
      </c>
      <c r="M18" s="18">
        <v>820.07104303999995</v>
      </c>
      <c r="N18" s="18">
        <v>883.69538154999975</v>
      </c>
      <c r="O18" s="18">
        <v>1115.7708175400001</v>
      </c>
      <c r="P18" s="18">
        <v>933.46094835999997</v>
      </c>
      <c r="Q18" s="18">
        <f>P18-D18</f>
        <v>178.05850590000011</v>
      </c>
    </row>
    <row r="19" spans="2:17" ht="14.1" customHeight="1">
      <c r="B19" s="439" t="str">
        <f>IF(Indice_index!$Z$1=1,"AR","RG")</f>
        <v>AR</v>
      </c>
      <c r="C19" s="313" t="str">
        <f>IF(Indice_index!$Z$1=1,"Aquisição de bens e serviços","Goods and Services Acquisition")</f>
        <v>Aquisição de bens e serviços</v>
      </c>
      <c r="D19" s="315">
        <v>46.448886899999977</v>
      </c>
      <c r="E19" s="315">
        <v>73.647289369999996</v>
      </c>
      <c r="F19" s="315">
        <v>61.841439379999997</v>
      </c>
      <c r="G19" s="315">
        <v>79.990148060000024</v>
      </c>
      <c r="H19" s="315">
        <v>74.908888810000008</v>
      </c>
      <c r="I19" s="315">
        <v>110.24424065000001</v>
      </c>
      <c r="J19" s="315">
        <v>91.977814330000001</v>
      </c>
      <c r="K19" s="315">
        <v>86.828057480000012</v>
      </c>
      <c r="L19" s="315">
        <v>95.627223509999993</v>
      </c>
      <c r="M19" s="315">
        <v>102.86864986999998</v>
      </c>
      <c r="N19" s="315">
        <v>89.366738199999986</v>
      </c>
      <c r="O19" s="315">
        <v>104.94365522000012</v>
      </c>
      <c r="P19" s="315">
        <v>86.311769920000003</v>
      </c>
      <c r="Q19" s="314">
        <f>P19-D19</f>
        <v>39.862883020000027</v>
      </c>
    </row>
    <row r="20" spans="2:17" ht="14.1" customHeight="1">
      <c r="B20" s="439"/>
      <c r="C20" s="313" t="str">
        <f>IF(Indice_index!$Z$1=1,"Aquisição de bens de capital","Capital Goods Acquisition")</f>
        <v>Aquisição de bens de capital</v>
      </c>
      <c r="D20" s="316">
        <v>30.572322400000004</v>
      </c>
      <c r="E20" s="316">
        <v>37.777629880000006</v>
      </c>
      <c r="F20" s="316">
        <v>30.420385320000001</v>
      </c>
      <c r="G20" s="316">
        <v>34.350885359999992</v>
      </c>
      <c r="H20" s="316">
        <v>34.775308190000004</v>
      </c>
      <c r="I20" s="316">
        <v>36.057679980000003</v>
      </c>
      <c r="J20" s="316">
        <v>35.690923749999996</v>
      </c>
      <c r="K20" s="316">
        <v>33.531192179999998</v>
      </c>
      <c r="L20" s="316">
        <v>32.55391728</v>
      </c>
      <c r="M20" s="316">
        <v>32.754074100000004</v>
      </c>
      <c r="N20" s="316">
        <v>39.501029170000002</v>
      </c>
      <c r="O20" s="316">
        <v>32.318881380000008</v>
      </c>
      <c r="P20" s="316">
        <v>33.623115940000005</v>
      </c>
      <c r="Q20" s="314">
        <f t="shared" ref="Q20:Q23" si="1">P20-D20</f>
        <v>3.0507935400000008</v>
      </c>
    </row>
    <row r="21" spans="2:17" ht="14.1" customHeight="1">
      <c r="B21" s="439"/>
      <c r="C21" s="313" t="str">
        <f>IF(Indice_index!$Z$1=1,"Transferências para AP","Transfers inside GG")</f>
        <v>Transferências para AP</v>
      </c>
      <c r="D21" s="316">
        <v>15.793457699999998</v>
      </c>
      <c r="E21" s="316">
        <v>3.31664563</v>
      </c>
      <c r="F21" s="316">
        <v>4.5751791100000005</v>
      </c>
      <c r="G21" s="316">
        <v>25.422509389999998</v>
      </c>
      <c r="H21" s="316">
        <v>2.7007099500000002</v>
      </c>
      <c r="I21" s="316">
        <v>1.6080166000000002</v>
      </c>
      <c r="J21" s="316">
        <v>4.3529722920000005</v>
      </c>
      <c r="K21" s="316">
        <v>11.960369679999999</v>
      </c>
      <c r="L21" s="316">
        <v>2.2253766100000001</v>
      </c>
      <c r="M21" s="316">
        <v>2.7917093499999996</v>
      </c>
      <c r="N21" s="316">
        <v>8.8446557499999994</v>
      </c>
      <c r="O21" s="316">
        <v>9.5233154800000008</v>
      </c>
      <c r="P21" s="316">
        <v>12.532928159999999</v>
      </c>
      <c r="Q21" s="314">
        <f t="shared" si="1"/>
        <v>-3.2605295399999985</v>
      </c>
    </row>
    <row r="22" spans="2:17" ht="14.1" customHeight="1">
      <c r="B22" s="439"/>
      <c r="C22" s="313" t="str">
        <f>IF(Indice_index!$Z$1=1,"Transferências para fora das AP","Transfers outside GG")</f>
        <v>Transferências para fora das AP</v>
      </c>
      <c r="D22" s="316">
        <v>29.021108290000001</v>
      </c>
      <c r="E22" s="316">
        <v>34.904629619999994</v>
      </c>
      <c r="F22" s="316">
        <v>35.970443379999999</v>
      </c>
      <c r="G22" s="316">
        <v>42.917054840000006</v>
      </c>
      <c r="H22" s="316">
        <v>25.851296659999999</v>
      </c>
      <c r="I22" s="316">
        <v>31.553521099999998</v>
      </c>
      <c r="J22" s="316">
        <v>35.473589029999999</v>
      </c>
      <c r="K22" s="316">
        <v>30.7898724</v>
      </c>
      <c r="L22" s="316">
        <v>32.697367079999999</v>
      </c>
      <c r="M22" s="316">
        <v>38.87341472</v>
      </c>
      <c r="N22" s="316">
        <v>36.484171149999995</v>
      </c>
      <c r="O22" s="316">
        <v>37.957268470000002</v>
      </c>
      <c r="P22" s="316">
        <v>36.633397279999997</v>
      </c>
      <c r="Q22" s="314">
        <f t="shared" si="1"/>
        <v>7.6122889899999961</v>
      </c>
    </row>
    <row r="23" spans="2:17" ht="14.1" customHeight="1">
      <c r="B23" s="439"/>
      <c r="C23" s="313" t="str">
        <f>IF(Indice_index!$Z$1=1,"Outras","Others")</f>
        <v>Outras</v>
      </c>
      <c r="D23" s="317">
        <v>37.134584449999984</v>
      </c>
      <c r="E23" s="317">
        <v>29.934220030000009</v>
      </c>
      <c r="F23" s="317">
        <v>51.30978721999999</v>
      </c>
      <c r="G23" s="317">
        <v>53.373889420000012</v>
      </c>
      <c r="H23" s="317">
        <v>23.341055330000021</v>
      </c>
      <c r="I23" s="317">
        <v>30.732552600000034</v>
      </c>
      <c r="J23" s="317">
        <v>30.621809989999999</v>
      </c>
      <c r="K23" s="317">
        <v>29.971391090000019</v>
      </c>
      <c r="L23" s="317">
        <v>50.732852580000014</v>
      </c>
      <c r="M23" s="317">
        <v>39.998464830000003</v>
      </c>
      <c r="N23" s="317">
        <v>60.466489940000024</v>
      </c>
      <c r="O23" s="317">
        <v>32.322845030000025</v>
      </c>
      <c r="P23" s="317">
        <v>36.493357579999994</v>
      </c>
      <c r="Q23" s="314">
        <f t="shared" si="1"/>
        <v>-0.6412268699999899</v>
      </c>
    </row>
    <row r="24" spans="2:17" ht="14.1" customHeight="1">
      <c r="B24" s="440" t="str">
        <f>IF(Indice_index!$Z$1=1,"Total da Administração Regional","Regional Government - Total")</f>
        <v>Total da Administração Regional</v>
      </c>
      <c r="C24" s="441"/>
      <c r="D24" s="18">
        <v>158.97035973999996</v>
      </c>
      <c r="E24" s="18">
        <v>179.58041452999998</v>
      </c>
      <c r="F24" s="18">
        <v>184.11723440999998</v>
      </c>
      <c r="G24" s="18">
        <v>236.05448707000005</v>
      </c>
      <c r="H24" s="18">
        <v>161.57725894000004</v>
      </c>
      <c r="I24" s="18">
        <v>210.19601093000006</v>
      </c>
      <c r="J24" s="18">
        <v>198.117109392</v>
      </c>
      <c r="K24" s="18">
        <v>193.08088283000006</v>
      </c>
      <c r="L24" s="18">
        <v>213.83673706000002</v>
      </c>
      <c r="M24" s="18">
        <v>217.28631286999996</v>
      </c>
      <c r="N24" s="18">
        <v>234.66308421000002</v>
      </c>
      <c r="O24" s="18">
        <v>217.06596558000018</v>
      </c>
      <c r="P24" s="18">
        <v>205.59456888</v>
      </c>
      <c r="Q24" s="18">
        <f>P24-D24</f>
        <v>46.624209140000033</v>
      </c>
    </row>
    <row r="25" spans="2:17" ht="14.1" customHeight="1">
      <c r="B25" s="442" t="str">
        <f>IF(Indice_index!$Z$1=1,"AL","LG")</f>
        <v>AL</v>
      </c>
      <c r="C25" s="318" t="str">
        <f>IF(Indice_index!$Z$1=1,"Aquisição de bens e serviços","Goods and services acquisition")</f>
        <v>Aquisição de bens e serviços</v>
      </c>
      <c r="D25" s="319">
        <v>464.92630428000001</v>
      </c>
      <c r="E25" s="319">
        <v>427.56324952</v>
      </c>
      <c r="F25" s="319">
        <v>438.71693075999997</v>
      </c>
      <c r="G25" s="319">
        <v>445.35694759000012</v>
      </c>
      <c r="H25" s="319">
        <v>379.25612289000003</v>
      </c>
      <c r="I25" s="319">
        <v>379.09936736999998</v>
      </c>
      <c r="J25" s="319">
        <v>387.51244948999994</v>
      </c>
      <c r="K25" s="319">
        <v>402.70055898000004</v>
      </c>
      <c r="L25" s="319">
        <v>400.97135724999998</v>
      </c>
      <c r="M25" s="319">
        <v>396.71671411000005</v>
      </c>
      <c r="N25" s="319">
        <v>395.63446698000001</v>
      </c>
      <c r="O25" s="319">
        <v>394.43536157000005</v>
      </c>
      <c r="P25" s="319">
        <v>356.28383021000002</v>
      </c>
      <c r="Q25" s="314">
        <f>P25-D25</f>
        <v>-108.64247406999999</v>
      </c>
    </row>
    <row r="26" spans="2:17" ht="14.1" customHeight="1">
      <c r="B26" s="439"/>
      <c r="C26" s="320" t="str">
        <f>IF(Indice_index!$Z$1=1,"Aquisição de bens de capital","Capital goods acquisition")</f>
        <v>Aquisição de bens de capital</v>
      </c>
      <c r="D26" s="319">
        <v>280.34391459999995</v>
      </c>
      <c r="E26" s="319">
        <v>257.82451083000001</v>
      </c>
      <c r="F26" s="319">
        <v>250.71304255000007</v>
      </c>
      <c r="G26" s="319">
        <v>283.00464415000005</v>
      </c>
      <c r="H26" s="319">
        <v>200.46472660000001</v>
      </c>
      <c r="I26" s="319">
        <v>179.83987460000003</v>
      </c>
      <c r="J26" s="319">
        <v>186.67188634999999</v>
      </c>
      <c r="K26" s="319">
        <v>224.80023619000002</v>
      </c>
      <c r="L26" s="319">
        <v>235.08023991999997</v>
      </c>
      <c r="M26" s="319">
        <v>272.10702660000004</v>
      </c>
      <c r="N26" s="319">
        <v>274.05016593000005</v>
      </c>
      <c r="O26" s="319">
        <v>270.43554776999997</v>
      </c>
      <c r="P26" s="319">
        <v>280.52985950999999</v>
      </c>
      <c r="Q26" s="314">
        <f t="shared" ref="Q26:Q29" si="2">P26-D26</f>
        <v>0.18594491000004609</v>
      </c>
    </row>
    <row r="27" spans="2:17" ht="14.1" customHeight="1">
      <c r="B27" s="439"/>
      <c r="C27" s="320" t="str">
        <f>IF(Indice_index!$Z$1=1,"Transferências para AP","Transfers inside GG")</f>
        <v>Transferências para AP</v>
      </c>
      <c r="D27" s="319">
        <v>43.572608640000006</v>
      </c>
      <c r="E27" s="319">
        <v>41.490516639999996</v>
      </c>
      <c r="F27" s="319">
        <v>39.843852260000006</v>
      </c>
      <c r="G27" s="319">
        <v>35.306874740000005</v>
      </c>
      <c r="H27" s="319">
        <v>28.56495322</v>
      </c>
      <c r="I27" s="319">
        <v>33.704392119999994</v>
      </c>
      <c r="J27" s="319">
        <v>33.476674900000006</v>
      </c>
      <c r="K27" s="319">
        <v>32.638060590000002</v>
      </c>
      <c r="L27" s="319">
        <v>33.373244659999997</v>
      </c>
      <c r="M27" s="319">
        <v>37.390204879999992</v>
      </c>
      <c r="N27" s="319">
        <v>33.090143370000007</v>
      </c>
      <c r="O27" s="319">
        <v>29.513044889999993</v>
      </c>
      <c r="P27" s="319">
        <v>29.418014729999999</v>
      </c>
      <c r="Q27" s="314">
        <f t="shared" si="2"/>
        <v>-14.154593910000006</v>
      </c>
    </row>
    <row r="28" spans="2:17" ht="14.1" customHeight="1">
      <c r="B28" s="439"/>
      <c r="C28" s="320" t="str">
        <f>IF(Indice_index!$Z$1=1,"Transferências para fora das AP","Transfers outside GG")</f>
        <v>Transferências para fora das AP</v>
      </c>
      <c r="D28" s="319">
        <v>72.986501140000001</v>
      </c>
      <c r="E28" s="319">
        <v>74.214528970000003</v>
      </c>
      <c r="F28" s="319">
        <v>69.595272009999988</v>
      </c>
      <c r="G28" s="319">
        <v>67.907067489999989</v>
      </c>
      <c r="H28" s="319">
        <v>61.926291840000005</v>
      </c>
      <c r="I28" s="319">
        <v>74.037716640000014</v>
      </c>
      <c r="J28" s="319">
        <v>74.888101799999987</v>
      </c>
      <c r="K28" s="319">
        <v>73.286362159999996</v>
      </c>
      <c r="L28" s="319">
        <v>76.827591450000028</v>
      </c>
      <c r="M28" s="319">
        <v>82.62695128999998</v>
      </c>
      <c r="N28" s="319">
        <v>74.530862979999981</v>
      </c>
      <c r="O28" s="319">
        <v>70.991325930000002</v>
      </c>
      <c r="P28" s="319">
        <v>70.942760220000011</v>
      </c>
      <c r="Q28" s="314">
        <f t="shared" si="2"/>
        <v>-2.0437409199999905</v>
      </c>
    </row>
    <row r="29" spans="2:17" ht="14.1" customHeight="1">
      <c r="B29" s="439"/>
      <c r="C29" s="321" t="str">
        <f>IF(Indice_index!$Z$1=1,"Outras","Others")</f>
        <v>Outras</v>
      </c>
      <c r="D29" s="322">
        <v>500.59307199000074</v>
      </c>
      <c r="E29" s="322">
        <v>478.39395738999963</v>
      </c>
      <c r="F29" s="322">
        <v>481.62692795999976</v>
      </c>
      <c r="G29" s="322">
        <v>562.67606595999985</v>
      </c>
      <c r="H29" s="322">
        <v>501.60650824000004</v>
      </c>
      <c r="I29" s="322">
        <v>487.87437144</v>
      </c>
      <c r="J29" s="322">
        <v>488.3391708499999</v>
      </c>
      <c r="K29" s="322">
        <v>493.33738840000069</v>
      </c>
      <c r="L29" s="322">
        <v>493.66840380999992</v>
      </c>
      <c r="M29" s="322">
        <v>502.1775379999998</v>
      </c>
      <c r="N29" s="322">
        <v>560.54576416000009</v>
      </c>
      <c r="O29" s="322">
        <v>491.21408077000018</v>
      </c>
      <c r="P29" s="322">
        <v>480.23944662999969</v>
      </c>
      <c r="Q29" s="314">
        <f t="shared" si="2"/>
        <v>-20.353625360001047</v>
      </c>
    </row>
    <row r="30" spans="2:17" ht="14.1" customHeight="1">
      <c r="B30" s="440" t="str">
        <f>IF(Indice_index!$Z$1=1,"Total da Administração Local","Local Government - Total")</f>
        <v>Total da Administração Local</v>
      </c>
      <c r="C30" s="441"/>
      <c r="D30" s="18">
        <v>1362.4224006500006</v>
      </c>
      <c r="E30" s="18">
        <v>1279.4867633499998</v>
      </c>
      <c r="F30" s="18">
        <v>1280.4960255399999</v>
      </c>
      <c r="G30" s="18">
        <v>1394.2515999300001</v>
      </c>
      <c r="H30" s="18">
        <v>1171.8186027900001</v>
      </c>
      <c r="I30" s="18">
        <v>1154.5557221700001</v>
      </c>
      <c r="J30" s="18">
        <v>1170.8882833899997</v>
      </c>
      <c r="K30" s="18">
        <v>1226.7626063200007</v>
      </c>
      <c r="L30" s="18">
        <v>1239.9208370899998</v>
      </c>
      <c r="M30" s="18">
        <v>1291.0184348799999</v>
      </c>
      <c r="N30" s="18">
        <v>1337.8514034200002</v>
      </c>
      <c r="O30" s="18">
        <v>1256.5893609300001</v>
      </c>
      <c r="P30" s="18">
        <v>1217.4139112999997</v>
      </c>
      <c r="Q30" s="18">
        <f>P30-D30</f>
        <v>-145.0084893500009</v>
      </c>
    </row>
    <row r="31" spans="2:17" ht="14.1" customHeight="1">
      <c r="B31" s="437" t="str">
        <f>IF(Indice_index!$Z$1=1,"Total das Administrações Públicas","General Government - Total")</f>
        <v>Total das Administrações Públicas</v>
      </c>
      <c r="C31" s="438"/>
      <c r="D31" s="170">
        <f t="shared" ref="D31:P31" si="3">D30+D24+D18</f>
        <v>2276.7952028500004</v>
      </c>
      <c r="E31" s="170">
        <f t="shared" si="3"/>
        <v>2170.7969849600004</v>
      </c>
      <c r="F31" s="170">
        <f t="shared" si="3"/>
        <v>2210.04118939</v>
      </c>
      <c r="G31" s="170">
        <f t="shared" si="3"/>
        <v>2470.5397506300001</v>
      </c>
      <c r="H31" s="170">
        <f t="shared" si="3"/>
        <v>1818.2716032800004</v>
      </c>
      <c r="I31" s="170">
        <f t="shared" si="3"/>
        <v>1915.8393215000001</v>
      </c>
      <c r="J31" s="170">
        <f t="shared" si="3"/>
        <v>2061.7601490819998</v>
      </c>
      <c r="K31" s="170">
        <f t="shared" si="3"/>
        <v>2138.9071607500009</v>
      </c>
      <c r="L31" s="170">
        <f t="shared" si="3"/>
        <v>2225.7691200099998</v>
      </c>
      <c r="M31" s="170">
        <f t="shared" si="3"/>
        <v>2328.3757907899999</v>
      </c>
      <c r="N31" s="170">
        <f t="shared" si="3"/>
        <v>2456.2098691800002</v>
      </c>
      <c r="O31" s="170">
        <f t="shared" si="3"/>
        <v>2589.4261440500004</v>
      </c>
      <c r="P31" s="170">
        <f t="shared" si="3"/>
        <v>2356.4694285399996</v>
      </c>
      <c r="Q31" s="170">
        <f>P31-D31</f>
        <v>79.674225689999275</v>
      </c>
    </row>
    <row r="32" spans="2:17" ht="15" customHeight="1">
      <c r="B32" s="9" t="str">
        <f>IF(Indice_index!$Z$1=1,"Notas:","Notes:")</f>
        <v>Notas:</v>
      </c>
      <c r="C32" s="9"/>
      <c r="D32" s="9"/>
      <c r="E32" s="9"/>
      <c r="F32" s="9"/>
      <c r="G32" s="9"/>
      <c r="H32" s="9"/>
      <c r="I32" s="9"/>
      <c r="J32" s="9"/>
      <c r="K32" s="9"/>
      <c r="L32" s="9"/>
      <c r="M32" s="9"/>
      <c r="N32" s="9"/>
      <c r="O32" s="9"/>
      <c r="P32" s="9"/>
      <c r="Q32" s="9"/>
    </row>
    <row r="33" spans="1:17" ht="15">
      <c r="B33" s="435"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C33" s="435"/>
      <c r="D33" s="435"/>
      <c r="E33" s="435"/>
      <c r="F33" s="435"/>
      <c r="G33" s="435"/>
      <c r="H33" s="435"/>
      <c r="I33" s="435"/>
      <c r="J33" s="435"/>
      <c r="K33" s="435"/>
      <c r="L33" s="435"/>
      <c r="M33" s="435"/>
      <c r="N33" s="435"/>
      <c r="O33" s="435"/>
      <c r="P33" s="435"/>
      <c r="Q33" s="435"/>
    </row>
    <row r="34" spans="1:17" ht="24" customHeight="1">
      <c r="A34" s="255"/>
      <c r="B34" s="444" t="str">
        <f>IF(Indice_index!$Z$1=1,"AC: Exclui a contribuição financeira para a União Europeia, pelo facto de a mesma não ser considerada em dívida, o SNS, EPR e restantes entidades que não se incluem no perímetro de consolidação das Administrações Públicas em contas nacionais.","CG:Excludes financial contribution to EU, as it is not considered to be in debt , NHS, the reclassified public entities and other entities that are not included in the perimeter of consolidation of the General Government in national accounts.")</f>
        <v>AC: Exclui a contribuição financeira para a União Europeia, pelo facto de a mesma não ser considerada em dívida, o SNS, EPR e restantes entidades que não se incluem no perímetro de consolidação das Administrações Públicas em contas nacionais.</v>
      </c>
      <c r="C34" s="444"/>
      <c r="D34" s="444"/>
      <c r="E34" s="444"/>
      <c r="F34" s="444"/>
      <c r="G34" s="444"/>
      <c r="H34" s="444"/>
      <c r="I34" s="444"/>
      <c r="J34" s="444"/>
      <c r="K34" s="444"/>
      <c r="L34" s="444"/>
      <c r="M34" s="444"/>
      <c r="N34" s="444"/>
      <c r="O34" s="444"/>
      <c r="P34" s="444"/>
      <c r="Q34" s="444"/>
    </row>
    <row r="35" spans="1:17" ht="15">
      <c r="A35" s="255"/>
      <c r="B35" s="448" t="str">
        <f>IF(Indice_index!$Z$1=1,"AC: Dados revistos em jul.25","CG: revised for July 25.")</f>
        <v>AC: Dados revistos em jul.25</v>
      </c>
      <c r="C35" s="448"/>
      <c r="D35" s="448"/>
      <c r="E35" s="448"/>
      <c r="F35" s="448"/>
      <c r="G35" s="448"/>
      <c r="H35" s="448"/>
      <c r="I35" s="448"/>
      <c r="J35" s="448"/>
      <c r="K35" s="448"/>
      <c r="L35" s="448"/>
      <c r="M35" s="448"/>
      <c r="N35" s="448"/>
      <c r="O35" s="448"/>
      <c r="P35" s="448"/>
      <c r="Q35" s="448"/>
    </row>
    <row r="36" spans="1:17" ht="36.75" customHeight="1">
      <c r="A36" s="255"/>
      <c r="B36" s="444" t="str">
        <f>IF(Indice_index!$Z$1=1,C92,C93)</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C36" s="444"/>
      <c r="D36" s="444"/>
      <c r="E36" s="444"/>
      <c r="F36" s="444"/>
      <c r="G36" s="444"/>
      <c r="H36" s="444"/>
      <c r="I36" s="444"/>
      <c r="J36" s="444"/>
      <c r="K36" s="444"/>
      <c r="L36" s="444"/>
      <c r="M36" s="444"/>
      <c r="N36" s="444"/>
      <c r="O36" s="444"/>
      <c r="P36" s="444"/>
      <c r="Q36" s="444"/>
    </row>
    <row r="37" spans="1:17" ht="15" customHeight="1">
      <c r="B37" s="445" t="str">
        <f>IF(Indice_index!$Z$1=1,"Fonte: Entidade Orçamental, Direção Geral das Autarquias Locais, Direção Regional do Orçamento e Tesouro da Região Autónoma dos Açores e Direção Regional do Orçamento e Tesouro da Região Autónoma da Madeira","Source: Budgetary Entity., DGAL, Azores Autonomous Region Budget and Treasury Regional Directorate and Madeira Autonomous Region Budget and Treasury Regional Directorate.")</f>
        <v>Fonte: Entidade Orçamental, Direção Geral das Autarquias Locais, Direção Regional do Orçamento e Tesouro da Região Autónoma dos Açores e Direção Regional do Orçamento e Tesouro da Região Autónoma da Madeira</v>
      </c>
      <c r="C37" s="445"/>
      <c r="D37" s="445"/>
      <c r="E37" s="445"/>
      <c r="F37" s="445"/>
      <c r="G37" s="445"/>
      <c r="H37" s="445"/>
      <c r="I37" s="445"/>
      <c r="J37" s="445"/>
      <c r="K37" s="445"/>
      <c r="L37" s="445"/>
      <c r="M37" s="445"/>
      <c r="N37" s="445"/>
      <c r="O37" s="445"/>
      <c r="P37" s="445"/>
      <c r="Q37" s="445"/>
    </row>
    <row r="38" spans="1:17" ht="15" customHeight="1">
      <c r="B38" s="111"/>
      <c r="C38" s="150"/>
      <c r="D38" s="56"/>
      <c r="E38" s="56"/>
      <c r="F38" s="56"/>
      <c r="G38" s="56"/>
      <c r="H38" s="56"/>
      <c r="I38" s="56"/>
      <c r="J38" s="56"/>
      <c r="K38" s="56"/>
      <c r="L38" s="56"/>
      <c r="M38" s="56"/>
      <c r="N38" s="56"/>
      <c r="O38" s="56"/>
      <c r="P38" s="56"/>
      <c r="Q38" s="118" t="str">
        <f>IF(Indice_index!$Z$1=1,"€ Milhões","€ Millions")</f>
        <v>€ Milhões</v>
      </c>
    </row>
    <row r="39" spans="1:17" ht="16.350000000000001" customHeight="1">
      <c r="B39" s="151"/>
      <c r="C39" s="387" t="str">
        <f>IF(Indice_index!$Z$1=1,"Pagamentos em atraso (dívidas por pagar há mais de 90 dias) - Stock em fim de período (consolidado)","Arrears (overdue for more than 90 days) - Stock in the end of the period (consolidated)")</f>
        <v>Pagamentos em atraso (dívidas por pagar há mais de 90 dias) - Stock em fim de período (consolidado)</v>
      </c>
      <c r="D39" s="387"/>
      <c r="E39" s="387"/>
      <c r="F39" s="387"/>
      <c r="G39" s="387"/>
      <c r="H39" s="387"/>
      <c r="I39" s="387"/>
      <c r="J39" s="387"/>
      <c r="K39" s="387"/>
      <c r="L39" s="387"/>
      <c r="M39" s="387"/>
      <c r="N39" s="387"/>
      <c r="O39" s="387"/>
      <c r="P39" s="387"/>
      <c r="Q39" s="387"/>
    </row>
    <row r="40" spans="1:17" ht="15.6" customHeight="1">
      <c r="B40" s="56"/>
      <c r="C40" s="430" t="s">
        <v>13</v>
      </c>
      <c r="D40" s="391">
        <v>2024</v>
      </c>
      <c r="E40" s="387"/>
      <c r="F40" s="387"/>
      <c r="G40" s="387"/>
      <c r="H40" s="388"/>
      <c r="I40" s="391">
        <v>2025</v>
      </c>
      <c r="J40" s="387"/>
      <c r="K40" s="387"/>
      <c r="L40" s="387"/>
      <c r="M40" s="387"/>
      <c r="N40" s="387"/>
      <c r="O40" s="387"/>
      <c r="P40" s="388"/>
      <c r="Q40" s="410" t="str">
        <f>IF(Indice_index!$Z$1=1,"Variação Homóloga","YOY change")</f>
        <v>Variação Homóloga</v>
      </c>
    </row>
    <row r="41" spans="1:17" ht="13.5" customHeight="1">
      <c r="B41" s="111"/>
      <c r="C41" s="371"/>
      <c r="D41" s="22" t="str">
        <f>IF(Indice_index!$Z$1=1,"ago*","Aug*")</f>
        <v>ago*</v>
      </c>
      <c r="E41" s="22" t="str">
        <f>IF(Indice_index!$Z$1=1,"set*","Sep*")</f>
        <v>set*</v>
      </c>
      <c r="F41" s="22" t="str">
        <f>IF(Indice_index!$Z$1=1,"out*","Oct*")</f>
        <v>out*</v>
      </c>
      <c r="G41" s="22" t="str">
        <f>IF(Indice_index!$Z$1=1,"nov*","Nov*")</f>
        <v>nov*</v>
      </c>
      <c r="H41" s="167" t="str">
        <f>IF(Indice_index!$Z$1=1,"dez*","Dec*")</f>
        <v>dez*</v>
      </c>
      <c r="I41" s="22" t="str">
        <f>IF(Indice_index!$Z$1=1,"jan*","Jan*")</f>
        <v>jan*</v>
      </c>
      <c r="J41" s="167" t="str">
        <f>IF(Indice_index!$Z$1=1,"fev*","Feb*")</f>
        <v>fev*</v>
      </c>
      <c r="K41" s="22" t="str">
        <f>IF(Indice_index!$Z$1=1,"mar*","Mar*")</f>
        <v>mar*</v>
      </c>
      <c r="L41" s="22" t="str">
        <f>IF(Indice_index!$Z$1=1,"abr*","Apr*")</f>
        <v>abr*</v>
      </c>
      <c r="M41" s="22" t="str">
        <f>IF(Indice_index!$Z$1=1,"mai*","May*")</f>
        <v>mai*</v>
      </c>
      <c r="N41" s="22" t="str">
        <f>IF(Indice_index!$Z$1=1,"jun*","Jun*")</f>
        <v>jun*</v>
      </c>
      <c r="O41" s="22" t="str">
        <f>IF(Indice_index!$Z$1=1,"jul*","Jul*")</f>
        <v>jul*</v>
      </c>
      <c r="P41" s="22" t="str">
        <f>IF(Indice_index!$Z$1=1,"ago*","Aug*")</f>
        <v>ago*</v>
      </c>
      <c r="Q41" s="373"/>
    </row>
    <row r="42" spans="1:17" ht="14.1" customHeight="1">
      <c r="B42" s="74"/>
      <c r="C42" s="323" t="str">
        <f>IF(Indice_index!$Z$1=1,"Administrações Públicas","General Government")</f>
        <v>Administrações Públicas</v>
      </c>
      <c r="D42" s="324">
        <f>SUM(D43:D48)</f>
        <v>642.97993492000001</v>
      </c>
      <c r="E42" s="324">
        <f t="shared" ref="E42:O42" si="4">SUM(E43:E48)</f>
        <v>640.41610074999994</v>
      </c>
      <c r="F42" s="324">
        <f t="shared" si="4"/>
        <v>723.64552873000002</v>
      </c>
      <c r="G42" s="324">
        <f t="shared" si="4"/>
        <v>859.90316083999994</v>
      </c>
      <c r="H42" s="324">
        <f t="shared" si="4"/>
        <v>294.00117286000005</v>
      </c>
      <c r="I42" s="324">
        <f t="shared" si="4"/>
        <v>335.90262797999998</v>
      </c>
      <c r="J42" s="324">
        <f t="shared" si="4"/>
        <v>361.53278807999993</v>
      </c>
      <c r="K42" s="324">
        <f t="shared" si="4"/>
        <v>409.80715522999998</v>
      </c>
      <c r="L42" s="324">
        <f t="shared" si="4"/>
        <v>495.60256084000002</v>
      </c>
      <c r="M42" s="324">
        <f t="shared" si="4"/>
        <v>640.28670028999989</v>
      </c>
      <c r="N42" s="324">
        <f t="shared" si="4"/>
        <v>846.08957884000006</v>
      </c>
      <c r="O42" s="324">
        <f t="shared" si="4"/>
        <v>740.06812598000022</v>
      </c>
      <c r="P42" s="324">
        <f>SUM(P43:P48)</f>
        <v>888.79851226999983</v>
      </c>
      <c r="Q42" s="324">
        <f>P42-D42</f>
        <v>245.81857734999983</v>
      </c>
    </row>
    <row r="43" spans="1:17" ht="14.1" customHeight="1">
      <c r="B43" s="74"/>
      <c r="C43" s="325" t="str">
        <f>IF(Indice_index!$Z$1=1,"Admin. Central excl. Subs. Saúde","Central Government excl. Health Subsector")</f>
        <v>Admin. Central excl. Subs. Saúde</v>
      </c>
      <c r="D43" s="314">
        <v>124.90098169000001</v>
      </c>
      <c r="E43" s="314">
        <v>51.622456219999997</v>
      </c>
      <c r="F43" s="314">
        <v>52.665069229999993</v>
      </c>
      <c r="G43" s="314">
        <v>54.487430720000006</v>
      </c>
      <c r="H43" s="314">
        <v>51.32365472</v>
      </c>
      <c r="I43" s="314">
        <v>51.23193878</v>
      </c>
      <c r="J43" s="314">
        <v>51.123142669999986</v>
      </c>
      <c r="K43" s="314">
        <v>48.412930769999996</v>
      </c>
      <c r="L43" s="314">
        <v>50.155745070000009</v>
      </c>
      <c r="M43" s="314">
        <v>50.293792010000004</v>
      </c>
      <c r="N43" s="314">
        <v>51.623243580000008</v>
      </c>
      <c r="O43" s="314">
        <v>52.004924209999992</v>
      </c>
      <c r="P43" s="314">
        <v>53.465499800000003</v>
      </c>
      <c r="Q43" s="314">
        <f>P43-D43</f>
        <v>-71.435481890000005</v>
      </c>
    </row>
    <row r="44" spans="1:17" ht="14.1" customHeight="1">
      <c r="B44" s="74"/>
      <c r="C44" s="325" t="str">
        <f>IF(Indice_index!$Z$1=1,"Subsector da Saúde","Health Subsector")</f>
        <v>Subsector da Saúde</v>
      </c>
      <c r="D44" s="314">
        <v>0.62192630999999998</v>
      </c>
      <c r="E44" s="314">
        <v>0.86296452000000001</v>
      </c>
      <c r="F44" s="314">
        <v>0.27545060999999998</v>
      </c>
      <c r="G44" s="314">
        <v>0.22865809000000023</v>
      </c>
      <c r="H44" s="314">
        <v>0</v>
      </c>
      <c r="I44" s="314">
        <v>1.45427927</v>
      </c>
      <c r="J44" s="314">
        <v>2.5697672000000003</v>
      </c>
      <c r="K44" s="314">
        <v>2.1301585599999999</v>
      </c>
      <c r="L44" s="314">
        <v>1.46206152</v>
      </c>
      <c r="M44" s="314">
        <v>0.23551421</v>
      </c>
      <c r="N44" s="314">
        <v>0.26935113999999999</v>
      </c>
      <c r="O44" s="314">
        <v>0.75831328000000009</v>
      </c>
      <c r="P44" s="314">
        <v>17.023387100000001</v>
      </c>
      <c r="Q44" s="314">
        <f>P44-D44</f>
        <v>16.401460790000002</v>
      </c>
    </row>
    <row r="45" spans="1:17" ht="14.1" customHeight="1">
      <c r="B45" s="74"/>
      <c r="C45" s="325" t="str">
        <f>IF(Indice_index!$Z$1=1,"Unidades de Saúde EPE","HNS - EPE Health Units")</f>
        <v>Unidades de Saúde EPE</v>
      </c>
      <c r="D45" s="314">
        <v>287.64056455000002</v>
      </c>
      <c r="E45" s="314">
        <v>355.80908412999997</v>
      </c>
      <c r="F45" s="314">
        <v>424.13089975000003</v>
      </c>
      <c r="G45" s="314">
        <v>554.44963158999997</v>
      </c>
      <c r="H45" s="314">
        <v>13.106308889999994</v>
      </c>
      <c r="I45" s="314">
        <v>28.705353930000001</v>
      </c>
      <c r="J45" s="314">
        <v>47.955146850000006</v>
      </c>
      <c r="K45" s="314">
        <v>87.360682210000007</v>
      </c>
      <c r="L45" s="314">
        <v>169.17361834999997</v>
      </c>
      <c r="M45" s="314">
        <v>332.28232348</v>
      </c>
      <c r="N45" s="314">
        <v>547.02861094999992</v>
      </c>
      <c r="O45" s="314">
        <v>469.29201211000014</v>
      </c>
      <c r="P45" s="314">
        <v>599.38131115999988</v>
      </c>
      <c r="Q45" s="314">
        <f t="shared" ref="Q45:Q50" si="5">P45-D45</f>
        <v>311.74074660999986</v>
      </c>
    </row>
    <row r="46" spans="1:17" ht="14.1" customHeight="1">
      <c r="B46" s="74"/>
      <c r="C46" s="325" t="str">
        <f>IF(Indice_index!$Z$1=1,"Entidades Públicas Reclassificadas","Reclassified Public Entities")</f>
        <v>Entidades Públicas Reclassificadas</v>
      </c>
      <c r="D46" s="314">
        <v>14.256467319999997</v>
      </c>
      <c r="E46" s="314">
        <v>8.2788472800000008</v>
      </c>
      <c r="F46" s="314">
        <v>10.87116176</v>
      </c>
      <c r="G46" s="314">
        <v>9.7580269899999976</v>
      </c>
      <c r="H46" s="314">
        <v>8.4098861100000004</v>
      </c>
      <c r="I46" s="314">
        <v>15.444880849999999</v>
      </c>
      <c r="J46" s="314">
        <v>15.685552569999999</v>
      </c>
      <c r="K46" s="314">
        <v>16.223083189999997</v>
      </c>
      <c r="L46" s="314">
        <v>15.900803399999997</v>
      </c>
      <c r="M46" s="314">
        <v>15.347403289999997</v>
      </c>
      <c r="N46" s="314">
        <v>15.379932219999999</v>
      </c>
      <c r="O46" s="314">
        <v>15.403210259999998</v>
      </c>
      <c r="P46" s="314">
        <v>15.43382703</v>
      </c>
      <c r="Q46" s="314">
        <f t="shared" si="5"/>
        <v>1.1773597100000028</v>
      </c>
    </row>
    <row r="47" spans="1:17" ht="14.1" customHeight="1">
      <c r="B47" s="74"/>
      <c r="C47" s="325" t="str">
        <f>IF(Indice_index!$Z$1=1,"Administração Local","Local Government")</f>
        <v>Administração Local</v>
      </c>
      <c r="D47" s="314">
        <v>48.241021360000005</v>
      </c>
      <c r="E47" s="314">
        <v>48.532772009999995</v>
      </c>
      <c r="F47" s="314">
        <v>47.292807869999997</v>
      </c>
      <c r="G47" s="314">
        <v>48.800624689999992</v>
      </c>
      <c r="H47" s="314">
        <v>28.004878250000004</v>
      </c>
      <c r="I47" s="314">
        <v>31.28975324</v>
      </c>
      <c r="J47" s="314">
        <v>31.273060870000005</v>
      </c>
      <c r="K47" s="314">
        <v>34.587616079999997</v>
      </c>
      <c r="L47" s="314">
        <v>38.174809959999997</v>
      </c>
      <c r="M47" s="314">
        <v>37.535899719999996</v>
      </c>
      <c r="N47" s="314">
        <v>39.042777170000008</v>
      </c>
      <c r="O47" s="314">
        <v>35.158282080000006</v>
      </c>
      <c r="P47" s="314">
        <v>33.43202205</v>
      </c>
      <c r="Q47" s="314">
        <f>P47-D47</f>
        <v>-14.808999310000004</v>
      </c>
    </row>
    <row r="48" spans="1:17" ht="14.1" customHeight="1">
      <c r="B48" s="94"/>
      <c r="C48" s="325" t="str">
        <f>IF(Indice_index!$Z$1=1,"Administração Regional","Regional Government")</f>
        <v>Administração Regional</v>
      </c>
      <c r="D48" s="314">
        <v>167.31897369000001</v>
      </c>
      <c r="E48" s="314">
        <v>175.30997659000002</v>
      </c>
      <c r="F48" s="314">
        <v>188.41013950999999</v>
      </c>
      <c r="G48" s="314">
        <v>192.17878876000009</v>
      </c>
      <c r="H48" s="314">
        <v>193.15644489000005</v>
      </c>
      <c r="I48" s="314">
        <v>207.77642190999995</v>
      </c>
      <c r="J48" s="314">
        <v>212.92611791999997</v>
      </c>
      <c r="K48" s="314">
        <v>221.09268441999998</v>
      </c>
      <c r="L48" s="314">
        <v>220.73552254000003</v>
      </c>
      <c r="M48" s="314">
        <v>204.59176757999992</v>
      </c>
      <c r="N48" s="314">
        <v>192.74566378000003</v>
      </c>
      <c r="O48" s="314">
        <v>167.45138404000002</v>
      </c>
      <c r="P48" s="314">
        <v>170.06246512999999</v>
      </c>
      <c r="Q48" s="314">
        <f t="shared" si="5"/>
        <v>2.7434914399999855</v>
      </c>
    </row>
    <row r="49" spans="1:18" ht="14.1" customHeight="1">
      <c r="B49" s="74"/>
      <c r="C49" s="323" t="str">
        <f>IF(Indice_index!$Z$1=1,"Outras Entidades","Other Entities")</f>
        <v>Outras Entidades</v>
      </c>
      <c r="D49" s="324">
        <f t="shared" ref="D49:P49" si="6">SUM(D50)</f>
        <v>0.44664528999999997</v>
      </c>
      <c r="E49" s="324">
        <f t="shared" si="6"/>
        <v>0.44664528999999997</v>
      </c>
      <c r="F49" s="324">
        <f t="shared" si="6"/>
        <v>0.44664528999999997</v>
      </c>
      <c r="G49" s="324">
        <f t="shared" si="6"/>
        <v>0.44664528999999997</v>
      </c>
      <c r="H49" s="324">
        <f t="shared" si="6"/>
        <v>0.44664528999999997</v>
      </c>
      <c r="I49" s="324">
        <f t="shared" si="6"/>
        <v>0.44664528999999997</v>
      </c>
      <c r="J49" s="324">
        <f t="shared" si="6"/>
        <v>0.44664528999999997</v>
      </c>
      <c r="K49" s="324">
        <f t="shared" si="6"/>
        <v>0.44664528999999997</v>
      </c>
      <c r="L49" s="324">
        <f t="shared" si="6"/>
        <v>0.44664528999999997</v>
      </c>
      <c r="M49" s="324">
        <f t="shared" si="6"/>
        <v>0.44664528999999997</v>
      </c>
      <c r="N49" s="324">
        <f t="shared" si="6"/>
        <v>0.44664528999999997</v>
      </c>
      <c r="O49" s="324">
        <f t="shared" si="6"/>
        <v>0.44664528999999997</v>
      </c>
      <c r="P49" s="324">
        <f t="shared" si="6"/>
        <v>0.44664528999999997</v>
      </c>
      <c r="Q49" s="324">
        <f t="shared" si="5"/>
        <v>0</v>
      </c>
    </row>
    <row r="50" spans="1:18" ht="14.1" customHeight="1">
      <c r="B50" s="94"/>
      <c r="C50" s="325" t="str">
        <f>IF(Indice_index!$Z$1=1,"Empr. Públicas Não Reclassificadas","Non-reclassified Public Enterprises")</f>
        <v>Empr. Públicas Não Reclassificadas</v>
      </c>
      <c r="D50" s="314">
        <v>0.44664528999999997</v>
      </c>
      <c r="E50" s="314">
        <v>0.44664528999999997</v>
      </c>
      <c r="F50" s="314">
        <v>0.44664528999999997</v>
      </c>
      <c r="G50" s="314">
        <v>0.44664528999999997</v>
      </c>
      <c r="H50" s="314">
        <v>0.44664528999999997</v>
      </c>
      <c r="I50" s="314">
        <v>0.44664528999999997</v>
      </c>
      <c r="J50" s="314">
        <v>0.44664528999999997</v>
      </c>
      <c r="K50" s="314">
        <v>0.44664528999999997</v>
      </c>
      <c r="L50" s="314">
        <v>0.44664528999999997</v>
      </c>
      <c r="M50" s="314">
        <v>0.44664528999999997</v>
      </c>
      <c r="N50" s="314">
        <v>0.44664528999999997</v>
      </c>
      <c r="O50" s="314">
        <v>0.44664528999999997</v>
      </c>
      <c r="P50" s="314">
        <v>0.44664528999999997</v>
      </c>
      <c r="Q50" s="314">
        <f t="shared" si="5"/>
        <v>0</v>
      </c>
    </row>
    <row r="51" spans="1:18" ht="14.1" customHeight="1">
      <c r="B51" s="94"/>
      <c r="C51" s="171" t="str">
        <f>IF(Indice_index!$Z$1=1,"Total","Total")</f>
        <v>Total</v>
      </c>
      <c r="D51" s="27">
        <f>D49+D42</f>
        <v>643.42658021</v>
      </c>
      <c r="E51" s="27">
        <f t="shared" ref="E51:O51" si="7">E49+E42</f>
        <v>640.86274603999993</v>
      </c>
      <c r="F51" s="27">
        <f t="shared" si="7"/>
        <v>724.09217402000002</v>
      </c>
      <c r="G51" s="27">
        <f t="shared" si="7"/>
        <v>860.34980612999993</v>
      </c>
      <c r="H51" s="27">
        <f t="shared" si="7"/>
        <v>294.44781815000005</v>
      </c>
      <c r="I51" s="27">
        <f t="shared" si="7"/>
        <v>336.34927326999997</v>
      </c>
      <c r="J51" s="27">
        <f t="shared" si="7"/>
        <v>361.97943336999992</v>
      </c>
      <c r="K51" s="27">
        <f t="shared" si="7"/>
        <v>410.25380051999997</v>
      </c>
      <c r="L51" s="27">
        <f t="shared" si="7"/>
        <v>496.04920613000002</v>
      </c>
      <c r="M51" s="27">
        <f t="shared" si="7"/>
        <v>640.73334557999988</v>
      </c>
      <c r="N51" s="27">
        <f t="shared" si="7"/>
        <v>846.53622413000005</v>
      </c>
      <c r="O51" s="27">
        <f t="shared" si="7"/>
        <v>740.51477127000021</v>
      </c>
      <c r="P51" s="27">
        <f>P49+P42</f>
        <v>889.24515755999983</v>
      </c>
      <c r="Q51" s="27">
        <f>P51-D51</f>
        <v>245.81857734999983</v>
      </c>
    </row>
    <row r="52" spans="1:18" ht="15">
      <c r="B52" s="74"/>
      <c r="C52" s="9" t="str">
        <f>IF(Indice_index!$Z$1=1,"Notas:","Notes:")</f>
        <v>Notas:</v>
      </c>
      <c r="D52" s="9"/>
      <c r="E52" s="9"/>
      <c r="F52" s="9"/>
      <c r="G52" s="9"/>
      <c r="H52" s="9"/>
      <c r="I52" s="9"/>
      <c r="J52" s="9"/>
      <c r="K52" s="9"/>
      <c r="L52" s="9"/>
      <c r="M52" s="9"/>
      <c r="N52" s="9"/>
      <c r="O52" s="9"/>
      <c r="P52" s="9"/>
      <c r="Q52" s="9"/>
    </row>
    <row r="53" spans="1:18" ht="15" customHeight="1">
      <c r="B53" s="74"/>
      <c r="C53" s="447" t="str">
        <f>IF(Indice_index!$Z$1=1,"Conceito de passivo não financeiro no âmbito da Lei n.º 8/2012, de 21 de Fevereiro de 2012 (Lei dos Compromissos e Pagamentos em Atraso).","Definition of non financial liability according to the Law of Commitment and Arrears (Law no. 8/2012 of 21 February).")</f>
        <v>Conceito de passivo não financeiro no âmbito da Lei n.º 8/2012, de 21 de Fevereiro de 2012 (Lei dos Compromissos e Pagamentos em Atraso).</v>
      </c>
      <c r="D53" s="447"/>
      <c r="E53" s="447"/>
      <c r="F53" s="447"/>
      <c r="G53" s="447"/>
      <c r="H53" s="447"/>
      <c r="I53" s="447"/>
      <c r="J53" s="447"/>
      <c r="K53" s="447"/>
      <c r="L53" s="447"/>
      <c r="M53" s="447"/>
      <c r="N53" s="447"/>
      <c r="O53" s="447"/>
      <c r="P53" s="447"/>
      <c r="Q53" s="447"/>
      <c r="R53" s="56"/>
    </row>
    <row r="54" spans="1:18" ht="36.75" customHeight="1">
      <c r="B54" s="74"/>
      <c r="C54" s="435" t="str">
        <f>IF(Indice_index!$Z$1=1,C92,C93)</f>
        <v>AL (*) Dados revistos para a Administração Local desde 2020 com base na informação do SISAL, influenciada pelo processo de transição dos municípios para o novo referencial contabilístico - SNC-AP. Os passivos e pagamentos em atraso abrangem a despesa efetiva das entidades da Administração Local. Para os municípios que não procederam ao reporte é considerado o último reporte submetido. Em face da incorporação dos reportes das entidades faltosas, os dados publicados mensalmente podem sofrer revisões.</v>
      </c>
      <c r="D54" s="435"/>
      <c r="E54" s="435"/>
      <c r="F54" s="435"/>
      <c r="G54" s="435"/>
      <c r="H54" s="435"/>
      <c r="I54" s="435"/>
      <c r="J54" s="435"/>
      <c r="K54" s="435"/>
      <c r="L54" s="435"/>
      <c r="M54" s="435"/>
      <c r="N54" s="435"/>
      <c r="O54" s="435"/>
      <c r="P54" s="435"/>
      <c r="Q54" s="435"/>
      <c r="R54" s="56"/>
    </row>
    <row r="55" spans="1:18" ht="0.75" customHeight="1">
      <c r="A55" s="113"/>
      <c r="B55" s="74"/>
      <c r="C55" s="446"/>
      <c r="D55" s="446"/>
      <c r="E55" s="446"/>
      <c r="F55" s="446"/>
      <c r="G55" s="446"/>
      <c r="H55" s="446"/>
      <c r="I55" s="446"/>
      <c r="J55" s="446"/>
      <c r="K55" s="446"/>
      <c r="L55" s="446"/>
      <c r="M55" s="446"/>
      <c r="N55" s="446"/>
      <c r="O55" s="446"/>
      <c r="P55" s="446"/>
      <c r="Q55" s="446"/>
      <c r="R55" s="166"/>
    </row>
    <row r="56" spans="1:18" ht="24" customHeight="1">
      <c r="A56" s="113"/>
      <c r="B56" s="74"/>
      <c r="C56" s="443" t="str">
        <f>IF(Indice_index!$Z$1=1,C60,C61)</f>
        <v>Fontes: Compilado pela Entidade Orçamental, sobre os dados recolhidos pela Administração Central do Sistema de Saúde, Direção-Geral das Autarquias Locais, Direção-Geral do Tesouro e Finanças, Direção Regional do Orçamento e Tesouro da Região Autónoma da Madeira e Direção Regional do Orçamento e Tesouro da Região Autónoma dos Açores.</v>
      </c>
      <c r="D56" s="443"/>
      <c r="E56" s="443"/>
      <c r="F56" s="443"/>
      <c r="G56" s="443"/>
      <c r="H56" s="443"/>
      <c r="I56" s="443"/>
      <c r="J56" s="443"/>
      <c r="K56" s="443"/>
      <c r="L56" s="443"/>
      <c r="M56" s="443"/>
      <c r="N56" s="443"/>
      <c r="O56" s="443"/>
      <c r="P56" s="443"/>
      <c r="Q56" s="443"/>
      <c r="R56" s="56"/>
    </row>
    <row r="57" spans="1:18" ht="15" hidden="1">
      <c r="B57" s="74"/>
      <c r="D57" s="166"/>
      <c r="E57" s="166"/>
      <c r="F57" s="166"/>
      <c r="G57" s="166"/>
      <c r="H57" s="166"/>
      <c r="I57" s="166"/>
      <c r="J57" s="166"/>
      <c r="K57" s="166"/>
      <c r="L57" s="166"/>
      <c r="M57" s="166"/>
      <c r="N57" s="166"/>
      <c r="O57" s="166"/>
      <c r="P57" s="166"/>
      <c r="Q57" s="166"/>
    </row>
    <row r="58" spans="1:18" ht="15" hidden="1">
      <c r="B58" s="56"/>
      <c r="C58" s="56"/>
      <c r="D58" s="56"/>
      <c r="E58" s="56"/>
      <c r="F58" s="56"/>
      <c r="G58" s="56"/>
      <c r="H58" s="56"/>
      <c r="I58" s="56"/>
      <c r="J58" s="56"/>
      <c r="K58" s="56"/>
      <c r="L58" s="56"/>
      <c r="M58" s="56"/>
      <c r="N58" s="56"/>
      <c r="O58" s="56"/>
      <c r="P58" s="56"/>
      <c r="Q58" s="56"/>
    </row>
    <row r="59" spans="1:18" s="192" customFormat="1" ht="15" hidden="1">
      <c r="A59" s="93"/>
      <c r="B59" s="79"/>
      <c r="C59" s="265"/>
      <c r="D59" s="266"/>
      <c r="E59" s="266"/>
      <c r="F59" s="266"/>
      <c r="G59" s="266"/>
      <c r="H59" s="266"/>
      <c r="I59" s="266"/>
      <c r="J59" s="266"/>
      <c r="K59" s="266"/>
      <c r="L59" s="266"/>
      <c r="M59" s="266"/>
      <c r="N59" s="266"/>
      <c r="O59" s="266"/>
      <c r="P59" s="265"/>
      <c r="Q59" s="265"/>
      <c r="R59" s="267"/>
    </row>
    <row r="60" spans="1:18" s="192" customFormat="1" ht="15" hidden="1">
      <c r="A60" s="93"/>
      <c r="B60" s="79"/>
      <c r="C60" s="95" t="s">
        <v>590</v>
      </c>
      <c r="D60" s="268"/>
      <c r="E60" s="268"/>
      <c r="F60" s="268"/>
      <c r="G60" s="268"/>
      <c r="H60" s="268"/>
      <c r="I60" s="268"/>
      <c r="J60" s="268"/>
      <c r="K60" s="268"/>
      <c r="L60" s="268"/>
      <c r="M60" s="268"/>
      <c r="N60" s="267"/>
      <c r="O60" s="267"/>
      <c r="P60" s="267"/>
      <c r="Q60" s="267"/>
      <c r="R60" s="267"/>
    </row>
    <row r="61" spans="1:18" s="192" customFormat="1" ht="15" customHeight="1">
      <c r="A61" s="93"/>
      <c r="B61" s="79"/>
      <c r="C61" s="95" t="s">
        <v>608</v>
      </c>
      <c r="D61" s="95"/>
      <c r="E61" s="95"/>
      <c r="F61" s="95"/>
      <c r="G61" s="95"/>
      <c r="H61" s="95"/>
      <c r="I61" s="95"/>
      <c r="J61" s="95"/>
      <c r="K61" s="95"/>
      <c r="L61" s="95"/>
      <c r="M61" s="95"/>
      <c r="N61" s="95"/>
      <c r="O61" s="95"/>
      <c r="P61" s="95"/>
      <c r="Q61" s="95"/>
      <c r="R61" s="267"/>
    </row>
    <row r="62" spans="1:18" ht="14.85" customHeight="1"/>
    <row r="63" spans="1:18" ht="14.85" customHeight="1"/>
    <row r="76" ht="14.85" customHeight="1"/>
    <row r="77" ht="14.85" customHeight="1"/>
    <row r="78" ht="14.85" customHeight="1"/>
    <row r="79" ht="14.85" customHeight="1"/>
    <row r="80" ht="14.85" customHeight="1"/>
    <row r="89" spans="3:3" ht="15" hidden="1">
      <c r="C89" s="195" t="s">
        <v>489</v>
      </c>
    </row>
    <row r="90" spans="3:3" ht="14.85" hidden="1" customHeight="1">
      <c r="C90" s="195" t="s">
        <v>490</v>
      </c>
    </row>
    <row r="91" spans="3:3" ht="15" hidden="1">
      <c r="C91" s="194"/>
    </row>
    <row r="92" spans="3:3" ht="15" hidden="1">
      <c r="C92" s="195" t="s">
        <v>523</v>
      </c>
    </row>
    <row r="93" spans="3:3" ht="15" hidden="1">
      <c r="C93" s="195" t="s">
        <v>524</v>
      </c>
    </row>
    <row r="94" spans="3:3" ht="14.85" customHeight="1"/>
    <row r="95" spans="3:3" ht="14.85" customHeight="1"/>
    <row r="96" spans="3:3" ht="14.85" customHeight="1"/>
    <row r="97" ht="14.85" customHeight="1"/>
    <row r="98" ht="14.85" customHeight="1"/>
    <row r="99" ht="14.85" customHeight="1"/>
    <row r="100" ht="14.85" customHeight="1"/>
  </sheetData>
  <mergeCells count="26">
    <mergeCell ref="C56:Q56"/>
    <mergeCell ref="B36:Q36"/>
    <mergeCell ref="B34:Q34"/>
    <mergeCell ref="B37:Q37"/>
    <mergeCell ref="C39:Q39"/>
    <mergeCell ref="Q40:Q41"/>
    <mergeCell ref="C40:C41"/>
    <mergeCell ref="C54:Q54"/>
    <mergeCell ref="C55:Q55"/>
    <mergeCell ref="C53:Q53"/>
    <mergeCell ref="B35:Q35"/>
    <mergeCell ref="D40:H40"/>
    <mergeCell ref="I40:P40"/>
    <mergeCell ref="B33:Q33"/>
    <mergeCell ref="B10:Q10"/>
    <mergeCell ref="B31:C31"/>
    <mergeCell ref="B11:C12"/>
    <mergeCell ref="Q11:Q12"/>
    <mergeCell ref="B13:B17"/>
    <mergeCell ref="B18:C18"/>
    <mergeCell ref="B19:B23"/>
    <mergeCell ref="B24:C24"/>
    <mergeCell ref="B30:C30"/>
    <mergeCell ref="B25:B29"/>
    <mergeCell ref="D11:H11"/>
    <mergeCell ref="I11:P11"/>
  </mergeCells>
  <conditionalFormatting sqref="C25:Q29">
    <cfRule type="cellIs" dxfId="26" priority="8" operator="equal">
      <formula>0</formula>
    </cfRule>
  </conditionalFormatting>
  <conditionalFormatting sqref="D13:Q17">
    <cfRule type="cellIs" dxfId="25" priority="10" operator="equal">
      <formula>0</formula>
    </cfRule>
  </conditionalFormatting>
  <conditionalFormatting sqref="D19:Q23">
    <cfRule type="cellIs" dxfId="24" priority="9" operator="equal">
      <formula>0</formula>
    </cfRule>
  </conditionalFormatting>
  <conditionalFormatting sqref="D42:Q50">
    <cfRule type="cellIs" dxfId="23" priority="3" operator="equal">
      <formula>0</formula>
    </cfRule>
  </conditionalFormatting>
  <pageMargins left="0.70866141732283472" right="0.70866141732283472" top="0.74803149606299213" bottom="0.74803149606299213" header="0.31496062992125984" footer="0.31496062992125984"/>
  <pageSetup paperSize="9" scale="61" orientation="portrait" r:id="rId1"/>
  <ignoredErrors>
    <ignoredError sqref="D42:P42" formulaRange="1"/>
  </ignoredErrors>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P190"/>
  <sheetViews>
    <sheetView showGridLines="0" zoomScaleNormal="100" workbookViewId="0"/>
  </sheetViews>
  <sheetFormatPr defaultColWidth="0" defaultRowHeight="14.85" customHeight="1" zeroHeight="1"/>
  <cols>
    <col min="1" max="1" width="8.5703125" style="93" customWidth="1"/>
    <col min="2" max="2" width="2.5703125" style="63" customWidth="1"/>
    <col min="3" max="3" width="9.5703125" style="63" customWidth="1"/>
    <col min="4" max="15" width="11" style="63" customWidth="1"/>
    <col min="16" max="16" width="8.5703125" style="63" customWidth="1"/>
    <col min="17" max="16384" width="9.42578125" hidden="1"/>
  </cols>
  <sheetData>
    <row r="1" spans="1:16" ht="14.85" customHeight="1"/>
    <row r="2" spans="1:16" ht="15"/>
    <row r="3" spans="1:16" ht="15"/>
    <row r="4" spans="1:16" ht="15"/>
    <row r="5" spans="1:16" ht="18" customHeight="1">
      <c r="A5"/>
      <c r="B5" s="270" t="str">
        <f>IF(Indice_index!$Z$1=1,"ANEXOS ESTATÍSTICOS","STATISTICAL ANNEXES")</f>
        <v>ANEXOS ESTATÍSTICOS</v>
      </c>
      <c r="C5"/>
      <c r="D5"/>
      <c r="E5"/>
      <c r="F5"/>
      <c r="G5"/>
      <c r="H5"/>
      <c r="I5"/>
      <c r="J5"/>
      <c r="K5"/>
      <c r="L5"/>
      <c r="M5"/>
      <c r="N5"/>
      <c r="O5"/>
      <c r="P5"/>
    </row>
    <row r="6" spans="1:16" ht="18" customHeight="1">
      <c r="A6"/>
      <c r="B6" s="271" t="str">
        <f>IF(Indice_index!$Z$1=1,"Agosto de 2025","August 2025")</f>
        <v>Agosto de 2025</v>
      </c>
      <c r="C6"/>
      <c r="D6"/>
      <c r="E6"/>
      <c r="F6"/>
      <c r="G6"/>
      <c r="H6"/>
      <c r="I6"/>
      <c r="J6"/>
      <c r="K6"/>
      <c r="L6"/>
      <c r="M6"/>
      <c r="N6"/>
      <c r="O6"/>
      <c r="P6"/>
    </row>
    <row r="7" spans="1:16" ht="50.1" customHeight="1">
      <c r="A7" s="11"/>
      <c r="B7" s="12"/>
      <c r="C7" s="13"/>
      <c r="D7" s="11"/>
      <c r="E7" s="11"/>
      <c r="F7" s="11"/>
      <c r="G7" s="11"/>
      <c r="H7" s="11"/>
      <c r="I7" s="11"/>
      <c r="J7" s="11"/>
      <c r="K7" s="11"/>
      <c r="L7" s="10"/>
      <c r="M7" s="10"/>
      <c r="N7" s="10"/>
      <c r="O7" s="10"/>
      <c r="P7"/>
    </row>
    <row r="8" spans="1:16" ht="15.75">
      <c r="A8" s="2"/>
      <c r="B8" s="1" t="str">
        <f>IF(Indice_index!$Z$1=1,"Quadro 20 - Indicadores Físicos e Financeiros do Sistema de Proteção Social da Função Pública","20 - Public Servants Social Scheme - Flows")</f>
        <v>Quadro 20 - Indicadores Físicos e Financeiros do Sistema de Proteção Social da Função Pública</v>
      </c>
      <c r="C8" s="2"/>
      <c r="D8" s="2"/>
      <c r="E8" s="2"/>
      <c r="F8" s="2"/>
      <c r="G8" s="2"/>
      <c r="H8" s="2"/>
      <c r="I8" s="2"/>
      <c r="J8" s="2"/>
      <c r="K8" s="2"/>
      <c r="L8" s="2"/>
      <c r="M8" s="2"/>
      <c r="N8" s="2"/>
      <c r="O8" s="2"/>
      <c r="P8" s="2"/>
    </row>
    <row r="9" spans="1:16" ht="15">
      <c r="A9" s="3"/>
      <c r="B9" s="96"/>
      <c r="C9" s="96"/>
      <c r="D9" s="96"/>
      <c r="E9" s="96"/>
      <c r="F9" s="96"/>
      <c r="G9" s="96"/>
      <c r="H9" s="96"/>
      <c r="I9" s="96"/>
      <c r="J9" s="96"/>
      <c r="K9" s="96"/>
      <c r="L9" s="96"/>
      <c r="M9" s="96"/>
      <c r="N9" s="96"/>
      <c r="O9" s="96"/>
      <c r="P9" s="96"/>
    </row>
    <row r="10" spans="1:16" ht="16.350000000000001" customHeight="1">
      <c r="A10" s="79"/>
      <c r="B10" s="410"/>
      <c r="C10" s="436"/>
      <c r="D10" s="369" t="str">
        <f>IF(Indice_index!$Z$1=1,"Pensionistas","Pensioners")</f>
        <v>Pensionistas</v>
      </c>
      <c r="E10" s="370"/>
      <c r="F10" s="370"/>
      <c r="G10" s="370"/>
      <c r="H10" s="371"/>
      <c r="I10" s="175" t="str">
        <f>IF(Indice_index!$Z$1=1,"Subscritores","Subscribers")</f>
        <v>Subscritores</v>
      </c>
      <c r="J10" s="3"/>
      <c r="K10" s="3"/>
      <c r="L10" s="3"/>
      <c r="M10" s="3"/>
      <c r="N10" s="3"/>
      <c r="O10" s="3"/>
      <c r="P10" s="3"/>
    </row>
    <row r="11" spans="1:16" ht="16.350000000000001" customHeight="1">
      <c r="A11" s="79"/>
      <c r="B11" s="373"/>
      <c r="C11" s="374"/>
      <c r="D11" s="453" t="s">
        <v>525</v>
      </c>
      <c r="E11" s="387"/>
      <c r="F11" s="387"/>
      <c r="G11" s="454"/>
      <c r="H11" s="430" t="str">
        <f>IF(Indice_index!$Z$1=1,"Valor médio pago por pensionista (€)","Average Value paid per Pensioner (€)")</f>
        <v>Valor médio pago por pensionista (€)</v>
      </c>
      <c r="I11" s="390" t="str">
        <f>IF(Indice_index!$Z$1=1,"Número","Number")</f>
        <v>Número</v>
      </c>
      <c r="J11" s="3"/>
      <c r="K11" s="3"/>
      <c r="L11" s="3"/>
      <c r="M11" s="3"/>
      <c r="N11" s="3"/>
      <c r="O11" s="3"/>
      <c r="P11" s="3"/>
    </row>
    <row r="12" spans="1:16" ht="36" customHeight="1">
      <c r="A12" s="79"/>
      <c r="B12" s="373"/>
      <c r="C12" s="374"/>
      <c r="D12" s="22" t="str">
        <f>IF(Indice_index!$Z$1=1,"Velhice e Outros Motivos","Old age and other Reasons")</f>
        <v>Velhice e Outros Motivos</v>
      </c>
      <c r="E12" s="22" t="str">
        <f>IF(Indice_index!$Z$1=1,"Invalidez","Disability")</f>
        <v>Invalidez</v>
      </c>
      <c r="F12" s="22" t="str">
        <f>IF(Indice_index!$Z$1=1,"Sobrevivência e Outros","Survival and Others")</f>
        <v>Sobrevivência e Outros</v>
      </c>
      <c r="G12" s="22" t="str">
        <f>IF(Indice_index!$Z$1=1,"Total de Pensionistas","Total of Pensioners")</f>
        <v>Total de Pensionistas</v>
      </c>
      <c r="H12" s="371"/>
      <c r="I12" s="389"/>
      <c r="P12" s="97"/>
    </row>
    <row r="13" spans="1:16" ht="14.1" hidden="1" customHeight="1">
      <c r="A13" s="82"/>
      <c r="B13" s="363">
        <v>2020</v>
      </c>
      <c r="C13" s="363"/>
      <c r="D13" s="179"/>
      <c r="E13" s="196"/>
      <c r="F13" s="196"/>
      <c r="G13" s="196"/>
      <c r="H13" s="196"/>
      <c r="I13" s="196"/>
      <c r="K13" s="98"/>
      <c r="L13" s="98"/>
      <c r="M13" s="98"/>
      <c r="N13" s="98"/>
      <c r="O13" s="98"/>
      <c r="P13" s="98"/>
    </row>
    <row r="14" spans="1:16" ht="14.1" hidden="1" customHeight="1">
      <c r="A14" s="82"/>
      <c r="B14" s="197"/>
      <c r="C14" s="198" t="str">
        <f>IF(Indice_index!$Z$1=1,"janeiro","January")</f>
        <v>janeiro</v>
      </c>
      <c r="D14" s="199">
        <v>410101</v>
      </c>
      <c r="E14" s="199">
        <v>71061</v>
      </c>
      <c r="F14" s="199">
        <v>165420</v>
      </c>
      <c r="G14" s="199">
        <v>646582</v>
      </c>
      <c r="H14" s="199">
        <v>1146.5</v>
      </c>
      <c r="I14" s="199">
        <v>429965</v>
      </c>
      <c r="K14" s="98"/>
      <c r="L14" s="98"/>
      <c r="M14" s="98"/>
      <c r="N14" s="98"/>
      <c r="O14" s="98"/>
      <c r="P14" s="98"/>
    </row>
    <row r="15" spans="1:16" ht="14.1" hidden="1" customHeight="1">
      <c r="A15" s="82"/>
      <c r="B15" s="197"/>
      <c r="C15" s="198" t="str">
        <f>IF(Indice_index!$Z$1=1,"fevereiro","February")</f>
        <v>fevereiro</v>
      </c>
      <c r="D15" s="199">
        <v>410094</v>
      </c>
      <c r="E15" s="199">
        <v>70877</v>
      </c>
      <c r="F15" s="199">
        <v>165251</v>
      </c>
      <c r="G15" s="199">
        <v>646222</v>
      </c>
      <c r="H15" s="199">
        <v>1125.4000000000001</v>
      </c>
      <c r="I15" s="199">
        <v>428711</v>
      </c>
      <c r="K15" s="98"/>
      <c r="L15" s="98"/>
      <c r="M15" s="98"/>
      <c r="N15" s="98"/>
      <c r="O15" s="98"/>
      <c r="P15" s="98"/>
    </row>
    <row r="16" spans="1:16" ht="14.1" hidden="1" customHeight="1">
      <c r="A16" s="82"/>
      <c r="B16" s="197"/>
      <c r="C16" s="198" t="str">
        <f>IF(Indice_index!$Z$1=1,"março","March")</f>
        <v>março</v>
      </c>
      <c r="D16" s="199">
        <v>410087</v>
      </c>
      <c r="E16" s="199">
        <v>70899</v>
      </c>
      <c r="F16" s="199">
        <v>165182</v>
      </c>
      <c r="G16" s="199">
        <v>646168</v>
      </c>
      <c r="H16" s="199">
        <v>1121.3</v>
      </c>
      <c r="I16" s="199">
        <v>427630</v>
      </c>
      <c r="K16" s="98"/>
      <c r="L16" s="98"/>
      <c r="M16" s="98"/>
      <c r="N16" s="98"/>
      <c r="O16" s="98"/>
      <c r="P16" s="98"/>
    </row>
    <row r="17" spans="1:16" ht="14.1" hidden="1" customHeight="1">
      <c r="A17" s="82"/>
      <c r="B17" s="197"/>
      <c r="C17" s="198" t="str">
        <f>IF(Indice_index!$Z$1=1,"abril","April")</f>
        <v>abril</v>
      </c>
      <c r="D17" s="199">
        <v>410375</v>
      </c>
      <c r="E17" s="199">
        <v>70760</v>
      </c>
      <c r="F17" s="199">
        <v>165317</v>
      </c>
      <c r="G17" s="199">
        <v>646452</v>
      </c>
      <c r="H17" s="199">
        <v>1121.3</v>
      </c>
      <c r="I17" s="199">
        <v>426527</v>
      </c>
      <c r="K17" s="98"/>
      <c r="L17" s="98"/>
      <c r="M17" s="98"/>
      <c r="N17" s="98"/>
      <c r="O17" s="98"/>
      <c r="P17" s="98"/>
    </row>
    <row r="18" spans="1:16" ht="14.1" hidden="1" customHeight="1">
      <c r="B18" s="197"/>
      <c r="C18" s="198" t="str">
        <f>IF(Indice_index!$Z$1=1,"maio","May")</f>
        <v>maio</v>
      </c>
      <c r="D18" s="199">
        <v>410802</v>
      </c>
      <c r="E18" s="199">
        <v>70571</v>
      </c>
      <c r="F18" s="199">
        <v>165247</v>
      </c>
      <c r="G18" s="199">
        <v>646620</v>
      </c>
      <c r="H18" s="199">
        <v>1119.5999999999999</v>
      </c>
      <c r="I18" s="199">
        <v>425361</v>
      </c>
      <c r="K18" s="98"/>
      <c r="L18" s="98"/>
      <c r="M18" s="98"/>
      <c r="N18" s="98"/>
      <c r="O18" s="98"/>
    </row>
    <row r="19" spans="1:16" ht="14.1" hidden="1" customHeight="1">
      <c r="B19" s="197"/>
      <c r="C19" s="198" t="str">
        <f>IF(Indice_index!$Z$1=1,"junho","June")</f>
        <v>junho</v>
      </c>
      <c r="D19" s="199">
        <v>411240</v>
      </c>
      <c r="E19" s="199">
        <v>70372</v>
      </c>
      <c r="F19" s="199">
        <v>165253</v>
      </c>
      <c r="G19" s="199">
        <v>646865</v>
      </c>
      <c r="H19" s="199">
        <v>1119.5999999999999</v>
      </c>
      <c r="I19" s="199">
        <v>424164</v>
      </c>
      <c r="K19" s="98"/>
      <c r="L19" s="98"/>
      <c r="M19" s="98"/>
      <c r="N19" s="98"/>
      <c r="O19" s="98"/>
    </row>
    <row r="20" spans="1:16" ht="14.1" hidden="1" customHeight="1">
      <c r="B20" s="197"/>
      <c r="C20" s="198" t="str">
        <f>IF(Indice_index!$Z$1=1,"julho","July")</f>
        <v>julho</v>
      </c>
      <c r="D20" s="199">
        <v>411780</v>
      </c>
      <c r="E20" s="199">
        <v>70237</v>
      </c>
      <c r="F20" s="199">
        <v>165534</v>
      </c>
      <c r="G20" s="199">
        <v>647551</v>
      </c>
      <c r="H20" s="199">
        <v>2184.8000000000002</v>
      </c>
      <c r="I20" s="199">
        <v>422899</v>
      </c>
      <c r="K20" s="98"/>
      <c r="L20" s="98"/>
      <c r="M20" s="98"/>
      <c r="N20" s="98"/>
      <c r="O20" s="98"/>
    </row>
    <row r="21" spans="1:16" ht="14.1" hidden="1" customHeight="1">
      <c r="B21" s="197"/>
      <c r="C21" s="198" t="str">
        <f>IF(Indice_index!$Z$1=1,"agosto","August")</f>
        <v>agosto</v>
      </c>
      <c r="D21" s="199">
        <v>412314</v>
      </c>
      <c r="E21" s="199">
        <v>70041</v>
      </c>
      <c r="F21" s="199">
        <v>165867</v>
      </c>
      <c r="G21" s="199">
        <v>648222</v>
      </c>
      <c r="H21" s="199">
        <v>1124.2</v>
      </c>
      <c r="I21" s="199">
        <v>421587</v>
      </c>
      <c r="K21" s="99"/>
      <c r="L21" s="99"/>
      <c r="M21" s="99"/>
      <c r="N21" s="99"/>
      <c r="O21" s="99"/>
    </row>
    <row r="22" spans="1:16" ht="14.1" hidden="1" customHeight="1">
      <c r="B22" s="197"/>
      <c r="C22" s="198" t="str">
        <f>IF(Indice_index!$Z$1=1,"setembro","September")</f>
        <v>setembro</v>
      </c>
      <c r="D22" s="199">
        <v>412631</v>
      </c>
      <c r="E22" s="199">
        <v>69806</v>
      </c>
      <c r="F22" s="199">
        <v>165824</v>
      </c>
      <c r="G22" s="199">
        <v>648261</v>
      </c>
      <c r="H22" s="199">
        <v>1124.9000000000001</v>
      </c>
      <c r="I22" s="199">
        <v>419894</v>
      </c>
      <c r="K22" s="99"/>
      <c r="L22" s="99"/>
      <c r="M22" s="99"/>
      <c r="N22" s="99"/>
      <c r="O22" s="99"/>
    </row>
    <row r="23" spans="1:16" ht="14.1" hidden="1" customHeight="1">
      <c r="B23" s="197"/>
      <c r="C23" s="198" t="str">
        <f>IF(Indice_index!$Z$1=1,"outubro","October")</f>
        <v>outubro</v>
      </c>
      <c r="D23" s="199">
        <v>412895</v>
      </c>
      <c r="E23" s="199">
        <v>69624</v>
      </c>
      <c r="F23" s="199">
        <v>165869</v>
      </c>
      <c r="G23" s="199">
        <v>648388</v>
      </c>
      <c r="H23" s="199">
        <v>1119.8</v>
      </c>
      <c r="I23" s="199">
        <v>418736</v>
      </c>
      <c r="K23" s="99"/>
      <c r="L23" s="99"/>
      <c r="M23" s="99"/>
      <c r="N23" s="99"/>
      <c r="O23" s="99"/>
    </row>
    <row r="24" spans="1:16" ht="14.1" hidden="1" customHeight="1">
      <c r="B24" s="197"/>
      <c r="C24" s="198" t="str">
        <f>IF(Indice_index!$Z$1=1,"novembro","November")</f>
        <v>novembro</v>
      </c>
      <c r="D24" s="199">
        <v>413065</v>
      </c>
      <c r="E24" s="199">
        <v>69489</v>
      </c>
      <c r="F24" s="199">
        <v>166049</v>
      </c>
      <c r="G24" s="199">
        <v>648603</v>
      </c>
      <c r="H24" s="199">
        <v>2220.1999999999998</v>
      </c>
      <c r="I24" s="199">
        <v>418012</v>
      </c>
      <c r="K24" s="99"/>
      <c r="L24" s="99"/>
      <c r="M24" s="99"/>
      <c r="N24" s="99"/>
      <c r="O24" s="99"/>
    </row>
    <row r="25" spans="1:16" ht="14.1" hidden="1" customHeight="1">
      <c r="B25" s="200"/>
      <c r="C25" s="198" t="str">
        <f>IF(Indice_index!$Z$1=1,"dezembro","December")</f>
        <v>dezembro</v>
      </c>
      <c r="D25" s="199">
        <v>413108</v>
      </c>
      <c r="E25" s="199">
        <v>69321</v>
      </c>
      <c r="F25" s="199">
        <v>166218</v>
      </c>
      <c r="G25" s="199">
        <v>648647</v>
      </c>
      <c r="H25" s="199">
        <v>1140.3</v>
      </c>
      <c r="I25" s="199">
        <v>416874</v>
      </c>
      <c r="K25" s="99"/>
      <c r="L25" s="99"/>
      <c r="M25" s="99"/>
      <c r="N25" s="99"/>
      <c r="O25" s="99"/>
    </row>
    <row r="26" spans="1:16" ht="14.1" customHeight="1">
      <c r="B26" s="363" t="s">
        <v>14</v>
      </c>
      <c r="C26" s="363"/>
      <c r="D26" s="199"/>
      <c r="E26" s="199"/>
      <c r="F26" s="199"/>
      <c r="G26" s="199"/>
      <c r="H26" s="199"/>
      <c r="I26" s="199"/>
      <c r="K26" s="98"/>
      <c r="L26" s="98"/>
      <c r="M26" s="98"/>
      <c r="N26" s="98"/>
      <c r="O26" s="98"/>
    </row>
    <row r="27" spans="1:16" ht="14.1" customHeight="1">
      <c r="B27" s="200"/>
      <c r="C27" s="198" t="str">
        <f>IF(Indice_index!$Z$1=1,"dezembro","December")</f>
        <v>dezembro</v>
      </c>
      <c r="D27" s="199">
        <v>414572</v>
      </c>
      <c r="E27" s="199">
        <v>67370</v>
      </c>
      <c r="F27" s="199">
        <v>165541</v>
      </c>
      <c r="G27" s="199">
        <v>647483</v>
      </c>
      <c r="H27" s="199">
        <v>1151.7</v>
      </c>
      <c r="I27" s="199">
        <v>402099</v>
      </c>
      <c r="K27" s="99"/>
      <c r="L27" s="99"/>
      <c r="M27" s="99"/>
      <c r="N27" s="99"/>
      <c r="O27" s="99"/>
    </row>
    <row r="28" spans="1:16" ht="14.1" customHeight="1">
      <c r="B28" s="363" t="s">
        <v>15</v>
      </c>
      <c r="C28" s="363"/>
      <c r="D28" s="199"/>
      <c r="E28" s="199"/>
      <c r="F28" s="199"/>
      <c r="G28" s="199"/>
      <c r="H28" s="199"/>
      <c r="I28" s="199"/>
      <c r="K28" s="98"/>
      <c r="L28" s="98"/>
      <c r="M28" s="98"/>
      <c r="N28" s="98"/>
      <c r="O28" s="98"/>
    </row>
    <row r="29" spans="1:16" ht="14.1" customHeight="1">
      <c r="B29" s="200"/>
      <c r="C29" s="198" t="str">
        <f>IF(Indice_index!$Z$1=1,"dezembro","December")</f>
        <v>dezembro</v>
      </c>
      <c r="D29" s="199">
        <v>417828</v>
      </c>
      <c r="E29" s="199">
        <v>65110</v>
      </c>
      <c r="F29" s="199">
        <v>165419</v>
      </c>
      <c r="G29" s="199">
        <v>648357</v>
      </c>
      <c r="H29" s="199">
        <v>1174.5</v>
      </c>
      <c r="I29" s="199">
        <v>386216</v>
      </c>
      <c r="K29" s="99"/>
      <c r="L29" s="99"/>
      <c r="M29" s="99"/>
      <c r="N29" s="99"/>
      <c r="O29" s="99"/>
    </row>
    <row r="30" spans="1:16" ht="14.1" customHeight="1">
      <c r="B30" s="363">
        <v>2023</v>
      </c>
      <c r="C30" s="363"/>
      <c r="D30" s="199"/>
      <c r="E30" s="199"/>
      <c r="F30" s="199"/>
      <c r="G30" s="199"/>
      <c r="H30" s="199"/>
      <c r="I30" s="199"/>
      <c r="K30" s="98"/>
      <c r="L30" s="98"/>
      <c r="M30" s="98"/>
      <c r="N30" s="98"/>
      <c r="O30" s="98"/>
    </row>
    <row r="31" spans="1:16" ht="14.1" customHeight="1">
      <c r="B31" s="200"/>
      <c r="C31" s="198" t="str">
        <f>IF(Indice_index!$Z$1=1,"dezembro","December")</f>
        <v>dezembro</v>
      </c>
      <c r="D31" s="199">
        <v>424533</v>
      </c>
      <c r="E31" s="199">
        <v>63043</v>
      </c>
      <c r="F31" s="199">
        <v>166756</v>
      </c>
      <c r="G31" s="199">
        <v>654332</v>
      </c>
      <c r="H31" s="199">
        <v>1276.7</v>
      </c>
      <c r="I31" s="199">
        <v>380060</v>
      </c>
      <c r="K31" s="178"/>
      <c r="L31" s="99"/>
      <c r="M31" s="99"/>
      <c r="N31" s="99"/>
      <c r="O31" s="99"/>
    </row>
    <row r="32" spans="1:16" ht="14.1" customHeight="1">
      <c r="B32" s="363">
        <v>2024</v>
      </c>
      <c r="C32" s="363"/>
      <c r="D32" s="199"/>
      <c r="E32" s="199"/>
      <c r="F32" s="199"/>
      <c r="G32" s="199"/>
      <c r="H32" s="199"/>
      <c r="I32" s="199"/>
      <c r="K32" s="98"/>
      <c r="L32" s="98"/>
      <c r="M32" s="98"/>
      <c r="N32" s="98"/>
      <c r="O32" s="98"/>
    </row>
    <row r="33" spans="2:15" ht="14.1" customHeight="1">
      <c r="B33" s="302"/>
      <c r="C33" s="198" t="str">
        <f>IF(Indice_index!$Z$1=1,"janeiro","January")</f>
        <v>janeiro</v>
      </c>
      <c r="D33" s="199">
        <v>425527</v>
      </c>
      <c r="E33" s="199">
        <v>62904</v>
      </c>
      <c r="F33" s="199">
        <v>166894</v>
      </c>
      <c r="G33" s="199">
        <v>655325</v>
      </c>
      <c r="H33" s="199">
        <v>1366.1</v>
      </c>
      <c r="I33" s="199">
        <v>376348</v>
      </c>
      <c r="K33" s="98"/>
      <c r="L33" s="98"/>
      <c r="M33" s="98"/>
      <c r="N33" s="98"/>
      <c r="O33" s="98"/>
    </row>
    <row r="34" spans="2:15" ht="13.5" customHeight="1">
      <c r="B34" s="302"/>
      <c r="C34" s="198" t="str">
        <f>IF(Indice_index!$Z$1=1,"fevereiro","February")</f>
        <v>fevereiro</v>
      </c>
      <c r="D34" s="199">
        <v>425594</v>
      </c>
      <c r="E34" s="199">
        <v>62765</v>
      </c>
      <c r="F34" s="199">
        <v>166688</v>
      </c>
      <c r="G34" s="199">
        <v>655047</v>
      </c>
      <c r="H34" s="199">
        <v>1327.6</v>
      </c>
      <c r="I34" s="199">
        <v>376801</v>
      </c>
      <c r="K34" s="98"/>
      <c r="L34" s="98"/>
      <c r="M34" s="98"/>
      <c r="N34" s="98"/>
      <c r="O34" s="98"/>
    </row>
    <row r="35" spans="2:15" ht="13.5" customHeight="1">
      <c r="B35" s="302"/>
      <c r="C35" s="198" t="str">
        <f>IF(Indice_index!$Z$1=1,"março","March")</f>
        <v>março</v>
      </c>
      <c r="D35" s="199">
        <v>425651</v>
      </c>
      <c r="E35" s="199">
        <v>62478</v>
      </c>
      <c r="F35" s="199">
        <v>166532</v>
      </c>
      <c r="G35" s="199">
        <v>654661</v>
      </c>
      <c r="H35" s="199">
        <v>1329.4</v>
      </c>
      <c r="I35" s="199">
        <v>375998</v>
      </c>
      <c r="K35" s="98"/>
      <c r="L35" s="98"/>
      <c r="M35" s="98"/>
      <c r="N35" s="98"/>
      <c r="O35" s="98"/>
    </row>
    <row r="36" spans="2:15" ht="13.5" customHeight="1">
      <c r="B36" s="302"/>
      <c r="C36" s="198" t="str">
        <f>IF(Indice_index!$Z$1=1,"abril","April")</f>
        <v>abril</v>
      </c>
      <c r="D36" s="199">
        <v>426063</v>
      </c>
      <c r="E36" s="199">
        <v>62340</v>
      </c>
      <c r="F36" s="199">
        <v>166914</v>
      </c>
      <c r="G36" s="199">
        <v>655317</v>
      </c>
      <c r="H36" s="199">
        <v>1340.4</v>
      </c>
      <c r="I36" s="199">
        <v>373975</v>
      </c>
      <c r="K36" s="98"/>
      <c r="L36" s="98"/>
      <c r="M36" s="98"/>
      <c r="N36" s="98"/>
      <c r="O36" s="98"/>
    </row>
    <row r="37" spans="2:15" ht="13.5" customHeight="1">
      <c r="B37" s="302"/>
      <c r="C37" s="198" t="str">
        <f>IF(Indice_index!$Z$1=1,"maio","May")</f>
        <v>maio</v>
      </c>
      <c r="D37" s="199">
        <v>426527</v>
      </c>
      <c r="E37" s="199">
        <v>62189</v>
      </c>
      <c r="F37" s="199">
        <v>167046</v>
      </c>
      <c r="G37" s="199">
        <v>655762</v>
      </c>
      <c r="H37" s="199">
        <v>1332.7</v>
      </c>
      <c r="I37" s="199">
        <v>369242</v>
      </c>
      <c r="K37" s="98"/>
      <c r="L37" s="98"/>
      <c r="M37" s="98"/>
      <c r="N37" s="98"/>
      <c r="O37" s="98"/>
    </row>
    <row r="38" spans="2:15" ht="13.5" customHeight="1">
      <c r="B38" s="302"/>
      <c r="C38" s="198" t="str">
        <f>IF(Indice_index!$Z$1=1,"junho","June")</f>
        <v>junho</v>
      </c>
      <c r="D38" s="199">
        <v>426869</v>
      </c>
      <c r="E38" s="199">
        <v>61979</v>
      </c>
      <c r="F38" s="199">
        <v>167155</v>
      </c>
      <c r="G38" s="199">
        <v>656003</v>
      </c>
      <c r="H38" s="199">
        <v>1331.4</v>
      </c>
      <c r="I38" s="199">
        <v>371587</v>
      </c>
      <c r="K38" s="98"/>
      <c r="L38" s="98"/>
      <c r="M38" s="98"/>
      <c r="N38" s="98"/>
      <c r="O38" s="98"/>
    </row>
    <row r="39" spans="2:15" ht="13.5" customHeight="1">
      <c r="B39" s="302"/>
      <c r="C39" s="198" t="str">
        <f>IF(Indice_index!$Z$1=1,"julho","July")</f>
        <v>julho</v>
      </c>
      <c r="D39" s="199">
        <v>427640</v>
      </c>
      <c r="E39" s="199">
        <v>61796</v>
      </c>
      <c r="F39" s="199">
        <v>167186</v>
      </c>
      <c r="G39" s="199">
        <v>656622</v>
      </c>
      <c r="H39" s="199">
        <v>2597.9</v>
      </c>
      <c r="I39" s="199">
        <v>369872</v>
      </c>
      <c r="K39" s="98"/>
      <c r="L39" s="98"/>
      <c r="M39" s="98"/>
      <c r="N39" s="98"/>
      <c r="O39" s="98"/>
    </row>
    <row r="40" spans="2:15" ht="13.5" customHeight="1">
      <c r="B40" s="302"/>
      <c r="C40" s="198" t="str">
        <f>IF(Indice_index!$Z$1=1,"agosto","August")</f>
        <v>agosto</v>
      </c>
      <c r="D40" s="199">
        <v>428479</v>
      </c>
      <c r="E40" s="199">
        <v>61656</v>
      </c>
      <c r="F40" s="199">
        <v>167573</v>
      </c>
      <c r="G40" s="199">
        <v>657708</v>
      </c>
      <c r="H40" s="199">
        <v>1336.2</v>
      </c>
      <c r="I40" s="199">
        <v>367681</v>
      </c>
      <c r="K40" s="98"/>
      <c r="L40" s="98"/>
      <c r="M40" s="98"/>
      <c r="N40" s="98"/>
      <c r="O40" s="98"/>
    </row>
    <row r="41" spans="2:15" ht="13.5" customHeight="1">
      <c r="B41" s="302"/>
      <c r="C41" s="198" t="str">
        <f>IF(Indice_index!$Z$1=1,"setembro","September")</f>
        <v>setembro</v>
      </c>
      <c r="D41" s="199">
        <v>429664</v>
      </c>
      <c r="E41" s="199">
        <v>61512</v>
      </c>
      <c r="F41" s="199">
        <v>167610</v>
      </c>
      <c r="G41" s="199">
        <v>658786</v>
      </c>
      <c r="H41" s="199">
        <v>1333.6</v>
      </c>
      <c r="I41" s="199">
        <v>365674</v>
      </c>
      <c r="K41" s="98"/>
      <c r="L41" s="98"/>
      <c r="M41" s="98"/>
      <c r="N41" s="98"/>
      <c r="O41" s="98"/>
    </row>
    <row r="42" spans="2:15" ht="13.5" customHeight="1">
      <c r="B42" s="302"/>
      <c r="C42" s="198" t="str">
        <f>IF(Indice_index!$Z$1=1,"outubro","October")</f>
        <v>outubro</v>
      </c>
      <c r="D42" s="199">
        <v>430685</v>
      </c>
      <c r="E42" s="199">
        <v>61348</v>
      </c>
      <c r="F42" s="199">
        <v>167704</v>
      </c>
      <c r="G42" s="199">
        <v>659737</v>
      </c>
      <c r="H42" s="199">
        <v>1339.6</v>
      </c>
      <c r="I42" s="199">
        <v>363152</v>
      </c>
      <c r="K42" s="98"/>
      <c r="L42" s="98"/>
      <c r="M42" s="98"/>
      <c r="N42" s="98"/>
      <c r="O42" s="98"/>
    </row>
    <row r="43" spans="2:15" ht="13.5" customHeight="1">
      <c r="B43" s="302"/>
      <c r="C43" s="198" t="str">
        <f>IF(Indice_index!$Z$1=1,"novembro","November")</f>
        <v>novembro</v>
      </c>
      <c r="D43" s="199">
        <v>431791</v>
      </c>
      <c r="E43" s="199">
        <v>61197</v>
      </c>
      <c r="F43" s="199">
        <v>167994</v>
      </c>
      <c r="G43" s="199">
        <v>660982</v>
      </c>
      <c r="H43" s="199">
        <v>2644.6</v>
      </c>
      <c r="I43" s="199">
        <v>361719</v>
      </c>
      <c r="K43" s="98"/>
      <c r="L43" s="98"/>
      <c r="M43" s="98"/>
      <c r="N43" s="98"/>
      <c r="O43" s="98"/>
    </row>
    <row r="44" spans="2:15" ht="13.5" customHeight="1">
      <c r="B44" s="302"/>
      <c r="C44" s="198" t="str">
        <f>IF(Indice_index!$Z$1=1,"dezembro","December")</f>
        <v>dezembro</v>
      </c>
      <c r="D44" s="199">
        <v>433284</v>
      </c>
      <c r="E44" s="199">
        <v>61070</v>
      </c>
      <c r="F44" s="199">
        <v>168313</v>
      </c>
      <c r="G44" s="199">
        <v>662667</v>
      </c>
      <c r="H44" s="199">
        <v>1380</v>
      </c>
      <c r="I44" s="199">
        <v>359795</v>
      </c>
      <c r="K44" s="98"/>
      <c r="L44" s="98"/>
      <c r="M44" s="98"/>
      <c r="N44" s="98"/>
      <c r="O44" s="98"/>
    </row>
    <row r="45" spans="2:15" ht="14.1" customHeight="1">
      <c r="B45" s="363">
        <v>2025</v>
      </c>
      <c r="C45" s="363"/>
      <c r="D45" s="199"/>
      <c r="E45" s="199"/>
      <c r="F45" s="199"/>
      <c r="G45" s="199"/>
      <c r="H45" s="199"/>
      <c r="I45" s="199"/>
      <c r="K45" s="98"/>
      <c r="L45" s="98"/>
      <c r="M45" s="98"/>
      <c r="N45" s="98"/>
      <c r="O45" s="98"/>
    </row>
    <row r="46" spans="2:15" ht="14.1" customHeight="1">
      <c r="B46" s="278"/>
      <c r="C46" s="198" t="str">
        <f>IF(Indice_index!$Z$1=1,"janeiro","January")</f>
        <v>janeiro</v>
      </c>
      <c r="D46" s="199">
        <v>434207</v>
      </c>
      <c r="E46" s="199">
        <v>60914</v>
      </c>
      <c r="F46" s="199">
        <v>168511</v>
      </c>
      <c r="G46" s="199">
        <v>663632</v>
      </c>
      <c r="H46" s="199">
        <v>1412.1</v>
      </c>
      <c r="I46" s="199">
        <v>357805</v>
      </c>
      <c r="K46" s="98"/>
      <c r="L46" s="98"/>
      <c r="M46" s="98"/>
      <c r="N46" s="98"/>
      <c r="O46" s="98"/>
    </row>
    <row r="47" spans="2:15" ht="14.1" customHeight="1">
      <c r="B47" s="278"/>
      <c r="C47" s="198" t="str">
        <f>IF(Indice_index!$Z$1=1,"fevereiro","February")</f>
        <v>fevereiro</v>
      </c>
      <c r="D47" s="199">
        <v>434831</v>
      </c>
      <c r="E47" s="199">
        <v>60659</v>
      </c>
      <c r="F47" s="199">
        <v>168499</v>
      </c>
      <c r="G47" s="199">
        <v>663989</v>
      </c>
      <c r="H47" s="199">
        <v>1377.6</v>
      </c>
      <c r="I47" s="199">
        <v>357420</v>
      </c>
      <c r="K47" s="98"/>
      <c r="L47" s="98"/>
      <c r="M47" s="98"/>
      <c r="N47" s="98"/>
      <c r="O47" s="98"/>
    </row>
    <row r="48" spans="2:15" ht="14.1" customHeight="1">
      <c r="B48" s="278"/>
      <c r="C48" s="198" t="str">
        <f>IF(Indice_index!$Z$1=1,"março","March")</f>
        <v>março</v>
      </c>
      <c r="D48" s="199">
        <v>435540</v>
      </c>
      <c r="E48" s="199">
        <v>60431</v>
      </c>
      <c r="F48" s="199">
        <v>168424</v>
      </c>
      <c r="G48" s="199">
        <v>664395</v>
      </c>
      <c r="H48" s="199">
        <v>1384.5</v>
      </c>
      <c r="I48" s="199">
        <v>356945</v>
      </c>
      <c r="K48" s="98"/>
      <c r="L48" s="98"/>
      <c r="M48" s="98"/>
      <c r="N48" s="98"/>
      <c r="O48" s="98"/>
    </row>
    <row r="49" spans="2:15" ht="14.1" customHeight="1">
      <c r="B49" s="278"/>
      <c r="C49" s="198" t="str">
        <f>IF(Indice_index!$Z$1=1,"abril","April")</f>
        <v>abril</v>
      </c>
      <c r="D49" s="199">
        <v>436296</v>
      </c>
      <c r="E49" s="199">
        <v>60223</v>
      </c>
      <c r="F49" s="199">
        <v>168585</v>
      </c>
      <c r="G49" s="199">
        <v>665104</v>
      </c>
      <c r="H49" s="199">
        <v>1388.7</v>
      </c>
      <c r="I49" s="199">
        <v>359764</v>
      </c>
      <c r="K49" s="98"/>
      <c r="L49" s="98"/>
      <c r="M49" s="98"/>
      <c r="N49" s="98"/>
      <c r="O49" s="98"/>
    </row>
    <row r="50" spans="2:15" ht="14.1" customHeight="1">
      <c r="B50" s="200"/>
      <c r="C50" s="198" t="str">
        <f>IF(Indice_index!$Z$1=1,"maio","May")</f>
        <v>maio</v>
      </c>
      <c r="D50" s="199">
        <v>436771</v>
      </c>
      <c r="E50" s="199">
        <v>60017</v>
      </c>
      <c r="F50" s="199">
        <v>168294</v>
      </c>
      <c r="G50" s="199">
        <v>665082</v>
      </c>
      <c r="H50" s="199">
        <v>1385</v>
      </c>
      <c r="I50" s="199">
        <v>359533</v>
      </c>
      <c r="K50" s="178"/>
      <c r="L50" s="99"/>
      <c r="M50" s="99"/>
      <c r="N50" s="99"/>
      <c r="O50" s="99"/>
    </row>
    <row r="51" spans="2:15" ht="14.1" customHeight="1">
      <c r="B51" s="200"/>
      <c r="C51" s="198" t="s">
        <v>623</v>
      </c>
      <c r="D51" s="199">
        <v>437156</v>
      </c>
      <c r="E51" s="199">
        <v>59825</v>
      </c>
      <c r="F51" s="199">
        <v>168412</v>
      </c>
      <c r="G51" s="199">
        <v>665393</v>
      </c>
      <c r="H51" s="199">
        <v>1384.2</v>
      </c>
      <c r="I51" s="199">
        <v>358826</v>
      </c>
      <c r="K51" s="178"/>
      <c r="L51" s="99"/>
      <c r="M51" s="99"/>
      <c r="N51" s="99"/>
      <c r="O51" s="99"/>
    </row>
    <row r="52" spans="2:15" ht="14.1" customHeight="1">
      <c r="B52" s="200"/>
      <c r="C52" s="198" t="s">
        <v>628</v>
      </c>
      <c r="D52" s="199">
        <v>437537</v>
      </c>
      <c r="E52" s="199">
        <v>59682</v>
      </c>
      <c r="F52" s="199">
        <v>168561</v>
      </c>
      <c r="G52" s="199">
        <v>665780</v>
      </c>
      <c r="H52" s="199">
        <v>2701.6</v>
      </c>
      <c r="I52" s="199">
        <v>357657</v>
      </c>
      <c r="K52" s="178"/>
      <c r="L52" s="99"/>
      <c r="M52" s="99"/>
      <c r="N52" s="99"/>
      <c r="O52" s="99"/>
    </row>
    <row r="53" spans="2:15" ht="14.1" customHeight="1">
      <c r="B53" s="200"/>
      <c r="C53" s="198" t="s">
        <v>635</v>
      </c>
      <c r="D53" s="199">
        <v>437917</v>
      </c>
      <c r="E53" s="199">
        <v>59528</v>
      </c>
      <c r="F53" s="199">
        <v>168773</v>
      </c>
      <c r="G53" s="199">
        <v>666218</v>
      </c>
      <c r="H53" s="199">
        <v>1388.9</v>
      </c>
      <c r="I53" s="199">
        <v>356200</v>
      </c>
      <c r="K53" s="178"/>
      <c r="L53" s="99"/>
      <c r="M53" s="99"/>
      <c r="N53" s="99"/>
      <c r="O53" s="99"/>
    </row>
    <row r="54" spans="2:15" ht="3.75" customHeight="1">
      <c r="B54" s="303"/>
      <c r="C54" s="304"/>
      <c r="D54" s="305"/>
      <c r="E54" s="305"/>
      <c r="F54" s="305"/>
      <c r="G54" s="305"/>
      <c r="H54" s="305"/>
      <c r="I54" s="305"/>
      <c r="K54" s="98"/>
      <c r="L54" s="98"/>
      <c r="M54" s="98"/>
      <c r="N54" s="98"/>
      <c r="O54" s="98"/>
    </row>
    <row r="55" spans="2:15" ht="14.1" customHeight="1">
      <c r="B55" s="9"/>
      <c r="C55" s="9"/>
      <c r="D55" s="9"/>
      <c r="E55" s="9"/>
      <c r="F55" s="9"/>
      <c r="G55" s="9"/>
      <c r="H55" s="9"/>
      <c r="I55" s="9"/>
      <c r="K55" s="178"/>
      <c r="L55" s="99"/>
      <c r="M55" s="99"/>
      <c r="N55" s="99"/>
      <c r="O55" s="99"/>
    </row>
    <row r="56" spans="2:15" ht="16.350000000000001" customHeight="1">
      <c r="B56" s="373"/>
      <c r="C56" s="431"/>
      <c r="D56" s="369" t="str">
        <f>IF(Indice_index!$Z$1=1,"Pensionistas","Pensioners")</f>
        <v>Pensionistas</v>
      </c>
      <c r="E56" s="370"/>
      <c r="F56" s="370"/>
      <c r="G56" s="370"/>
      <c r="H56" s="371"/>
      <c r="I56" s="175" t="str">
        <f>IF(Indice_index!$Z$1=1,"Subscritores","Subscribers")</f>
        <v>Subscritores</v>
      </c>
      <c r="K56" s="177"/>
    </row>
    <row r="57" spans="2:15" ht="16.350000000000001" customHeight="1">
      <c r="B57" s="373"/>
      <c r="C57" s="431"/>
      <c r="D57" s="356" t="str">
        <f>IF(Indice_index!$Z$1=1,"VH do número de pensionistas (%)","YOY Change Rate of the number of subscribers (%)")</f>
        <v>VH do número de pensionistas (%)</v>
      </c>
      <c r="E57" s="356"/>
      <c r="F57" s="356"/>
      <c r="G57" s="356"/>
      <c r="H57" s="356" t="str">
        <f>IF(Indice_index!$Z$1=1,"VHA Valor médio pago por pensionista","YOY Change Rate of the Average Value paid per Pensioner")</f>
        <v>VHA Valor médio pago por pensionista</v>
      </c>
      <c r="I57" s="391" t="str">
        <f>IF(Indice_index!$Z$1=1,"VHA do Número de subscritores (%)","YOY Change Rate of the Number of Subscribers (%)")</f>
        <v>VHA do Número de subscritores (%)</v>
      </c>
      <c r="K57" s="177"/>
    </row>
    <row r="58" spans="2:15" ht="36" customHeight="1">
      <c r="B58" s="373"/>
      <c r="C58" s="431"/>
      <c r="D58" s="22" t="str">
        <f>IF(Indice_index!$Z$1=1,"Velhice e Outros Motivos","Old age and other Reasons")</f>
        <v>Velhice e Outros Motivos</v>
      </c>
      <c r="E58" s="22" t="str">
        <f>IF(Indice_index!$Z$1=1,"Invalidez","Disability")</f>
        <v>Invalidez</v>
      </c>
      <c r="F58" s="22" t="str">
        <f>IF(Indice_index!$Z$1=1,"Sobrevivência e Outros","Survival and Others")</f>
        <v>Sobrevivência e Outros</v>
      </c>
      <c r="G58" s="22" t="str">
        <f>IF(Indice_index!$Z$1=1,"Total de Pensionistas","Total of Pensioners")</f>
        <v>Total de Pensionistas</v>
      </c>
      <c r="H58" s="390"/>
      <c r="I58" s="410"/>
      <c r="K58" s="177"/>
    </row>
    <row r="59" spans="2:15" ht="14.1" hidden="1" customHeight="1">
      <c r="B59" s="363">
        <v>2020</v>
      </c>
      <c r="C59" s="363"/>
      <c r="D59" s="179"/>
      <c r="E59" s="196"/>
      <c r="F59" s="196"/>
      <c r="G59" s="196"/>
      <c r="I59" s="196"/>
      <c r="K59" s="177"/>
      <c r="L59" s="98"/>
      <c r="M59" s="98"/>
      <c r="N59" s="98"/>
      <c r="O59" s="98"/>
    </row>
    <row r="60" spans="2:15" ht="14.1" hidden="1" customHeight="1">
      <c r="B60" s="201"/>
      <c r="C60" s="198" t="str">
        <f>IF(Indice_index!$Z$1=1,"janeiro","January")</f>
        <v>janeiro</v>
      </c>
      <c r="D60" s="4">
        <v>0.64890282901017782</v>
      </c>
      <c r="E60" s="4">
        <v>-0.79712977440250177</v>
      </c>
      <c r="F60" s="4">
        <v>1.2976038113667399</v>
      </c>
      <c r="G60" s="4">
        <v>0.65256308473045976</v>
      </c>
      <c r="H60" s="4">
        <v>0.13975019652370591</v>
      </c>
      <c r="I60" s="4">
        <v>-2.830792038708132</v>
      </c>
      <c r="K60" s="177"/>
      <c r="L60" s="99"/>
      <c r="M60" s="99"/>
      <c r="N60" s="99"/>
      <c r="O60" s="99"/>
    </row>
    <row r="61" spans="2:15" ht="14.1" hidden="1" customHeight="1">
      <c r="B61" s="201"/>
      <c r="C61" s="198" t="str">
        <f>IF(Indice_index!$Z$1=1,"fevereiro","February")</f>
        <v>fevereiro</v>
      </c>
      <c r="D61" s="4">
        <v>0.71713812768005814</v>
      </c>
      <c r="E61" s="4">
        <v>-0.90320596171860801</v>
      </c>
      <c r="F61" s="4">
        <v>1.0851679441144626</v>
      </c>
      <c r="G61" s="4">
        <v>0.63035875012068388</v>
      </c>
      <c r="H61" s="4">
        <v>0.47317203821089027</v>
      </c>
      <c r="I61" s="4">
        <v>-2.9193642253336143</v>
      </c>
      <c r="K61" s="177"/>
      <c r="L61" s="99"/>
      <c r="M61" s="99"/>
      <c r="N61" s="99"/>
      <c r="O61" s="99"/>
    </row>
    <row r="62" spans="2:15" ht="14.1" hidden="1" customHeight="1">
      <c r="B62" s="201"/>
      <c r="C62" s="198" t="str">
        <f>IF(Indice_index!$Z$1=1,"março","March")</f>
        <v>março</v>
      </c>
      <c r="D62" s="4">
        <v>0.89035299211746077</v>
      </c>
      <c r="E62" s="4">
        <v>-0.82113980359790717</v>
      </c>
      <c r="F62" s="4">
        <v>1.0608878664774117</v>
      </c>
      <c r="G62" s="4">
        <v>0.74305973476852272</v>
      </c>
      <c r="H62" s="4">
        <v>1.1182252682838725</v>
      </c>
      <c r="I62" s="4">
        <v>-2.9439334000603719</v>
      </c>
      <c r="K62" s="178"/>
      <c r="L62" s="99"/>
      <c r="M62" s="99"/>
      <c r="N62" s="99"/>
      <c r="O62" s="99"/>
    </row>
    <row r="63" spans="2:15" ht="14.1" hidden="1" customHeight="1">
      <c r="B63" s="201"/>
      <c r="C63" s="198" t="str">
        <f>IF(Indice_index!$Z$1=1,"abril","April")</f>
        <v>abril</v>
      </c>
      <c r="D63" s="4">
        <v>0.93985054875859053</v>
      </c>
      <c r="E63" s="4">
        <v>-1.0999762393950829</v>
      </c>
      <c r="F63" s="4">
        <v>1.1725754432347415</v>
      </c>
      <c r="G63" s="4">
        <v>0.77162658884929436</v>
      </c>
      <c r="H63" s="4">
        <v>0.49291987811435745</v>
      </c>
      <c r="I63" s="4">
        <v>-2.9996565973114526</v>
      </c>
      <c r="K63" s="177"/>
      <c r="L63" s="99"/>
      <c r="M63" s="99"/>
      <c r="N63" s="99"/>
      <c r="O63" s="99"/>
    </row>
    <row r="64" spans="2:15" ht="14.1" hidden="1" customHeight="1">
      <c r="B64" s="201"/>
      <c r="C64" s="198" t="str">
        <f>IF(Indice_index!$Z$1=1,"maio","May")</f>
        <v>maio</v>
      </c>
      <c r="D64" s="4">
        <v>0.9733508339846918</v>
      </c>
      <c r="E64" s="4">
        <v>-1.362759623179493</v>
      </c>
      <c r="F64" s="4">
        <v>1.1885662498622218</v>
      </c>
      <c r="G64" s="4">
        <v>0.76765561155317019</v>
      </c>
      <c r="H64" s="4">
        <v>0.65629776139530294</v>
      </c>
      <c r="I64" s="4">
        <v>-3.0613454149327475</v>
      </c>
      <c r="K64" s="177"/>
      <c r="L64" s="99"/>
      <c r="M64" s="99"/>
      <c r="N64" s="99"/>
      <c r="O64" s="99"/>
    </row>
    <row r="65" spans="2:15" ht="14.1" hidden="1" customHeight="1">
      <c r="B65" s="201"/>
      <c r="C65" s="198" t="str">
        <f>IF(Indice_index!$Z$1=1,"junho","June")</f>
        <v>junho</v>
      </c>
      <c r="D65" s="4">
        <v>1.1000000000000001</v>
      </c>
      <c r="E65" s="4">
        <v>-1.6</v>
      </c>
      <c r="F65" s="4">
        <v>1</v>
      </c>
      <c r="G65" s="4">
        <v>0.8</v>
      </c>
      <c r="H65" s="4">
        <v>0.6</v>
      </c>
      <c r="I65" s="4">
        <v>-3.1</v>
      </c>
      <c r="K65" s="177"/>
      <c r="L65" s="99"/>
      <c r="M65" s="99"/>
      <c r="N65" s="99"/>
      <c r="O65" s="99"/>
    </row>
    <row r="66" spans="2:15" ht="14.1" hidden="1" customHeight="1">
      <c r="B66" s="201"/>
      <c r="C66" s="198" t="str">
        <f>IF(Indice_index!$Z$1=1,"julho","July")</f>
        <v>julho</v>
      </c>
      <c r="D66" s="4">
        <v>1.2</v>
      </c>
      <c r="E66" s="4">
        <v>-1.8</v>
      </c>
      <c r="F66" s="4">
        <v>1.1000000000000001</v>
      </c>
      <c r="G66" s="4">
        <v>0.8</v>
      </c>
      <c r="H66" s="4">
        <v>0.5</v>
      </c>
      <c r="I66" s="4">
        <v>-3.2</v>
      </c>
      <c r="K66" s="178"/>
      <c r="L66" s="99"/>
      <c r="M66" s="99"/>
      <c r="N66" s="99"/>
      <c r="O66" s="99"/>
    </row>
    <row r="67" spans="2:15" ht="14.1" hidden="1" customHeight="1">
      <c r="B67" s="201"/>
      <c r="C67" s="198" t="str">
        <f>IF(Indice_index!$Z$1=1,"agosto","August")</f>
        <v>agosto</v>
      </c>
      <c r="D67" s="4">
        <v>1.2534073328258146</v>
      </c>
      <c r="E67" s="4">
        <v>-1.9747522812517495</v>
      </c>
      <c r="F67" s="4">
        <v>1.1217665384357454</v>
      </c>
      <c r="G67" s="4">
        <v>0.86091406574564067</v>
      </c>
      <c r="H67" s="4">
        <v>-0.76794068320240483</v>
      </c>
      <c r="I67" s="4">
        <v>-3.2695709634565215</v>
      </c>
      <c r="K67" s="177"/>
    </row>
    <row r="68" spans="2:15" ht="14.1" hidden="1" customHeight="1">
      <c r="B68" s="201"/>
      <c r="C68" s="198" t="str">
        <f>IF(Indice_index!$Z$1=1,"setembro","September")</f>
        <v>setembro</v>
      </c>
      <c r="D68" s="4">
        <v>1.2688330907743317</v>
      </c>
      <c r="E68" s="4">
        <v>-2.3009097270818755</v>
      </c>
      <c r="F68" s="4">
        <v>0.96997521783341767</v>
      </c>
      <c r="G68" s="4">
        <v>0.79593620071461668</v>
      </c>
      <c r="H68" s="4">
        <v>1.0147270114942692</v>
      </c>
      <c r="I68" s="4">
        <v>-3.4066937656284866</v>
      </c>
      <c r="K68" s="178"/>
    </row>
    <row r="69" spans="2:15" ht="14.1" hidden="1" customHeight="1">
      <c r="B69" s="201"/>
      <c r="C69" s="198" t="str">
        <f>IF(Indice_index!$Z$1=1,"outubro","October")</f>
        <v>outubro</v>
      </c>
      <c r="D69" s="4">
        <v>1.4</v>
      </c>
      <c r="E69" s="4">
        <v>-2.4</v>
      </c>
      <c r="F69" s="4">
        <v>0.9</v>
      </c>
      <c r="G69" s="4">
        <v>0.8</v>
      </c>
      <c r="H69" s="4">
        <v>0.7</v>
      </c>
      <c r="I69" s="4">
        <v>-3.4</v>
      </c>
      <c r="K69" s="177"/>
    </row>
    <row r="70" spans="2:15" ht="14.1" hidden="1" customHeight="1">
      <c r="B70" s="200"/>
      <c r="C70" s="198" t="str">
        <f>IF(Indice_index!$Z$1=1,"novembro","November")</f>
        <v>novembro</v>
      </c>
      <c r="D70" s="4">
        <v>1.1000000000000001</v>
      </c>
      <c r="E70" s="4">
        <v>-2.5</v>
      </c>
      <c r="F70" s="4">
        <v>0.8</v>
      </c>
      <c r="G70" s="4">
        <v>0.6</v>
      </c>
      <c r="H70" s="4">
        <v>0</v>
      </c>
      <c r="I70" s="4">
        <v>-3.3</v>
      </c>
    </row>
    <row r="71" spans="2:15" ht="14.1" hidden="1" customHeight="1">
      <c r="B71" s="200"/>
      <c r="C71" s="198" t="str">
        <f>IF(Indice_index!$Z$1=1,"dezembro","December")</f>
        <v>dezembro</v>
      </c>
      <c r="D71" s="4">
        <v>0.8</v>
      </c>
      <c r="E71" s="4">
        <v>-2.7</v>
      </c>
      <c r="F71" s="4">
        <v>1</v>
      </c>
      <c r="G71" s="4">
        <v>0.5</v>
      </c>
      <c r="H71" s="4">
        <v>0.9</v>
      </c>
      <c r="I71" s="4">
        <v>-3.3</v>
      </c>
    </row>
    <row r="72" spans="2:15" ht="14.1" customHeight="1">
      <c r="B72" s="363" t="s">
        <v>14</v>
      </c>
      <c r="C72" s="363"/>
      <c r="D72" s="4"/>
      <c r="E72" s="4"/>
      <c r="F72" s="4"/>
      <c r="G72" s="4"/>
      <c r="H72" s="4"/>
      <c r="I72" s="4"/>
      <c r="K72" s="98"/>
      <c r="L72" s="98"/>
      <c r="M72" s="98"/>
      <c r="N72" s="98"/>
      <c r="O72" s="98"/>
    </row>
    <row r="73" spans="2:15" ht="14.1" customHeight="1">
      <c r="B73" s="200"/>
      <c r="C73" s="198" t="str">
        <f>IF(Indice_index!$Z$1=1,"dezembro","December")</f>
        <v>dezembro</v>
      </c>
      <c r="D73" s="4">
        <v>0.35438674632299544</v>
      </c>
      <c r="E73" s="4">
        <v>-2.8144429537946656</v>
      </c>
      <c r="F73" s="4">
        <v>-0.407296442021923</v>
      </c>
      <c r="G73" s="4">
        <v>-0.17945045610324259</v>
      </c>
      <c r="H73" s="4">
        <v>0.99973691133912934</v>
      </c>
      <c r="I73" s="4">
        <v>-3.5442363879733443</v>
      </c>
    </row>
    <row r="74" spans="2:15" ht="14.1" customHeight="1">
      <c r="B74" s="363" t="s">
        <v>15</v>
      </c>
      <c r="C74" s="363"/>
      <c r="D74" s="4"/>
      <c r="E74" s="4"/>
      <c r="F74" s="4"/>
      <c r="G74" s="4"/>
      <c r="H74" s="4"/>
      <c r="I74" s="4"/>
      <c r="K74" s="98"/>
      <c r="L74" s="98"/>
      <c r="M74" s="98"/>
      <c r="N74" s="98"/>
      <c r="O74" s="98"/>
    </row>
    <row r="75" spans="2:15" ht="14.1" customHeight="1">
      <c r="B75" s="200"/>
      <c r="C75" s="198" t="str">
        <f>IF(Indice_index!$Z$1=1,"dezembro","December")</f>
        <v>dezembro</v>
      </c>
      <c r="D75" s="4">
        <v>0.78538830408228255</v>
      </c>
      <c r="E75" s="4">
        <v>-3.3546088763544604</v>
      </c>
      <c r="F75" s="4">
        <v>-7.3697754634803464E-2</v>
      </c>
      <c r="G75" s="4">
        <v>0.13498423896843625</v>
      </c>
      <c r="H75" s="4">
        <v>1.9796822089085657</v>
      </c>
      <c r="I75" s="4">
        <v>-3.9500222582000948</v>
      </c>
    </row>
    <row r="76" spans="2:15" ht="14.1" customHeight="1">
      <c r="B76" s="363">
        <v>2023</v>
      </c>
      <c r="C76" s="363"/>
      <c r="D76" s="4"/>
      <c r="E76" s="4"/>
      <c r="F76" s="4"/>
      <c r="G76" s="4"/>
      <c r="H76" s="4"/>
      <c r="I76" s="4"/>
      <c r="K76" s="98"/>
      <c r="L76" s="98"/>
      <c r="M76" s="98"/>
      <c r="N76" s="98"/>
      <c r="O76" s="98"/>
    </row>
    <row r="77" spans="2:15" ht="14.1" customHeight="1">
      <c r="B77" s="201"/>
      <c r="C77" s="198" t="str">
        <f>IF(Indice_index!$Z$1=1,"dezembro","December")</f>
        <v>dezembro</v>
      </c>
      <c r="D77" s="4">
        <v>1.6047273040581294</v>
      </c>
      <c r="E77" s="4">
        <v>-3.1746275533712174</v>
      </c>
      <c r="F77" s="4">
        <v>0.80825056372000792</v>
      </c>
      <c r="G77" s="4">
        <v>0.92156018983368726</v>
      </c>
      <c r="H77" s="4">
        <v>8.7015751383567519</v>
      </c>
      <c r="I77" s="4">
        <v>-1.593926714584585</v>
      </c>
    </row>
    <row r="78" spans="2:15" ht="14.1" customHeight="1">
      <c r="B78" s="363">
        <v>2024</v>
      </c>
      <c r="C78" s="363"/>
      <c r="D78" s="4"/>
      <c r="E78" s="4"/>
      <c r="F78" s="4"/>
      <c r="G78" s="4"/>
      <c r="H78" s="4"/>
      <c r="I78" s="4"/>
      <c r="K78" s="98"/>
      <c r="L78" s="98"/>
      <c r="M78" s="98"/>
      <c r="N78" s="98"/>
      <c r="O78" s="98"/>
    </row>
    <row r="79" spans="2:15" ht="15">
      <c r="B79" s="302"/>
      <c r="C79" s="198" t="str">
        <f>IF(Indice_index!$Z$1=1,"janeiro","January")</f>
        <v>janeiro</v>
      </c>
      <c r="D79" s="4">
        <v>1.7298961727601121</v>
      </c>
      <c r="E79" s="4">
        <v>-3.1113301706610805</v>
      </c>
      <c r="F79" s="4">
        <v>0.94171298620393495</v>
      </c>
      <c r="G79" s="4">
        <v>1.0443264379725914</v>
      </c>
      <c r="H79" s="4">
        <v>10.293880187308252</v>
      </c>
      <c r="I79" s="4">
        <v>-2.2845822504134783</v>
      </c>
      <c r="K79" s="99"/>
      <c r="L79" s="99"/>
      <c r="M79" s="99"/>
      <c r="N79" s="99"/>
      <c r="O79" s="99"/>
    </row>
    <row r="80" spans="2:15" ht="13.5" customHeight="1">
      <c r="B80" s="302"/>
      <c r="C80" s="198" t="str">
        <f>IF(Indice_index!$Z$1=1,"fevereiro","February")</f>
        <v>fevereiro</v>
      </c>
      <c r="D80" s="4">
        <v>1.7466434609646944</v>
      </c>
      <c r="E80" s="4">
        <v>-2.992225777035904</v>
      </c>
      <c r="F80" s="4">
        <v>0.93922016265282759</v>
      </c>
      <c r="G80" s="4">
        <v>1.0678479184602994</v>
      </c>
      <c r="H80" s="4">
        <v>9.9279622422786993</v>
      </c>
      <c r="I80" s="4">
        <v>-1.8726903875851904</v>
      </c>
      <c r="K80" s="99"/>
      <c r="L80" s="99"/>
      <c r="M80" s="99"/>
      <c r="N80" s="99"/>
      <c r="O80" s="99"/>
    </row>
    <row r="81" spans="2:15" ht="13.5" customHeight="1">
      <c r="B81" s="302"/>
      <c r="C81" s="198" t="str">
        <f>IF(Indice_index!$Z$1=1,"março","March")</f>
        <v>março</v>
      </c>
      <c r="D81" s="4">
        <v>1.7592973329635757</v>
      </c>
      <c r="E81" s="4">
        <v>-3.1108492029030455</v>
      </c>
      <c r="F81" s="4">
        <v>0.94255562896646206</v>
      </c>
      <c r="G81" s="4">
        <v>1.0664558867346041</v>
      </c>
      <c r="H81" s="4">
        <v>9.8042454778227519</v>
      </c>
      <c r="I81" s="4">
        <v>-1.7476468958885352</v>
      </c>
      <c r="K81" s="99"/>
      <c r="L81" s="99"/>
      <c r="M81" s="99"/>
      <c r="N81" s="99"/>
      <c r="O81" s="99"/>
    </row>
    <row r="82" spans="2:15" ht="13.5" customHeight="1">
      <c r="B82" s="302"/>
      <c r="C82" s="198" t="str">
        <f>IF(Indice_index!$Z$1=1,"abril","April")</f>
        <v>abril</v>
      </c>
      <c r="D82" s="4">
        <v>1.7901426284731348</v>
      </c>
      <c r="E82" s="4">
        <v>-2.9652113004903105</v>
      </c>
      <c r="F82" s="4">
        <v>1.2311685791222919</v>
      </c>
      <c r="G82" s="4">
        <v>1.1761636192120106</v>
      </c>
      <c r="H82" s="4">
        <v>10.466457886929287</v>
      </c>
      <c r="I82" s="4">
        <v>-1.9436898906100872</v>
      </c>
      <c r="K82" s="99"/>
      <c r="L82" s="99"/>
      <c r="M82" s="99"/>
      <c r="N82" s="99"/>
      <c r="O82" s="99"/>
    </row>
    <row r="83" spans="2:15" ht="13.5" customHeight="1">
      <c r="B83" s="302"/>
      <c r="C83" s="198" t="str">
        <f>IF(Indice_index!$Z$1=1,"maio","May")</f>
        <v>maio</v>
      </c>
      <c r="D83" s="4">
        <v>1.8</v>
      </c>
      <c r="E83" s="4">
        <v>-2.9</v>
      </c>
      <c r="F83" s="4">
        <v>1.7</v>
      </c>
      <c r="G83" s="4">
        <v>1.3</v>
      </c>
      <c r="H83" s="4">
        <v>9.1999999999999993</v>
      </c>
      <c r="I83" s="4">
        <v>-2.9</v>
      </c>
      <c r="K83" s="99"/>
      <c r="L83" s="99"/>
      <c r="M83" s="99"/>
      <c r="N83" s="99"/>
      <c r="O83" s="99"/>
    </row>
    <row r="84" spans="2:15" ht="13.5" customHeight="1">
      <c r="B84" s="302"/>
      <c r="C84" s="198" t="str">
        <f>IF(Indice_index!$Z$1=1,"junho","June")</f>
        <v>junho</v>
      </c>
      <c r="D84" s="4">
        <v>1.7626795399010668</v>
      </c>
      <c r="E84" s="4">
        <v>-2.9971515322252484</v>
      </c>
      <c r="F84" s="4">
        <v>1.3877853057312863</v>
      </c>
      <c r="G84" s="4">
        <v>1.1981747388296855</v>
      </c>
      <c r="H84" s="4">
        <v>9.4451294697903894</v>
      </c>
      <c r="I84" s="4">
        <v>-1.940930274289997</v>
      </c>
      <c r="K84" s="99"/>
      <c r="L84" s="99"/>
      <c r="M84" s="99"/>
      <c r="N84" s="99"/>
      <c r="O84" s="99"/>
    </row>
    <row r="85" spans="2:15" ht="13.5" customHeight="1">
      <c r="B85" s="302"/>
      <c r="C85" s="198" t="str">
        <f>IF(Indice_index!$Z$1=1,"julho","July")</f>
        <v>julho</v>
      </c>
      <c r="D85" s="4">
        <v>1.7747029270579722</v>
      </c>
      <c r="E85" s="4">
        <v>-3.0133718375290353</v>
      </c>
      <c r="F85" s="4">
        <v>1.3408173409143258</v>
      </c>
      <c r="G85" s="4">
        <v>1.1942244476191797</v>
      </c>
      <c r="H85" s="4">
        <v>8.0657237936772077</v>
      </c>
      <c r="I85" s="4">
        <v>-2.0938001281162149</v>
      </c>
      <c r="K85" s="99"/>
      <c r="L85" s="99"/>
      <c r="M85" s="99"/>
      <c r="N85" s="99"/>
      <c r="O85" s="99"/>
    </row>
    <row r="86" spans="2:15" ht="13.5" customHeight="1">
      <c r="B86" s="302"/>
      <c r="C86" s="198" t="str">
        <f>IF(Indice_index!$Z$1=1,"agosto","August")</f>
        <v>agosto</v>
      </c>
      <c r="D86" s="4">
        <v>1.8130018130018128</v>
      </c>
      <c r="E86" s="4">
        <v>-3.0870795347375037</v>
      </c>
      <c r="F86" s="4">
        <v>1.3199105145413872</v>
      </c>
      <c r="G86" s="4">
        <v>1.2078004613308424</v>
      </c>
      <c r="H86" s="4">
        <v>6.2668999522824844</v>
      </c>
      <c r="I86" s="4">
        <v>-2.7013223459799041</v>
      </c>
      <c r="K86" s="99"/>
      <c r="L86" s="99"/>
      <c r="M86" s="99"/>
      <c r="N86" s="99"/>
      <c r="O86" s="99"/>
    </row>
    <row r="87" spans="2:15" ht="13.5" customHeight="1">
      <c r="B87" s="302"/>
      <c r="C87" s="198" t="str">
        <f>IF(Indice_index!$Z$1=1,"setembro","September")</f>
        <v>setembro</v>
      </c>
      <c r="D87" s="4">
        <v>1.9151308142982517</v>
      </c>
      <c r="E87" s="4">
        <v>-3.0910293978636925</v>
      </c>
      <c r="F87" s="4">
        <v>1.155127462340672</v>
      </c>
      <c r="G87" s="4">
        <v>1.2333271866740425</v>
      </c>
      <c r="H87" s="4">
        <v>5.8412698412698338</v>
      </c>
      <c r="I87" s="4">
        <v>-4.2597867750246117</v>
      </c>
      <c r="K87" s="99"/>
      <c r="L87" s="99"/>
      <c r="M87" s="99"/>
      <c r="N87" s="99"/>
      <c r="O87" s="99"/>
    </row>
    <row r="88" spans="2:15" ht="13.5" customHeight="1">
      <c r="B88" s="302"/>
      <c r="C88" s="198" t="str">
        <f>IF(Indice_index!$Z$1=1,"outubro","October")</f>
        <v>outubro</v>
      </c>
      <c r="D88" s="4">
        <v>2.0237266133196887</v>
      </c>
      <c r="E88" s="4">
        <v>-3.0929137838435534</v>
      </c>
      <c r="F88" s="4">
        <v>1.0155525304485056</v>
      </c>
      <c r="G88" s="4">
        <v>1.2695981064245869</v>
      </c>
      <c r="H88" s="4">
        <v>5.9558649054812909</v>
      </c>
      <c r="I88" s="4">
        <v>-5.2421185569431321</v>
      </c>
      <c r="K88" s="99"/>
      <c r="L88" s="99"/>
      <c r="M88" s="99"/>
      <c r="N88" s="99"/>
      <c r="O88" s="99"/>
    </row>
    <row r="89" spans="2:15" ht="13.5" customHeight="1">
      <c r="B89" s="302"/>
      <c r="C89" s="198" t="str">
        <f>IF(Indice_index!$Z$1=1,"novembro","November")</f>
        <v>novembro</v>
      </c>
      <c r="D89" s="4">
        <v>2.1</v>
      </c>
      <c r="E89" s="4">
        <v>-3.1</v>
      </c>
      <c r="F89" s="4">
        <v>1</v>
      </c>
      <c r="G89" s="4">
        <v>1.3</v>
      </c>
      <c r="H89" s="4">
        <v>6.5</v>
      </c>
      <c r="I89" s="4">
        <v>-5.3</v>
      </c>
      <c r="K89" s="99"/>
      <c r="L89" s="99"/>
      <c r="M89" s="99"/>
      <c r="N89" s="99"/>
      <c r="O89" s="99"/>
    </row>
    <row r="90" spans="2:15" ht="13.5" customHeight="1">
      <c r="B90" s="302"/>
      <c r="C90" s="198" t="str">
        <f>IF(Indice_index!$Z$1=1,"dezembro","December")</f>
        <v>dezembro</v>
      </c>
      <c r="D90" s="4">
        <v>2.1</v>
      </c>
      <c r="E90" s="4">
        <v>-3.1</v>
      </c>
      <c r="F90" s="4">
        <v>0.9</v>
      </c>
      <c r="G90" s="4">
        <v>1.3</v>
      </c>
      <c r="H90" s="4">
        <v>8.1</v>
      </c>
      <c r="I90" s="4">
        <v>-5.3</v>
      </c>
      <c r="K90" s="99"/>
      <c r="L90" s="99"/>
      <c r="M90" s="99"/>
      <c r="N90" s="99"/>
      <c r="O90" s="99"/>
    </row>
    <row r="91" spans="2:15" ht="14.1" customHeight="1">
      <c r="B91" s="363">
        <v>2025</v>
      </c>
      <c r="C91" s="363"/>
      <c r="D91" s="4"/>
      <c r="E91" s="4"/>
      <c r="F91" s="4"/>
      <c r="G91" s="4"/>
      <c r="H91" s="4"/>
      <c r="I91" s="4"/>
      <c r="K91" s="98"/>
      <c r="L91" s="98"/>
      <c r="M91" s="98"/>
      <c r="N91" s="98"/>
      <c r="O91" s="98"/>
    </row>
    <row r="92" spans="2:15" ht="14.1" customHeight="1">
      <c r="B92" s="278"/>
      <c r="C92" s="198" t="str">
        <f>IF(Indice_index!$Z$1=1,"janeiro","January")</f>
        <v>janeiro</v>
      </c>
      <c r="D92" s="4">
        <v>2.0398235599621177</v>
      </c>
      <c r="E92" s="4">
        <v>-3.1635508075798042</v>
      </c>
      <c r="F92" s="4">
        <v>0.96887844979448046</v>
      </c>
      <c r="G92" s="4">
        <v>1.2676153053828254</v>
      </c>
      <c r="H92" s="4">
        <v>3.3672498352975624</v>
      </c>
      <c r="I92" s="4">
        <v>-4.9270887582769136</v>
      </c>
      <c r="K92" s="98"/>
      <c r="L92" s="98"/>
      <c r="M92" s="98"/>
      <c r="N92" s="98"/>
      <c r="O92" s="98"/>
    </row>
    <row r="93" spans="2:15" ht="14.1" customHeight="1">
      <c r="B93" s="278"/>
      <c r="C93" s="198" t="str">
        <f>IF(Indice_index!$Z$1=1,"fevereiro","February")</f>
        <v>fevereiro</v>
      </c>
      <c r="D93" s="4">
        <v>2.1703783417999314</v>
      </c>
      <c r="E93" s="4">
        <v>-3.3553732175575557</v>
      </c>
      <c r="F93" s="4">
        <v>1.0864609330005759</v>
      </c>
      <c r="G93" s="4">
        <v>1.3650928864646354</v>
      </c>
      <c r="H93" s="4">
        <v>3.7661946369388377</v>
      </c>
      <c r="I93" s="4">
        <v>-5.1435638440450004</v>
      </c>
      <c r="K93" s="98"/>
      <c r="L93" s="98"/>
      <c r="M93" s="98"/>
      <c r="N93" s="98"/>
      <c r="O93" s="98"/>
    </row>
    <row r="94" spans="2:15" ht="14.1" customHeight="1">
      <c r="B94" s="278"/>
      <c r="C94" s="198" t="str">
        <f>IF(Indice_index!$Z$1=1,"março","March")</f>
        <v>março</v>
      </c>
      <c r="D94" s="4">
        <v>2.3232648343361113</v>
      </c>
      <c r="E94" s="4">
        <v>-3.2763532763532761</v>
      </c>
      <c r="F94" s="4">
        <v>1.136117983330531</v>
      </c>
      <c r="G94" s="4">
        <v>1.486876413899713</v>
      </c>
      <c r="H94" s="4">
        <v>4.1447269444862274</v>
      </c>
      <c r="I94" s="4">
        <v>-5.0673141878414247</v>
      </c>
      <c r="K94" s="98"/>
      <c r="L94" s="98"/>
      <c r="M94" s="98"/>
      <c r="N94" s="98"/>
      <c r="O94" s="98"/>
    </row>
    <row r="95" spans="2:15" ht="14.1" customHeight="1">
      <c r="B95" s="278"/>
      <c r="C95" s="198" t="str">
        <f>IF(Indice_index!$Z$1=1,"abril","April")</f>
        <v>abril</v>
      </c>
      <c r="D95" s="4">
        <v>2.4017574865688878</v>
      </c>
      <c r="E95" s="4">
        <v>-3.3958934873275588</v>
      </c>
      <c r="F95" s="4">
        <v>1.001114346310076</v>
      </c>
      <c r="G95" s="4">
        <v>1.4934756766572514</v>
      </c>
      <c r="H95" s="4">
        <v>3.6034019695613213</v>
      </c>
      <c r="I95" s="4">
        <v>-3.7999866301223344</v>
      </c>
      <c r="K95" s="98"/>
      <c r="L95" s="98"/>
      <c r="M95" s="98"/>
      <c r="N95" s="98"/>
      <c r="O95" s="98"/>
    </row>
    <row r="96" spans="2:15" ht="14.1" customHeight="1">
      <c r="B96" s="278"/>
      <c r="C96" s="198" t="str">
        <f>IF(Indice_index!$Z$1=1,"maio","May")</f>
        <v>maio</v>
      </c>
      <c r="D96" s="4">
        <v>2.4017236892388993</v>
      </c>
      <c r="E96" s="4">
        <v>-3.4925790734695843</v>
      </c>
      <c r="F96" s="4">
        <v>0.74709960130742425</v>
      </c>
      <c r="G96" s="4">
        <v>1.4212473427859498</v>
      </c>
      <c r="H96" s="4">
        <v>3.9243640729346407</v>
      </c>
      <c r="I96" s="4">
        <v>-2.629440854507342</v>
      </c>
      <c r="K96" s="98"/>
      <c r="L96" s="98"/>
      <c r="M96" s="98"/>
      <c r="N96" s="98"/>
      <c r="O96" s="98"/>
    </row>
    <row r="97" spans="2:15" ht="14.1" customHeight="1">
      <c r="B97" s="278"/>
      <c r="C97" s="198" t="s">
        <v>623</v>
      </c>
      <c r="D97" s="4">
        <v>2.4098728181245299</v>
      </c>
      <c r="E97" s="4">
        <v>-3.4753706900724444</v>
      </c>
      <c r="F97" s="4">
        <v>0.75199664981603898</v>
      </c>
      <c r="G97" s="4">
        <v>1.4313958930065869</v>
      </c>
      <c r="H97" s="4">
        <v>3.9657503379900825</v>
      </c>
      <c r="I97" s="4">
        <v>-3.4341890324473137</v>
      </c>
      <c r="K97" s="98"/>
      <c r="L97" s="98"/>
      <c r="M97" s="98"/>
      <c r="N97" s="98"/>
      <c r="O97" s="98"/>
    </row>
    <row r="98" spans="2:15" ht="14.1" customHeight="1">
      <c r="B98" s="278"/>
      <c r="C98" s="198" t="s">
        <v>628</v>
      </c>
      <c r="D98" s="4">
        <v>2.3143298101206624</v>
      </c>
      <c r="E98" s="4">
        <v>-3.420933393747168</v>
      </c>
      <c r="F98" s="4">
        <v>0.82243728541863559</v>
      </c>
      <c r="G98" s="4">
        <v>1.3947141582219298</v>
      </c>
      <c r="H98" s="4">
        <v>3.9916855922090848</v>
      </c>
      <c r="I98" s="4">
        <v>-3.3024938357053251</v>
      </c>
      <c r="K98" s="98"/>
      <c r="L98" s="98"/>
      <c r="M98" s="98"/>
      <c r="N98" s="98"/>
      <c r="O98" s="98"/>
    </row>
    <row r="99" spans="2:15" ht="14.1" customHeight="1">
      <c r="B99" s="201"/>
      <c r="C99" s="198" t="s">
        <v>635</v>
      </c>
      <c r="D99" s="4">
        <v>2.2026750435843998</v>
      </c>
      <c r="E99" s="4">
        <v>-3.4514078110808359</v>
      </c>
      <c r="F99" s="4">
        <v>0.71610581656949501</v>
      </c>
      <c r="G99" s="4">
        <v>1.2938872569590152</v>
      </c>
      <c r="H99" s="4">
        <v>3.9440203562341001</v>
      </c>
      <c r="I99" s="4">
        <v>-3.1225437267631455</v>
      </c>
    </row>
    <row r="100" spans="2:15" ht="4.3499999999999996" customHeight="1">
      <c r="B100" s="303"/>
      <c r="C100" s="304"/>
      <c r="D100" s="305"/>
      <c r="E100" s="305"/>
      <c r="F100" s="305"/>
      <c r="G100" s="305"/>
      <c r="H100" s="305"/>
      <c r="I100" s="305"/>
      <c r="K100" s="99"/>
      <c r="L100" s="99"/>
      <c r="M100" s="99"/>
      <c r="N100" s="99"/>
      <c r="O100" s="99"/>
    </row>
    <row r="101" spans="2:15" ht="14.1" customHeight="1">
      <c r="B101" s="280"/>
      <c r="C101" s="280"/>
      <c r="D101" s="280"/>
      <c r="E101" s="280"/>
      <c r="F101" s="280"/>
      <c r="G101" s="280"/>
      <c r="H101" s="280"/>
      <c r="I101" s="280"/>
    </row>
    <row r="102" spans="2:15" ht="16.350000000000001" customHeight="1">
      <c r="B102" s="373" t="str">
        <f>IF(Indice_index!$Z$1=1,"Fluxos de Pensionistas de Aposentação/Reforma","Retirement Pensioners - New and extinct")</f>
        <v>Fluxos de Pensionistas de Aposentação/Reforma</v>
      </c>
      <c r="C102" s="374"/>
      <c r="D102" s="374"/>
      <c r="E102" s="374"/>
      <c r="F102" s="374"/>
      <c r="G102" s="374"/>
      <c r="H102" s="374"/>
      <c r="I102" s="374"/>
      <c r="J102" s="374"/>
      <c r="K102" s="374"/>
      <c r="L102" s="374"/>
      <c r="M102" s="374"/>
      <c r="N102" s="374"/>
      <c r="O102" s="374"/>
    </row>
    <row r="103" spans="2:15" ht="16.350000000000001" customHeight="1">
      <c r="B103" s="449"/>
      <c r="C103" s="449"/>
      <c r="D103" s="449" t="str">
        <f>IF(Indice_index!$Z$1=1,"Número","Number")</f>
        <v>Número</v>
      </c>
      <c r="E103" s="449"/>
      <c r="F103" s="449"/>
      <c r="G103" s="449"/>
      <c r="H103" s="449"/>
      <c r="I103" s="411" t="str">
        <f>IF(Indice_index!$Z$1=1,"Despesa com pensões (€)","Expense with Pensions")</f>
        <v>Despesa com pensões (€)</v>
      </c>
      <c r="J103" s="412"/>
      <c r="K103" s="412"/>
      <c r="L103" s="412"/>
      <c r="M103" s="413"/>
      <c r="N103" s="449" t="str">
        <f>IF(Indice_index!$Z$1=1,"Pensão média nova Aposentação/Reforma (€)"," Average Value paid per new Retirment Pensioner")</f>
        <v>Pensão média nova Aposentação/Reforma (€)</v>
      </c>
      <c r="O103" s="449" t="str">
        <f>IF(Indice_index!$Z$1=1,"Pensão média nova Sobrevivência e Outras (€)"," Average Value paid per new Survival and Others Pensioner")</f>
        <v>Pensão média nova Sobrevivência e Outras (€)</v>
      </c>
    </row>
    <row r="104" spans="2:15" ht="16.350000000000001" customHeight="1">
      <c r="B104" s="449"/>
      <c r="C104" s="449"/>
      <c r="D104" s="449" t="str">
        <f>IF(Indice_index!$Z$1=1,"Novos","New")</f>
        <v>Novos</v>
      </c>
      <c r="E104" s="449"/>
      <c r="F104" s="449"/>
      <c r="G104" s="449"/>
      <c r="H104" s="449" t="str">
        <f>IF(Indice_index!$Z$1=1,"Abonos abatidos de Aposentação/Reforma","Allowances deducted from Retirement/Pension")</f>
        <v>Abonos abatidos de Aposentação/Reforma</v>
      </c>
      <c r="I104" s="411" t="str">
        <f>IF(Indice_index!$Z$1=1,"Novos","New")</f>
        <v>Novos</v>
      </c>
      <c r="J104" s="412"/>
      <c r="K104" s="412"/>
      <c r="L104" s="413"/>
      <c r="M104" s="449" t="str">
        <f>IF(Indice_index!$Z$1=1,"Abonos abatidos de Aposentação /Reforma","Allowances deducted from Retirement / Pension")</f>
        <v>Abonos abatidos de Aposentação /Reforma</v>
      </c>
      <c r="N104" s="449"/>
      <c r="O104" s="449"/>
    </row>
    <row r="105" spans="2:15" ht="36" customHeight="1">
      <c r="B105" s="449"/>
      <c r="C105" s="449"/>
      <c r="D105" s="176" t="str">
        <f>IF(Indice_index!$Z$1=1,"Velhice e Outros Motivos","Old age and other Reasons")</f>
        <v>Velhice e Outros Motivos</v>
      </c>
      <c r="E105" s="176" t="str">
        <f>IF(Indice_index!$Z$1=1,"Invalidez","Disability")</f>
        <v>Invalidez</v>
      </c>
      <c r="F105" s="176" t="str">
        <f>IF(Indice_index!$Z$1=1,"Sobrevivência e Outros","Survival and Others")</f>
        <v>Sobrevivência e Outros</v>
      </c>
      <c r="G105" s="176" t="str">
        <f>IF(Indice_index!$Z$1=1,"Total de Pensionistas","Total of Pensioners")</f>
        <v>Total de Pensionistas</v>
      </c>
      <c r="H105" s="449"/>
      <c r="I105" s="176" t="str">
        <f>IF(Indice_index!$Z$1=1,"Velhice e Outros Motivos","Old age and other Reasons")</f>
        <v>Velhice e Outros Motivos</v>
      </c>
      <c r="J105" s="176" t="str">
        <f>IF(Indice_index!$Z$1=1,"Invalidez","Disability")</f>
        <v>Invalidez</v>
      </c>
      <c r="K105" s="176" t="str">
        <f>IF(Indice_index!$Z$1=1,"Sobrevivência e Outros","Survival and Others")</f>
        <v>Sobrevivência e Outros</v>
      </c>
      <c r="L105" s="176" t="str">
        <f>IF(Indice_index!$Z$1=1,"Total","Total")</f>
        <v>Total</v>
      </c>
      <c r="M105" s="449"/>
      <c r="N105" s="449"/>
      <c r="O105" s="449"/>
    </row>
    <row r="106" spans="2:15" ht="14.1" hidden="1" customHeight="1">
      <c r="B106" s="363">
        <v>2020</v>
      </c>
      <c r="C106" s="363"/>
      <c r="D106" s="179"/>
      <c r="E106" s="196"/>
      <c r="F106" s="196"/>
      <c r="G106" s="196"/>
      <c r="I106" s="4"/>
      <c r="J106" s="196"/>
      <c r="L106" s="98"/>
      <c r="M106" s="98"/>
      <c r="N106" s="98"/>
      <c r="O106" s="98"/>
    </row>
    <row r="107" spans="2:15" ht="14.1" hidden="1" customHeight="1">
      <c r="B107" s="202"/>
      <c r="C107" s="198" t="str">
        <f>IF(Indice_index!$Z$1=1,"janeiro","January")</f>
        <v>janeiro</v>
      </c>
      <c r="D107" s="199">
        <v>1301</v>
      </c>
      <c r="E107" s="199">
        <v>101</v>
      </c>
      <c r="F107" s="199">
        <v>1606</v>
      </c>
      <c r="G107" s="199">
        <v>3008</v>
      </c>
      <c r="H107" s="199">
        <v>1254</v>
      </c>
      <c r="I107" s="4">
        <v>1406215.8599999999</v>
      </c>
      <c r="J107" s="4">
        <v>120721.40999999999</v>
      </c>
      <c r="K107" s="4">
        <v>1121634.8500000001</v>
      </c>
      <c r="L107" s="4">
        <v>2648572.12</v>
      </c>
      <c r="M107" s="4">
        <v>1181130.18</v>
      </c>
      <c r="N107" s="4">
        <v>1089.0999999999999</v>
      </c>
      <c r="O107" s="4">
        <v>698.4</v>
      </c>
    </row>
    <row r="108" spans="2:15" ht="14.1" hidden="1" customHeight="1">
      <c r="B108" s="202"/>
      <c r="C108" s="198" t="str">
        <f>IF(Indice_index!$Z$1=1,"fevereiro","February")</f>
        <v>fevereiro</v>
      </c>
      <c r="D108" s="199">
        <v>1156</v>
      </c>
      <c r="E108" s="199">
        <v>86</v>
      </c>
      <c r="F108" s="199">
        <v>784</v>
      </c>
      <c r="G108" s="199">
        <v>2026</v>
      </c>
      <c r="H108" s="199">
        <v>1433</v>
      </c>
      <c r="I108" s="4">
        <v>1256302.7600000002</v>
      </c>
      <c r="J108" s="4">
        <v>93955.06</v>
      </c>
      <c r="K108" s="4">
        <v>340075.64</v>
      </c>
      <c r="L108" s="4">
        <v>1690333.4600000004</v>
      </c>
      <c r="M108" s="4">
        <v>1470168.61</v>
      </c>
      <c r="N108" s="4">
        <v>1087.2</v>
      </c>
      <c r="O108" s="4">
        <v>433.8</v>
      </c>
    </row>
    <row r="109" spans="2:15" ht="14.1" hidden="1" customHeight="1">
      <c r="B109" s="202"/>
      <c r="C109" s="198" t="str">
        <f>IF(Indice_index!$Z$1=1,"março","March")</f>
        <v>março</v>
      </c>
      <c r="D109" s="199">
        <v>1124</v>
      </c>
      <c r="E109" s="199">
        <v>296</v>
      </c>
      <c r="F109" s="199">
        <v>885</v>
      </c>
      <c r="G109" s="199">
        <v>2305</v>
      </c>
      <c r="H109" s="199">
        <v>1405</v>
      </c>
      <c r="I109" s="4">
        <v>1455949.83</v>
      </c>
      <c r="J109" s="4">
        <v>284777.40000000002</v>
      </c>
      <c r="K109" s="4">
        <v>458761.12</v>
      </c>
      <c r="L109" s="4">
        <v>2199488.35</v>
      </c>
      <c r="M109" s="4">
        <v>1464110.3</v>
      </c>
      <c r="N109" s="4">
        <v>1225.9000000000001</v>
      </c>
      <c r="O109" s="4">
        <v>518.4</v>
      </c>
    </row>
    <row r="110" spans="2:15" ht="14.1" hidden="1" customHeight="1">
      <c r="B110" s="202"/>
      <c r="C110" s="198" t="str">
        <f>IF(Indice_index!$Z$1=1,"abril","April")</f>
        <v>abril</v>
      </c>
      <c r="D110" s="199">
        <v>1369</v>
      </c>
      <c r="E110" s="199">
        <v>110</v>
      </c>
      <c r="F110" s="199">
        <v>958</v>
      </c>
      <c r="G110" s="199">
        <v>2437</v>
      </c>
      <c r="H110" s="199">
        <v>1330</v>
      </c>
      <c r="I110" s="4">
        <v>1733658.78</v>
      </c>
      <c r="J110" s="4">
        <v>136607.13</v>
      </c>
      <c r="K110" s="4">
        <v>469100.58</v>
      </c>
      <c r="L110" s="4">
        <v>2339366.4900000002</v>
      </c>
      <c r="M110" s="4">
        <v>1389223.38</v>
      </c>
      <c r="N110" s="4">
        <v>1264.5</v>
      </c>
      <c r="O110" s="4">
        <v>489.7</v>
      </c>
    </row>
    <row r="111" spans="2:15" ht="14.1" hidden="1" customHeight="1">
      <c r="B111" s="202"/>
      <c r="C111" s="198" t="str">
        <f>IF(Indice_index!$Z$1=1,"maio","May")</f>
        <v>maio</v>
      </c>
      <c r="D111" s="199">
        <v>1531</v>
      </c>
      <c r="E111" s="199">
        <v>78</v>
      </c>
      <c r="F111" s="199">
        <v>981</v>
      </c>
      <c r="G111" s="199">
        <v>2590</v>
      </c>
      <c r="H111" s="199">
        <v>1371</v>
      </c>
      <c r="I111" s="4">
        <v>1984223.61</v>
      </c>
      <c r="J111" s="4">
        <v>92547.049999999988</v>
      </c>
      <c r="K111" s="4">
        <v>505983.3</v>
      </c>
      <c r="L111" s="4">
        <v>2582753.96</v>
      </c>
      <c r="M111" s="4">
        <v>1531210.28</v>
      </c>
      <c r="N111" s="4">
        <v>1290.7</v>
      </c>
      <c r="O111" s="4">
        <v>515.79999999999995</v>
      </c>
    </row>
    <row r="112" spans="2:15" ht="14.1" hidden="1" customHeight="1">
      <c r="B112" s="202"/>
      <c r="C112" s="198" t="str">
        <f>IF(Indice_index!$Z$1=1,"junho","June")</f>
        <v>junho</v>
      </c>
      <c r="D112" s="199">
        <v>1499</v>
      </c>
      <c r="E112" s="199">
        <v>89</v>
      </c>
      <c r="F112" s="199">
        <v>865</v>
      </c>
      <c r="G112" s="199">
        <v>2453</v>
      </c>
      <c r="H112" s="199">
        <v>1349</v>
      </c>
      <c r="I112" s="4">
        <v>1855493.75</v>
      </c>
      <c r="J112" s="4">
        <v>106652.79</v>
      </c>
      <c r="K112" s="4">
        <v>464286.68</v>
      </c>
      <c r="L112" s="4">
        <v>2426433.2200000002</v>
      </c>
      <c r="M112" s="4">
        <v>1540020.1</v>
      </c>
      <c r="N112" s="4">
        <v>1235.5999999999999</v>
      </c>
      <c r="O112" s="4">
        <v>536.70000000000005</v>
      </c>
    </row>
    <row r="113" spans="2:15" ht="14.1" hidden="1" customHeight="1">
      <c r="B113" s="202"/>
      <c r="C113" s="198" t="str">
        <f>IF(Indice_index!$Z$1=1,"julho","July")</f>
        <v>julho</v>
      </c>
      <c r="D113" s="199">
        <v>1452</v>
      </c>
      <c r="E113" s="199">
        <v>58</v>
      </c>
      <c r="F113" s="199">
        <v>929</v>
      </c>
      <c r="G113" s="199">
        <v>2439</v>
      </c>
      <c r="H113" s="199">
        <v>1105</v>
      </c>
      <c r="I113" s="4">
        <v>1944599.44</v>
      </c>
      <c r="J113" s="4">
        <v>67974.77</v>
      </c>
      <c r="K113" s="4">
        <v>541800.02</v>
      </c>
      <c r="L113" s="4">
        <v>2554374.23</v>
      </c>
      <c r="M113" s="4">
        <v>1241641.8799999999</v>
      </c>
      <c r="N113" s="4">
        <v>1332.8</v>
      </c>
      <c r="O113" s="4">
        <v>583.20000000000005</v>
      </c>
    </row>
    <row r="114" spans="2:15" ht="14.1" hidden="1" customHeight="1">
      <c r="B114" s="202"/>
      <c r="C114" s="198" t="str">
        <f>IF(Indice_index!$Z$1=1,"agosto","August")</f>
        <v>agosto</v>
      </c>
      <c r="D114" s="199">
        <v>1470</v>
      </c>
      <c r="E114" s="199">
        <v>36</v>
      </c>
      <c r="F114" s="199">
        <v>1000</v>
      </c>
      <c r="G114" s="199">
        <v>2506</v>
      </c>
      <c r="H114" s="199">
        <v>1168</v>
      </c>
      <c r="I114" s="4">
        <v>1875739.22</v>
      </c>
      <c r="J114" s="4">
        <v>36978.129999999997</v>
      </c>
      <c r="K114" s="4">
        <v>554835.69000000006</v>
      </c>
      <c r="L114" s="4">
        <v>2467553.04</v>
      </c>
      <c r="M114" s="4">
        <v>1282507.42</v>
      </c>
      <c r="N114" s="4">
        <v>1270.0999999999999</v>
      </c>
      <c r="O114" s="4">
        <v>554.79999999999995</v>
      </c>
    </row>
    <row r="115" spans="2:15" ht="14.1" hidden="1" customHeight="1">
      <c r="B115" s="202"/>
      <c r="C115" s="198" t="str">
        <f>IF(Indice_index!$Z$1=1,"setembro","September")</f>
        <v>setembro</v>
      </c>
      <c r="D115" s="199">
        <v>1318</v>
      </c>
      <c r="E115" s="199">
        <v>29</v>
      </c>
      <c r="F115" s="199">
        <v>773</v>
      </c>
      <c r="G115" s="199">
        <v>2120</v>
      </c>
      <c r="H115" s="199">
        <v>1265</v>
      </c>
      <c r="I115" s="4">
        <v>2047092.5899999999</v>
      </c>
      <c r="J115" s="4">
        <v>39101.64</v>
      </c>
      <c r="K115" s="4">
        <v>431175.01</v>
      </c>
      <c r="L115" s="4">
        <v>2517369.2399999998</v>
      </c>
      <c r="M115" s="4">
        <v>1390071.15</v>
      </c>
      <c r="N115" s="4">
        <v>1548.8</v>
      </c>
      <c r="O115" s="4">
        <v>557.79999999999995</v>
      </c>
    </row>
    <row r="116" spans="2:15" ht="14.1" hidden="1" customHeight="1">
      <c r="B116" s="202"/>
      <c r="C116" s="198" t="str">
        <f>IF(Indice_index!$Z$1=1,"outubro","October")</f>
        <v>outubro</v>
      </c>
      <c r="D116" s="199">
        <v>1206</v>
      </c>
      <c r="E116" s="199">
        <v>27</v>
      </c>
      <c r="F116" s="199">
        <v>773</v>
      </c>
      <c r="G116" s="199">
        <v>2006</v>
      </c>
      <c r="H116" s="199">
        <v>1151</v>
      </c>
      <c r="I116" s="4">
        <v>1774555.76</v>
      </c>
      <c r="J116" s="4">
        <v>41696.28</v>
      </c>
      <c r="K116" s="4">
        <v>424627.48</v>
      </c>
      <c r="L116" s="4">
        <v>2240879.52</v>
      </c>
      <c r="M116" s="4">
        <v>1317894.17</v>
      </c>
      <c r="N116" s="4">
        <v>1473</v>
      </c>
      <c r="O116" s="4">
        <v>549.29999999999995</v>
      </c>
    </row>
    <row r="117" spans="2:15" ht="14.1" hidden="1" customHeight="1">
      <c r="B117" s="202"/>
      <c r="C117" s="198" t="str">
        <f>IF(Indice_index!$Z$1=1,"novembro","November")</f>
        <v>novembro</v>
      </c>
      <c r="D117" s="199">
        <v>1111</v>
      </c>
      <c r="E117" s="199">
        <v>86</v>
      </c>
      <c r="F117" s="199">
        <v>871</v>
      </c>
      <c r="G117" s="199">
        <v>2068</v>
      </c>
      <c r="H117" s="199">
        <v>1162</v>
      </c>
      <c r="I117" s="4">
        <v>1770166.95</v>
      </c>
      <c r="J117" s="4">
        <v>101722.77</v>
      </c>
      <c r="K117" s="4">
        <v>447410.54</v>
      </c>
      <c r="L117" s="4">
        <v>2319300.2599999998</v>
      </c>
      <c r="M117" s="4">
        <v>1306216.53</v>
      </c>
      <c r="N117" s="4">
        <v>1563.8</v>
      </c>
      <c r="O117" s="4">
        <v>513.70000000000005</v>
      </c>
    </row>
    <row r="118" spans="2:15" ht="14.1" hidden="1" customHeight="1">
      <c r="B118" s="200"/>
      <c r="C118" s="198" t="str">
        <f>IF(Indice_index!$Z$1=1,"dezembro","December")</f>
        <v>dezembro</v>
      </c>
      <c r="D118" s="199">
        <v>1057</v>
      </c>
      <c r="E118" s="199">
        <v>106</v>
      </c>
      <c r="F118" s="199">
        <v>889</v>
      </c>
      <c r="G118" s="199">
        <v>2052</v>
      </c>
      <c r="H118" s="199">
        <v>1288</v>
      </c>
      <c r="I118" s="4">
        <v>1823991.91</v>
      </c>
      <c r="J118" s="4">
        <v>121644.84</v>
      </c>
      <c r="K118" s="4">
        <v>467474.39</v>
      </c>
      <c r="L118" s="4">
        <v>2413111.14</v>
      </c>
      <c r="M118" s="4">
        <v>1486433.23</v>
      </c>
      <c r="N118" s="4">
        <v>1672.9</v>
      </c>
      <c r="O118" s="4">
        <v>525.79999999999995</v>
      </c>
    </row>
    <row r="119" spans="2:15" ht="14.1" customHeight="1">
      <c r="B119" s="363" t="s">
        <v>14</v>
      </c>
      <c r="C119" s="363"/>
      <c r="D119" s="199"/>
      <c r="E119" s="199"/>
      <c r="F119" s="199"/>
      <c r="G119" s="199"/>
      <c r="H119" s="199"/>
      <c r="I119" s="4"/>
      <c r="J119" s="4"/>
      <c r="K119" s="4"/>
      <c r="L119" s="4"/>
      <c r="M119" s="4"/>
      <c r="N119" s="4"/>
      <c r="O119" s="4"/>
    </row>
    <row r="120" spans="2:15" ht="14.1" customHeight="1">
      <c r="B120" s="200"/>
      <c r="C120" s="198" t="str">
        <f>IF(Indice_index!$Z$1=1,"dezembro","December")</f>
        <v>dezembro</v>
      </c>
      <c r="D120" s="199">
        <v>1258</v>
      </c>
      <c r="E120" s="199">
        <v>86</v>
      </c>
      <c r="F120" s="199">
        <v>799</v>
      </c>
      <c r="G120" s="199">
        <v>2143</v>
      </c>
      <c r="H120" s="199">
        <v>1157</v>
      </c>
      <c r="I120" s="4">
        <v>1695800.9499999997</v>
      </c>
      <c r="J120" s="4">
        <v>99472.79</v>
      </c>
      <c r="K120" s="4">
        <v>423524.91</v>
      </c>
      <c r="L120" s="4">
        <v>2218798.65</v>
      </c>
      <c r="M120" s="4">
        <v>1390334.04</v>
      </c>
      <c r="N120" s="4">
        <v>1335.8</v>
      </c>
      <c r="O120" s="4">
        <v>530.1</v>
      </c>
    </row>
    <row r="121" spans="2:15" ht="14.1" customHeight="1">
      <c r="B121" s="363" t="s">
        <v>15</v>
      </c>
      <c r="C121" s="363"/>
      <c r="D121" s="199"/>
      <c r="E121" s="199"/>
      <c r="F121" s="199"/>
      <c r="G121" s="199"/>
      <c r="H121" s="199"/>
      <c r="I121" s="4"/>
      <c r="J121" s="4"/>
      <c r="K121" s="4"/>
      <c r="L121" s="4"/>
      <c r="M121" s="4"/>
      <c r="N121" s="4"/>
      <c r="O121" s="4"/>
    </row>
    <row r="122" spans="2:15" ht="14.1" customHeight="1">
      <c r="B122" s="200"/>
      <c r="C122" s="198" t="str">
        <f>IF(Indice_index!$Z$1=1,"dezembro","December")</f>
        <v>dezembro</v>
      </c>
      <c r="D122" s="199">
        <v>1573</v>
      </c>
      <c r="E122" s="199">
        <v>87</v>
      </c>
      <c r="F122" s="199">
        <v>902</v>
      </c>
      <c r="G122" s="199">
        <v>2562</v>
      </c>
      <c r="H122" s="199">
        <v>1251</v>
      </c>
      <c r="I122" s="4">
        <v>2484452.7599999998</v>
      </c>
      <c r="J122" s="4">
        <v>95869.8</v>
      </c>
      <c r="K122" s="4">
        <v>515297.80999999988</v>
      </c>
      <c r="L122" s="4">
        <v>3095620.3699999996</v>
      </c>
      <c r="M122" s="4">
        <v>1481113.01</v>
      </c>
      <c r="N122" s="4">
        <v>1554.4</v>
      </c>
      <c r="O122" s="4">
        <v>571.29999999999995</v>
      </c>
    </row>
    <row r="123" spans="2:15" ht="14.1" customHeight="1">
      <c r="B123" s="363">
        <v>2023</v>
      </c>
      <c r="C123" s="363"/>
      <c r="D123" s="199"/>
      <c r="E123" s="199"/>
      <c r="F123" s="199"/>
      <c r="G123" s="199"/>
      <c r="H123" s="199"/>
      <c r="I123" s="4"/>
      <c r="J123" s="4"/>
      <c r="K123" s="4"/>
      <c r="L123" s="4"/>
      <c r="M123" s="4"/>
      <c r="N123" s="4"/>
      <c r="O123" s="4"/>
    </row>
    <row r="124" spans="2:15" ht="14.1" customHeight="1">
      <c r="B124" s="202"/>
      <c r="C124" s="198" t="str">
        <f>IF(Indice_index!$Z$1=1,"dezembro","December")</f>
        <v>dezembro</v>
      </c>
      <c r="D124" s="199">
        <v>2694</v>
      </c>
      <c r="E124" s="199">
        <v>101</v>
      </c>
      <c r="F124" s="199">
        <v>1138</v>
      </c>
      <c r="G124" s="199">
        <v>3933</v>
      </c>
      <c r="H124" s="199">
        <v>1213</v>
      </c>
      <c r="I124" s="4">
        <v>4250855.01</v>
      </c>
      <c r="J124" s="4">
        <v>122365.64</v>
      </c>
      <c r="K124" s="4">
        <v>611297.77</v>
      </c>
      <c r="L124" s="4">
        <v>4984518.42</v>
      </c>
      <c r="M124" s="4">
        <v>1536841.26</v>
      </c>
      <c r="N124" s="4">
        <v>1564.7</v>
      </c>
      <c r="O124" s="4">
        <v>537.20000000000005</v>
      </c>
    </row>
    <row r="125" spans="2:15" ht="14.1" customHeight="1">
      <c r="B125" s="363">
        <v>2024</v>
      </c>
      <c r="C125" s="363"/>
      <c r="D125" s="199"/>
      <c r="E125" s="199"/>
      <c r="F125" s="199"/>
      <c r="G125" s="199"/>
      <c r="H125" s="199"/>
      <c r="I125" s="4"/>
      <c r="J125" s="4"/>
      <c r="K125" s="4"/>
      <c r="L125" s="4"/>
      <c r="M125" s="4"/>
      <c r="N125" s="4"/>
      <c r="O125" s="4"/>
    </row>
    <row r="126" spans="2:15" ht="13.5" customHeight="1">
      <c r="B126" s="202"/>
      <c r="C126" s="198" t="str">
        <f>IF(Indice_index!$Z$1=1,"janeiro","January")</f>
        <v>janeiro</v>
      </c>
      <c r="D126" s="199">
        <v>1995</v>
      </c>
      <c r="E126" s="199">
        <v>102</v>
      </c>
      <c r="F126" s="199">
        <v>871</v>
      </c>
      <c r="G126" s="199">
        <v>2968</v>
      </c>
      <c r="H126" s="199">
        <v>1242</v>
      </c>
      <c r="I126" s="4">
        <v>3650345.17</v>
      </c>
      <c r="J126" s="4">
        <v>111690.52000000002</v>
      </c>
      <c r="K126" s="4">
        <v>493754.42000000004</v>
      </c>
      <c r="L126" s="4">
        <v>4255790.1100000003</v>
      </c>
      <c r="M126" s="4">
        <v>1568082.27</v>
      </c>
      <c r="N126" s="4">
        <v>1794</v>
      </c>
      <c r="O126" s="4">
        <v>566.9</v>
      </c>
    </row>
    <row r="127" spans="2:15" ht="13.5" customHeight="1">
      <c r="B127" s="202"/>
      <c r="C127" s="198" t="str">
        <f>IF(Indice_index!$Z$1=1,"fevereiro","February")</f>
        <v>fevereiro</v>
      </c>
      <c r="D127" s="199">
        <v>1493</v>
      </c>
      <c r="E127" s="199">
        <v>63</v>
      </c>
      <c r="F127" s="199">
        <v>721</v>
      </c>
      <c r="G127" s="199">
        <v>2277</v>
      </c>
      <c r="H127" s="199">
        <v>1628</v>
      </c>
      <c r="I127" s="4">
        <v>2651742.13</v>
      </c>
      <c r="J127" s="4">
        <v>78102.179999999993</v>
      </c>
      <c r="K127" s="4">
        <v>473559.48999999993</v>
      </c>
      <c r="L127" s="4">
        <v>3203403.8</v>
      </c>
      <c r="M127" s="4">
        <v>2080989.97</v>
      </c>
      <c r="N127" s="4">
        <v>1754.4</v>
      </c>
      <c r="O127" s="4">
        <v>656.8</v>
      </c>
    </row>
    <row r="128" spans="2:15" ht="13.5" customHeight="1">
      <c r="B128" s="202"/>
      <c r="C128" s="198" t="str">
        <f>IF(Indice_index!$Z$1=1,"março","March")</f>
        <v>março</v>
      </c>
      <c r="D128" s="199">
        <v>1401</v>
      </c>
      <c r="E128" s="199">
        <v>63</v>
      </c>
      <c r="F128" s="199">
        <v>844</v>
      </c>
      <c r="G128" s="199">
        <v>2308</v>
      </c>
      <c r="H128" s="199">
        <v>1694</v>
      </c>
      <c r="I128" s="4">
        <v>2394266.2199999997</v>
      </c>
      <c r="J128" s="4">
        <v>81875.03</v>
      </c>
      <c r="K128" s="4">
        <v>510102.64000000007</v>
      </c>
      <c r="L128" s="4">
        <v>2986243.8899999997</v>
      </c>
      <c r="M128" s="4">
        <v>2235189.2000000002</v>
      </c>
      <c r="N128" s="4">
        <v>1691.4</v>
      </c>
      <c r="O128" s="4">
        <v>604.4</v>
      </c>
    </row>
    <row r="129" spans="2:15" ht="13.5" customHeight="1">
      <c r="B129" s="202"/>
      <c r="C129" s="198" t="str">
        <f>IF(Indice_index!$Z$1=1,"abril","April")</f>
        <v>abril</v>
      </c>
      <c r="D129" s="199">
        <v>1408</v>
      </c>
      <c r="E129" s="199">
        <v>101</v>
      </c>
      <c r="F129" s="199">
        <v>1132</v>
      </c>
      <c r="G129" s="199">
        <v>2641</v>
      </c>
      <c r="H129" s="199">
        <v>1235</v>
      </c>
      <c r="I129" s="4">
        <v>2254324.2500000005</v>
      </c>
      <c r="J129" s="4">
        <v>120715.87</v>
      </c>
      <c r="K129" s="4">
        <v>641779.54000000015</v>
      </c>
      <c r="L129" s="4">
        <v>3016819.6600000006</v>
      </c>
      <c r="M129" s="4">
        <v>1624317.25</v>
      </c>
      <c r="N129" s="4">
        <v>1573.9</v>
      </c>
      <c r="O129" s="4">
        <v>566.9</v>
      </c>
    </row>
    <row r="130" spans="2:15" ht="13.5" customHeight="1">
      <c r="B130" s="202"/>
      <c r="C130" s="198" t="str">
        <f>IF(Indice_index!$Z$1=1,"maio","May")</f>
        <v>maio</v>
      </c>
      <c r="D130" s="199">
        <v>1498</v>
      </c>
      <c r="E130" s="199">
        <v>90</v>
      </c>
      <c r="F130" s="199">
        <v>1282</v>
      </c>
      <c r="G130" s="199">
        <v>2870</v>
      </c>
      <c r="H130" s="199">
        <v>1275</v>
      </c>
      <c r="I130" s="4">
        <v>2502013.59</v>
      </c>
      <c r="J130" s="4">
        <v>109881.87</v>
      </c>
      <c r="K130" s="4">
        <v>673744.62</v>
      </c>
      <c r="L130" s="4">
        <v>3285640.08</v>
      </c>
      <c r="M130" s="4">
        <v>1654185.55</v>
      </c>
      <c r="N130" s="4">
        <v>1644.8</v>
      </c>
      <c r="O130" s="4">
        <v>525.5</v>
      </c>
    </row>
    <row r="131" spans="2:15" ht="13.5" customHeight="1">
      <c r="B131" s="202"/>
      <c r="C131" s="198" t="str">
        <f>IF(Indice_index!$Z$1=1,"junho","June")</f>
        <v>junho</v>
      </c>
      <c r="D131" s="199">
        <v>1411</v>
      </c>
      <c r="E131" s="199">
        <v>86</v>
      </c>
      <c r="F131" s="199">
        <v>985</v>
      </c>
      <c r="G131" s="199">
        <v>2482</v>
      </c>
      <c r="H131" s="199">
        <v>1365</v>
      </c>
      <c r="I131" s="4">
        <v>2284807.15</v>
      </c>
      <c r="J131" s="4">
        <v>99521.88</v>
      </c>
      <c r="K131" s="4">
        <v>582535.16</v>
      </c>
      <c r="L131" s="4">
        <v>2966864.19</v>
      </c>
      <c r="M131" s="4">
        <v>1783379.67</v>
      </c>
      <c r="N131" s="4">
        <v>1592.7</v>
      </c>
      <c r="O131" s="4">
        <v>591.4</v>
      </c>
    </row>
    <row r="132" spans="2:15" ht="13.5" customHeight="1">
      <c r="B132" s="202"/>
      <c r="C132" s="198" t="str">
        <f>IF(Indice_index!$Z$1=1,"julho","July")</f>
        <v>julho</v>
      </c>
      <c r="D132" s="199">
        <v>1789</v>
      </c>
      <c r="E132" s="199">
        <v>80</v>
      </c>
      <c r="F132" s="199">
        <v>805</v>
      </c>
      <c r="G132" s="199">
        <v>2674</v>
      </c>
      <c r="H132" s="199">
        <v>1281</v>
      </c>
      <c r="I132" s="4">
        <v>3024118.5999999996</v>
      </c>
      <c r="J132" s="4">
        <v>91064.499999999985</v>
      </c>
      <c r="K132" s="4">
        <v>467573.82999999996</v>
      </c>
      <c r="L132" s="4">
        <v>3582756.9299999997</v>
      </c>
      <c r="M132" s="4">
        <v>1713380.34</v>
      </c>
      <c r="N132" s="4">
        <v>1666.8</v>
      </c>
      <c r="O132" s="4">
        <v>580.79999999999995</v>
      </c>
    </row>
    <row r="133" spans="2:15" ht="13.5" customHeight="1">
      <c r="B133" s="202"/>
      <c r="C133" s="198" t="str">
        <f>IF(Indice_index!$Z$1=1,"agosto","August")</f>
        <v>agosto</v>
      </c>
      <c r="D133" s="199">
        <v>1828</v>
      </c>
      <c r="E133" s="199">
        <v>70</v>
      </c>
      <c r="F133" s="199">
        <v>1120</v>
      </c>
      <c r="G133" s="199">
        <v>3018</v>
      </c>
      <c r="H133" s="199">
        <v>1199</v>
      </c>
      <c r="I133" s="4">
        <v>3204695.9499999997</v>
      </c>
      <c r="J133" s="4">
        <v>87946.209999999992</v>
      </c>
      <c r="K133" s="4">
        <v>635955.18000000017</v>
      </c>
      <c r="L133" s="4">
        <v>3928597.34</v>
      </c>
      <c r="M133" s="4">
        <v>1674689.63</v>
      </c>
      <c r="N133" s="4">
        <v>1734.8</v>
      </c>
      <c r="O133" s="4">
        <v>567.79999999999995</v>
      </c>
    </row>
    <row r="134" spans="2:15" ht="13.5" customHeight="1">
      <c r="B134" s="202"/>
      <c r="C134" s="198" t="str">
        <f>IF(Indice_index!$Z$1=1,"setembro","September")</f>
        <v>setembro</v>
      </c>
      <c r="D134" s="199">
        <v>2212</v>
      </c>
      <c r="E134" s="199">
        <v>81</v>
      </c>
      <c r="F134" s="199">
        <v>789</v>
      </c>
      <c r="G134" s="199">
        <v>3082</v>
      </c>
      <c r="H134" s="199">
        <v>1252</v>
      </c>
      <c r="I134" s="4">
        <v>4274136.2699999996</v>
      </c>
      <c r="J134" s="4">
        <v>96028.58</v>
      </c>
      <c r="K134" s="4">
        <v>463945.18</v>
      </c>
      <c r="L134" s="4">
        <v>4834110.0299999993</v>
      </c>
      <c r="M134" s="4">
        <v>1646784.43</v>
      </c>
      <c r="N134" s="4">
        <v>1905.9</v>
      </c>
      <c r="O134" s="4">
        <v>588</v>
      </c>
    </row>
    <row r="135" spans="2:15" ht="13.5" customHeight="1">
      <c r="B135" s="202"/>
      <c r="C135" s="198" t="str">
        <f>IF(Indice_index!$Z$1=1,"outubro","October")</f>
        <v>outubro</v>
      </c>
      <c r="D135" s="199">
        <v>2038</v>
      </c>
      <c r="E135" s="199">
        <v>61</v>
      </c>
      <c r="F135" s="199">
        <v>900</v>
      </c>
      <c r="G135" s="199">
        <v>2999</v>
      </c>
      <c r="H135" s="199">
        <v>1242</v>
      </c>
      <c r="I135" s="4">
        <v>3620568.56</v>
      </c>
      <c r="J135" s="4">
        <v>73040.179999999993</v>
      </c>
      <c r="K135" s="4">
        <v>513825.13000000006</v>
      </c>
      <c r="L135" s="4">
        <v>4207433.87</v>
      </c>
      <c r="M135" s="4">
        <v>1631151.98</v>
      </c>
      <c r="N135" s="4">
        <v>1759.7</v>
      </c>
      <c r="O135" s="4">
        <v>570.9</v>
      </c>
    </row>
    <row r="136" spans="2:15" ht="13.5" customHeight="1">
      <c r="B136" s="202"/>
      <c r="C136" s="198" t="str">
        <f>IF(Indice_index!$Z$1=1,"novembro","November")</f>
        <v>novembro</v>
      </c>
      <c r="D136" s="199">
        <v>2075</v>
      </c>
      <c r="E136" s="199">
        <v>81</v>
      </c>
      <c r="F136" s="199">
        <v>1043</v>
      </c>
      <c r="G136" s="199">
        <v>3199</v>
      </c>
      <c r="H136" s="199">
        <v>1201</v>
      </c>
      <c r="I136" s="4">
        <v>3396411.15</v>
      </c>
      <c r="J136" s="4">
        <v>103126.3</v>
      </c>
      <c r="K136" s="4">
        <v>568442.54</v>
      </c>
      <c r="L136" s="4">
        <v>4067979.99</v>
      </c>
      <c r="M136" s="4">
        <v>1614638</v>
      </c>
      <c r="N136" s="4">
        <v>1623.2</v>
      </c>
      <c r="O136" s="4">
        <v>545</v>
      </c>
    </row>
    <row r="137" spans="2:15" ht="13.5" customHeight="1">
      <c r="B137" s="202"/>
      <c r="C137" s="198" t="str">
        <f>IF(Indice_index!$Z$1=1,"dezembro","December")</f>
        <v>dezembro</v>
      </c>
      <c r="D137" s="199">
        <v>2553</v>
      </c>
      <c r="E137" s="199">
        <v>102</v>
      </c>
      <c r="F137" s="199">
        <v>997</v>
      </c>
      <c r="G137" s="199">
        <v>3652</v>
      </c>
      <c r="H137" s="199">
        <v>1289</v>
      </c>
      <c r="I137" s="4">
        <v>4499801.22</v>
      </c>
      <c r="J137" s="4">
        <v>120189.46</v>
      </c>
      <c r="K137" s="4">
        <v>487858.32</v>
      </c>
      <c r="L137" s="4">
        <v>5107849</v>
      </c>
      <c r="M137" s="4">
        <v>1730121.86</v>
      </c>
      <c r="N137" s="4">
        <v>1740.1</v>
      </c>
      <c r="O137" s="4">
        <v>489.3</v>
      </c>
    </row>
    <row r="138" spans="2:15" ht="14.1" customHeight="1">
      <c r="B138" s="363">
        <v>2025</v>
      </c>
      <c r="C138" s="363"/>
      <c r="D138" s="199"/>
      <c r="E138" s="199"/>
      <c r="F138" s="199"/>
      <c r="G138" s="199"/>
      <c r="H138" s="199"/>
      <c r="I138" s="4"/>
      <c r="J138" s="4"/>
      <c r="K138" s="4"/>
      <c r="L138" s="4"/>
      <c r="M138" s="4"/>
      <c r="N138" s="4"/>
      <c r="O138" s="4"/>
    </row>
    <row r="139" spans="2:15" ht="14.1" customHeight="1">
      <c r="B139" s="278"/>
      <c r="C139" s="198" t="str">
        <f>IF(Indice_index!$Z$1=1,"janeiro","January")</f>
        <v>janeiro</v>
      </c>
      <c r="D139" s="199">
        <v>1943</v>
      </c>
      <c r="E139" s="199">
        <v>76</v>
      </c>
      <c r="F139" s="199">
        <v>936</v>
      </c>
      <c r="G139" s="199">
        <v>2955</v>
      </c>
      <c r="H139" s="199">
        <v>1252</v>
      </c>
      <c r="I139" s="4">
        <v>3393823.9000000004</v>
      </c>
      <c r="J139" s="4">
        <v>84652.290000000008</v>
      </c>
      <c r="K139" s="4">
        <v>501955.26000000007</v>
      </c>
      <c r="L139" s="4">
        <v>3980431.4500000007</v>
      </c>
      <c r="M139" s="4">
        <v>1698994.53</v>
      </c>
      <c r="N139" s="4">
        <v>1722.9</v>
      </c>
      <c r="O139" s="4">
        <v>536.29999999999995</v>
      </c>
    </row>
    <row r="140" spans="2:15" ht="14.1" customHeight="1">
      <c r="B140" s="278"/>
      <c r="C140" s="198" t="str">
        <f>IF(Indice_index!$Z$1=1,"fevereiro","February")</f>
        <v>fevereiro</v>
      </c>
      <c r="D140" s="199">
        <v>1902</v>
      </c>
      <c r="E140" s="199">
        <v>75</v>
      </c>
      <c r="F140" s="199">
        <v>930</v>
      </c>
      <c r="G140" s="199">
        <v>2907</v>
      </c>
      <c r="H140" s="199">
        <v>1608</v>
      </c>
      <c r="I140" s="4">
        <v>3636123.71</v>
      </c>
      <c r="J140" s="4">
        <v>99462.41</v>
      </c>
      <c r="K140" s="4">
        <v>555255.77</v>
      </c>
      <c r="L140" s="4">
        <v>4290841.8900000006</v>
      </c>
      <c r="M140" s="4">
        <v>2217687.66</v>
      </c>
      <c r="N140" s="4">
        <v>1889.5</v>
      </c>
      <c r="O140" s="4">
        <v>597</v>
      </c>
    </row>
    <row r="141" spans="2:15" ht="14.1" customHeight="1">
      <c r="B141" s="278"/>
      <c r="C141" s="198" t="str">
        <f>IF(Indice_index!$Z$1=1,"março","March")</f>
        <v>março</v>
      </c>
      <c r="D141" s="199">
        <v>2059</v>
      </c>
      <c r="E141" s="199">
        <v>84</v>
      </c>
      <c r="F141" s="199">
        <v>990</v>
      </c>
      <c r="G141" s="199">
        <v>3133</v>
      </c>
      <c r="H141" s="199">
        <v>1662</v>
      </c>
      <c r="I141" s="4">
        <v>3748987.3</v>
      </c>
      <c r="J141" s="4">
        <v>109514.23000000001</v>
      </c>
      <c r="K141" s="4">
        <v>602802.45000000007</v>
      </c>
      <c r="L141" s="4">
        <v>4461303.9799999995</v>
      </c>
      <c r="M141" s="4">
        <v>2251904.17</v>
      </c>
      <c r="N141" s="4">
        <v>1800.5</v>
      </c>
      <c r="O141" s="4">
        <v>608.9</v>
      </c>
    </row>
    <row r="142" spans="2:15" ht="14.1" customHeight="1">
      <c r="B142" s="278"/>
      <c r="C142" s="198" t="str">
        <f>IF(Indice_index!$Z$1=1,"abril","April")</f>
        <v>abril</v>
      </c>
      <c r="D142" s="199">
        <v>1814</v>
      </c>
      <c r="E142" s="199">
        <v>68</v>
      </c>
      <c r="F142" s="199">
        <v>946</v>
      </c>
      <c r="G142" s="199">
        <v>2828</v>
      </c>
      <c r="H142" s="199">
        <v>1334</v>
      </c>
      <c r="I142" s="4">
        <v>3216077.3999999994</v>
      </c>
      <c r="J142" s="4">
        <v>84057.78</v>
      </c>
      <c r="K142" s="4">
        <v>581082.86</v>
      </c>
      <c r="L142" s="4">
        <v>3881218.0399999991</v>
      </c>
      <c r="M142" s="4">
        <v>1779102.7999999996</v>
      </c>
      <c r="N142" s="4">
        <v>1753.5</v>
      </c>
      <c r="O142" s="4">
        <v>614.29999999999995</v>
      </c>
    </row>
    <row r="143" spans="2:15" ht="14.1" customHeight="1">
      <c r="B143" s="278"/>
      <c r="C143" s="198" t="str">
        <f>IF(Indice_index!$Z$1=1,"maio","May")</f>
        <v>maio</v>
      </c>
      <c r="D143" s="199">
        <v>1547</v>
      </c>
      <c r="E143" s="199">
        <v>81</v>
      </c>
      <c r="F143" s="199">
        <v>878</v>
      </c>
      <c r="G143" s="199">
        <v>2506</v>
      </c>
      <c r="H143" s="199">
        <v>1359</v>
      </c>
      <c r="I143" s="4">
        <v>2645362.9499999997</v>
      </c>
      <c r="J143" s="4">
        <v>102088.96000000001</v>
      </c>
      <c r="K143" s="4">
        <v>527554.03</v>
      </c>
      <c r="L143" s="4">
        <v>3275005.9399999995</v>
      </c>
      <c r="M143" s="4">
        <v>1780045.73</v>
      </c>
      <c r="N143" s="4">
        <v>1687.6</v>
      </c>
      <c r="O143" s="4">
        <v>600.9</v>
      </c>
    </row>
    <row r="144" spans="2:15" ht="14.1" customHeight="1">
      <c r="B144" s="278"/>
      <c r="C144" s="198" t="s">
        <v>623</v>
      </c>
      <c r="D144" s="199">
        <v>1544</v>
      </c>
      <c r="E144" s="199">
        <v>89</v>
      </c>
      <c r="F144" s="199">
        <v>921</v>
      </c>
      <c r="G144" s="199">
        <v>2554</v>
      </c>
      <c r="H144" s="199">
        <v>1440</v>
      </c>
      <c r="I144" s="4">
        <v>2431508.25</v>
      </c>
      <c r="J144" s="4">
        <v>102718.83</v>
      </c>
      <c r="K144" s="4">
        <v>563952.35999999987</v>
      </c>
      <c r="L144" s="4">
        <v>3098179.44</v>
      </c>
      <c r="M144" s="4">
        <v>2016109.28</v>
      </c>
      <c r="N144" s="4">
        <v>1551.9</v>
      </c>
      <c r="O144" s="4">
        <v>612.29999999999995</v>
      </c>
    </row>
    <row r="145" spans="2:15" ht="14.1" customHeight="1">
      <c r="B145" s="278"/>
      <c r="C145" s="198" t="s">
        <v>628</v>
      </c>
      <c r="D145" s="199">
        <v>1384</v>
      </c>
      <c r="E145" s="199">
        <v>65</v>
      </c>
      <c r="F145" s="199">
        <v>835</v>
      </c>
      <c r="G145" s="199">
        <v>2284</v>
      </c>
      <c r="H145" s="199">
        <v>1211</v>
      </c>
      <c r="I145" s="4">
        <v>2364002.5999999996</v>
      </c>
      <c r="J145" s="4">
        <v>97555.64</v>
      </c>
      <c r="K145" s="4">
        <v>548343.25999999989</v>
      </c>
      <c r="L145" s="4">
        <v>3009901.4999999995</v>
      </c>
      <c r="M145" s="4">
        <v>1649987.62</v>
      </c>
      <c r="N145" s="4">
        <v>1698.8</v>
      </c>
      <c r="O145" s="4">
        <v>656.7</v>
      </c>
    </row>
    <row r="146" spans="2:15" ht="14.1" customHeight="1">
      <c r="B146" s="202"/>
      <c r="C146" s="198" t="s">
        <v>635</v>
      </c>
      <c r="D146" s="199">
        <v>1431</v>
      </c>
      <c r="E146" s="199">
        <v>75</v>
      </c>
      <c r="F146" s="199">
        <v>952</v>
      </c>
      <c r="G146" s="199">
        <v>2458</v>
      </c>
      <c r="H146" s="199">
        <v>1280</v>
      </c>
      <c r="I146" s="4">
        <v>2549947.62</v>
      </c>
      <c r="J146" s="4">
        <v>110925.34</v>
      </c>
      <c r="K146" s="4">
        <v>533143.66</v>
      </c>
      <c r="L146" s="4">
        <v>3194016.62</v>
      </c>
      <c r="M146" s="4">
        <v>1840204.97</v>
      </c>
      <c r="N146" s="4">
        <v>1766.8</v>
      </c>
      <c r="O146" s="4">
        <v>560</v>
      </c>
    </row>
    <row r="147" spans="2:15" ht="4.3499999999999996" customHeight="1">
      <c r="B147" s="303"/>
      <c r="C147" s="304"/>
      <c r="D147" s="305"/>
      <c r="E147" s="305"/>
      <c r="F147" s="305"/>
      <c r="G147" s="305"/>
      <c r="H147" s="305"/>
      <c r="I147" s="305"/>
      <c r="J147" s="305"/>
      <c r="K147" s="305"/>
      <c r="L147" s="305"/>
      <c r="M147" s="305"/>
      <c r="N147" s="305"/>
      <c r="O147" s="305"/>
    </row>
    <row r="148" spans="2:15" ht="14.1" customHeight="1">
      <c r="B148" s="280"/>
      <c r="C148" s="280"/>
      <c r="D148" s="280"/>
      <c r="E148" s="280"/>
      <c r="F148" s="280"/>
      <c r="G148" s="280"/>
      <c r="H148" s="280"/>
      <c r="I148" s="280"/>
      <c r="J148" s="280"/>
      <c r="K148" s="280"/>
      <c r="L148" s="280"/>
      <c r="M148" s="280"/>
      <c r="N148" s="280"/>
      <c r="O148" s="280"/>
    </row>
    <row r="149" spans="2:15" ht="16.350000000000001" customHeight="1">
      <c r="B149" s="449"/>
      <c r="C149" s="449"/>
      <c r="D149" s="449" t="str">
        <f>IF(Indice_index!$Z$1=1,"VH do número de pensionistas (%)","YOY Change Rate of the number of subscribers (%)")</f>
        <v>VH do número de pensionistas (%)</v>
      </c>
      <c r="E149" s="449"/>
      <c r="F149" s="449"/>
      <c r="G149" s="449"/>
      <c r="H149" s="449"/>
      <c r="I149" s="411" t="str">
        <f>IF(Indice_index!$Z$1=1,"VHA da Despesa com pensões (€)","YOY Change Rate of the Expense with Pensions")</f>
        <v>VHA da Despesa com pensões (€)</v>
      </c>
      <c r="J149" s="412"/>
      <c r="K149" s="412"/>
      <c r="L149" s="412"/>
      <c r="M149" s="413"/>
      <c r="N149" s="449" t="str">
        <f>IF(Indice_index!$Z$1=1,"VHA Pensão média nova Aposentação/Reforma (€)","YOY Change Rate of the Average Value paid per new Retirment Pensioner")</f>
        <v>VHA Pensão média nova Aposentação/Reforma (€)</v>
      </c>
      <c r="O149" s="449" t="str">
        <f>IF(Indice_index!$Z$1=1,"VHA Pensão média nova Sobrevivência e Outras (€)","YOY Change Rate of the Average Value paid per new Survival and Others Pensioner")</f>
        <v>VHA Pensão média nova Sobrevivência e Outras (€)</v>
      </c>
    </row>
    <row r="150" spans="2:15" ht="16.350000000000001" customHeight="1">
      <c r="B150" s="449"/>
      <c r="C150" s="449"/>
      <c r="D150" s="449" t="str">
        <f>IF(Indice_index!$Z$1=1,"Novos","New")</f>
        <v>Novos</v>
      </c>
      <c r="E150" s="449"/>
      <c r="F150" s="449"/>
      <c r="G150" s="449"/>
      <c r="H150" s="449" t="str">
        <f>IF(Indice_index!$Z$1=1,"Abonos abatidos de Aposentação/Reforma","Allowances deducted from Retirement/Pension")</f>
        <v>Abonos abatidos de Aposentação/Reforma</v>
      </c>
      <c r="I150" s="411" t="str">
        <f>IF(Indice_index!$Z$1=1,"Novos","New")</f>
        <v>Novos</v>
      </c>
      <c r="J150" s="412"/>
      <c r="K150" s="412"/>
      <c r="L150" s="413"/>
      <c r="M150" s="449" t="str">
        <f>IF(Indice_index!$Z$1=1,"Abonos abatidos de Aposentação /Reforma","Allowances deducted from Retirement / Pension")</f>
        <v>Abonos abatidos de Aposentação /Reforma</v>
      </c>
      <c r="N150" s="449"/>
      <c r="O150" s="449"/>
    </row>
    <row r="151" spans="2:15" ht="36" customHeight="1">
      <c r="B151" s="449"/>
      <c r="C151" s="449"/>
      <c r="D151" s="176" t="str">
        <f>IF(Indice_index!$Z$1=1,"Velhice e Outros Motivos","Old age and other Reasons")</f>
        <v>Velhice e Outros Motivos</v>
      </c>
      <c r="E151" s="176" t="str">
        <f>IF(Indice_index!$Z$1=1,"Invalidez","Disability")</f>
        <v>Invalidez</v>
      </c>
      <c r="F151" s="176" t="str">
        <f>IF(Indice_index!$Z$1=1,"Sobrevivência e Outros","Survival and Others")</f>
        <v>Sobrevivência e Outros</v>
      </c>
      <c r="G151" s="176" t="str">
        <f>IF(Indice_index!$Z$1=1,"Total de Pensionistas","Total of Pensioners")</f>
        <v>Total de Pensionistas</v>
      </c>
      <c r="H151" s="449"/>
      <c r="I151" s="176" t="str">
        <f>IF(Indice_index!$Z$1=1,"Velhice e Outros Motivos","Old age and other Reasons")</f>
        <v>Velhice e Outros Motivos</v>
      </c>
      <c r="J151" s="176" t="str">
        <f>IF(Indice_index!$Z$1=1,"Invalidez","Disability")</f>
        <v>Invalidez</v>
      </c>
      <c r="K151" s="176" t="str">
        <f>IF(Indice_index!$Z$1=1,"Sobrevivência e Outros","Survival and Others")</f>
        <v>Sobrevivência e Outros</v>
      </c>
      <c r="L151" s="176" t="str">
        <f>IF(Indice_index!$Z$1=1,"Total","Total")</f>
        <v>Total</v>
      </c>
      <c r="M151" s="449"/>
      <c r="N151" s="449"/>
      <c r="O151" s="449"/>
    </row>
    <row r="152" spans="2:15" ht="14.1" customHeight="1">
      <c r="B152" s="363" t="s">
        <v>14</v>
      </c>
      <c r="C152" s="363"/>
      <c r="D152" s="199"/>
      <c r="E152" s="199"/>
      <c r="F152" s="199"/>
      <c r="G152" s="199"/>
      <c r="H152" s="4"/>
      <c r="I152" s="4"/>
      <c r="J152" s="4"/>
      <c r="K152" s="4"/>
      <c r="L152" s="4"/>
      <c r="M152" s="4"/>
      <c r="N152" s="4"/>
      <c r="O152" s="4"/>
    </row>
    <row r="153" spans="2:15" ht="14.1" customHeight="1">
      <c r="B153" s="197"/>
      <c r="C153" s="198" t="str">
        <f>IF(Indice_index!$Z$1=1,"dezembro","December")</f>
        <v>dezembro</v>
      </c>
      <c r="D153" s="199">
        <v>19.01608325449385</v>
      </c>
      <c r="E153" s="199">
        <v>-18.867924528301888</v>
      </c>
      <c r="F153" s="199">
        <v>-10.123734533183352</v>
      </c>
      <c r="G153" s="199">
        <v>4.4346978557504872</v>
      </c>
      <c r="H153" s="4">
        <v>-10.170807453416149</v>
      </c>
      <c r="I153" s="4">
        <v>-7.0280443294290809</v>
      </c>
      <c r="J153" s="4">
        <v>-18.226872590732171</v>
      </c>
      <c r="K153" s="4">
        <v>-9.4014733085164384</v>
      </c>
      <c r="L153" s="4">
        <v>-8.052363887392282</v>
      </c>
      <c r="M153" s="4">
        <v>-6.4650862252319223</v>
      </c>
      <c r="N153" s="4">
        <v>-20.150636619044779</v>
      </c>
      <c r="O153" s="4">
        <v>0.81780144541652111</v>
      </c>
    </row>
    <row r="154" spans="2:15" ht="14.1" customHeight="1">
      <c r="B154" s="363" t="s">
        <v>15</v>
      </c>
      <c r="C154" s="363"/>
      <c r="D154" s="199"/>
      <c r="E154" s="199"/>
      <c r="F154" s="199"/>
      <c r="G154" s="199"/>
      <c r="H154" s="4"/>
      <c r="I154" s="4"/>
      <c r="J154" s="4"/>
      <c r="K154" s="4"/>
      <c r="L154" s="4"/>
      <c r="M154" s="4"/>
      <c r="N154" s="4"/>
      <c r="O154" s="4"/>
    </row>
    <row r="155" spans="2:15" ht="14.1" customHeight="1">
      <c r="B155" s="197"/>
      <c r="C155" s="198" t="str">
        <f>IF(Indice_index!$Z$1=1,"dezembro","December")</f>
        <v>dezembro</v>
      </c>
      <c r="D155" s="199">
        <v>25.039745627980921</v>
      </c>
      <c r="E155" s="199">
        <v>1.1627906976744187</v>
      </c>
      <c r="F155" s="199">
        <v>12.891113892365457</v>
      </c>
      <c r="G155" s="199">
        <v>19.552029864675688</v>
      </c>
      <c r="H155" s="4">
        <v>8.124459809853068</v>
      </c>
      <c r="I155" s="4">
        <v>46.50615451064585</v>
      </c>
      <c r="J155" s="4">
        <v>-3.622085999598474</v>
      </c>
      <c r="K155" s="4">
        <v>21.668831710512588</v>
      </c>
      <c r="L155" s="4">
        <v>39.517858909820404</v>
      </c>
      <c r="M155" s="4">
        <v>6.5292920541598747</v>
      </c>
      <c r="N155" s="4">
        <v>16.364725258272209</v>
      </c>
      <c r="O155" s="4">
        <v>7.7721184682135318</v>
      </c>
    </row>
    <row r="156" spans="2:15" ht="14.1" customHeight="1">
      <c r="B156" s="363">
        <v>2023</v>
      </c>
      <c r="C156" s="363"/>
      <c r="D156" s="199"/>
      <c r="E156" s="199"/>
      <c r="F156" s="199"/>
      <c r="G156" s="199"/>
      <c r="H156" s="4"/>
      <c r="I156" s="4"/>
      <c r="J156" s="4"/>
      <c r="K156" s="4"/>
      <c r="L156" s="4"/>
      <c r="M156" s="4"/>
      <c r="N156" s="4"/>
      <c r="O156" s="4"/>
    </row>
    <row r="157" spans="2:15" ht="14.1" customHeight="1">
      <c r="B157" s="197"/>
      <c r="C157" s="198" t="str">
        <f>IF(Indice_index!$Z$1=1,"dezembro","December")</f>
        <v>dezembro</v>
      </c>
      <c r="D157" s="199">
        <v>71.265098537825807</v>
      </c>
      <c r="E157" s="199">
        <v>16.091954022988507</v>
      </c>
      <c r="F157" s="199">
        <v>26.164079822616408</v>
      </c>
      <c r="G157" s="199">
        <v>53.512880562060893</v>
      </c>
      <c r="H157" s="4">
        <v>-3.0375699440447641</v>
      </c>
      <c r="I157" s="4">
        <v>71.098242576365195</v>
      </c>
      <c r="J157" s="4">
        <v>27.637316443760181</v>
      </c>
      <c r="K157" s="4">
        <v>18.629995730042044</v>
      </c>
      <c r="L157" s="4">
        <v>61.018400974018675</v>
      </c>
      <c r="M157" s="4">
        <v>3.7625927004719242</v>
      </c>
      <c r="N157" s="4">
        <v>0.66263510036026463</v>
      </c>
      <c r="O157" s="4">
        <v>-5.9688429896726607</v>
      </c>
    </row>
    <row r="158" spans="2:15" ht="14.1" customHeight="1">
      <c r="B158" s="363">
        <v>2024</v>
      </c>
      <c r="C158" s="363"/>
      <c r="D158" s="199"/>
      <c r="E158" s="199"/>
      <c r="F158" s="199"/>
      <c r="G158" s="199"/>
      <c r="H158" s="4"/>
      <c r="I158" s="4"/>
      <c r="J158" s="4"/>
      <c r="K158" s="4"/>
      <c r="L158" s="4"/>
      <c r="M158" s="4"/>
      <c r="N158" s="4"/>
      <c r="O158" s="4"/>
    </row>
    <row r="159" spans="2:15" ht="14.1" customHeight="1">
      <c r="B159" s="197"/>
      <c r="C159" s="198" t="str">
        <f>IF(Indice_index!$Z$1=1,"janeiro","January")</f>
        <v>janeiro</v>
      </c>
      <c r="D159" s="199">
        <v>31.25</v>
      </c>
      <c r="E159" s="199">
        <v>30.76923076923077</v>
      </c>
      <c r="F159" s="199">
        <v>28.466076696165192</v>
      </c>
      <c r="G159" s="199">
        <v>30.404217926186295</v>
      </c>
      <c r="H159" s="4">
        <v>-5.9803179409538227</v>
      </c>
      <c r="I159" s="4">
        <v>47.636299614963306</v>
      </c>
      <c r="J159" s="4">
        <v>15.091982992969118</v>
      </c>
      <c r="K159" s="4">
        <v>25.441781675532049</v>
      </c>
      <c r="L159" s="4">
        <v>43.622275184273249</v>
      </c>
      <c r="M159" s="4">
        <v>4.0909286129688747</v>
      </c>
      <c r="N159" s="4">
        <v>11.567164179104477</v>
      </c>
      <c r="O159" s="4">
        <v>-2.3428079242032771</v>
      </c>
    </row>
    <row r="160" spans="2:15" ht="14.1" customHeight="1">
      <c r="B160" s="197"/>
      <c r="C160" s="198" t="str">
        <f>IF(Indice_index!$Z$1=1,"fevereiro","February")</f>
        <v>fevereiro</v>
      </c>
      <c r="D160" s="199">
        <v>23.797678275290217</v>
      </c>
      <c r="E160" s="199">
        <v>-39.42307692307692</v>
      </c>
      <c r="F160" s="199">
        <v>2.2695035460992909</v>
      </c>
      <c r="G160" s="199">
        <v>13.002481389578163</v>
      </c>
      <c r="H160" s="4">
        <v>5.9895833333333339</v>
      </c>
      <c r="I160" s="4">
        <v>39.063271949632615</v>
      </c>
      <c r="J160" s="4">
        <v>-24.293756066750692</v>
      </c>
      <c r="K160" s="4">
        <v>10.883905320552969</v>
      </c>
      <c r="L160" s="4">
        <v>31.443167993405797</v>
      </c>
      <c r="M160" s="4">
        <v>12.733135794601901</v>
      </c>
      <c r="N160" s="4">
        <v>14.337851929092803</v>
      </c>
      <c r="O160" s="4">
        <v>8.4186200066028398</v>
      </c>
    </row>
    <row r="161" spans="2:15" ht="14.1" customHeight="1">
      <c r="B161" s="197"/>
      <c r="C161" s="198" t="str">
        <f>IF(Indice_index!$Z$1=1,"março","March")</f>
        <v>março</v>
      </c>
      <c r="D161" s="199">
        <v>15.88089330024814</v>
      </c>
      <c r="E161" s="199">
        <v>-16</v>
      </c>
      <c r="F161" s="199">
        <v>14.054054054054054</v>
      </c>
      <c r="G161" s="199">
        <v>14.031620553359684</v>
      </c>
      <c r="H161" s="4">
        <v>13.159652638610556</v>
      </c>
      <c r="I161" s="4">
        <v>20.69697383569973</v>
      </c>
      <c r="J161" s="4">
        <v>-12.204516701992169</v>
      </c>
      <c r="K161" s="4">
        <v>18.826510767836826</v>
      </c>
      <c r="L161" s="4">
        <v>19.152334215861057</v>
      </c>
      <c r="M161" s="4">
        <v>21.696841988714596</v>
      </c>
      <c r="N161" s="4">
        <v>4.5623145400593588</v>
      </c>
      <c r="O161" s="4">
        <v>4.1889329425960966</v>
      </c>
    </row>
    <row r="162" spans="2:15" ht="14.1" customHeight="1">
      <c r="B162" s="197"/>
      <c r="C162" s="198" t="str">
        <f>IF(Indice_index!$Z$1=1,"abril","April")</f>
        <v>abril</v>
      </c>
      <c r="D162" s="199">
        <v>-5.1212938005390836</v>
      </c>
      <c r="E162" s="199">
        <v>46.376811594202898</v>
      </c>
      <c r="F162" s="199">
        <v>43.472750316856775</v>
      </c>
      <c r="G162" s="199">
        <v>12.766865926558497</v>
      </c>
      <c r="H162" s="4">
        <v>-18.428005284015853</v>
      </c>
      <c r="I162" s="4">
        <v>-10.642832700578813</v>
      </c>
      <c r="J162" s="4">
        <v>41.594968467884613</v>
      </c>
      <c r="K162" s="4">
        <v>39.099101949909539</v>
      </c>
      <c r="L162" s="4">
        <v>-1.7150190620894661</v>
      </c>
      <c r="M162" s="4">
        <v>-7.8268511938792864</v>
      </c>
      <c r="N162" s="4">
        <v>-6.2820054781469565</v>
      </c>
      <c r="O162" s="4">
        <v>-3.0608755129958922</v>
      </c>
    </row>
    <row r="163" spans="2:15" ht="14.1" customHeight="1">
      <c r="B163" s="197"/>
      <c r="C163" s="198" t="str">
        <f>IF(Indice_index!$Z$1=1,"maio","May")</f>
        <v>maio</v>
      </c>
      <c r="D163" s="199">
        <v>-8</v>
      </c>
      <c r="E163" s="199">
        <v>5.9</v>
      </c>
      <c r="F163" s="199">
        <v>103.5</v>
      </c>
      <c r="G163" s="199">
        <v>22.4</v>
      </c>
      <c r="H163" s="4">
        <v>-2.4</v>
      </c>
      <c r="I163" s="4">
        <v>-8.3000000000000007</v>
      </c>
      <c r="J163" s="4">
        <v>-4.2</v>
      </c>
      <c r="K163" s="4">
        <v>80.7</v>
      </c>
      <c r="L163" s="4">
        <v>2.2000000000000002</v>
      </c>
      <c r="M163" s="4">
        <v>4.0999999999999996</v>
      </c>
      <c r="N163" s="4">
        <v>-0.8</v>
      </c>
      <c r="O163" s="4">
        <v>-11.2</v>
      </c>
    </row>
    <row r="164" spans="2:15" ht="14.1" customHeight="1">
      <c r="B164" s="197"/>
      <c r="C164" s="198" t="str">
        <f>IF(Indice_index!$Z$1=1,"junho","June")</f>
        <v>junho</v>
      </c>
      <c r="D164" s="199">
        <v>6.0105184072126221</v>
      </c>
      <c r="E164" s="199">
        <v>17.80821917808219</v>
      </c>
      <c r="F164" s="199">
        <v>-21.451355661881976</v>
      </c>
      <c r="G164" s="199">
        <v>-6.6215199398043643</v>
      </c>
      <c r="H164" s="4">
        <v>8.5918854415274453</v>
      </c>
      <c r="I164" s="4">
        <v>6.7063099356242191</v>
      </c>
      <c r="J164" s="4">
        <v>29.888889149914693</v>
      </c>
      <c r="K164" s="4">
        <v>-13.712822321295146</v>
      </c>
      <c r="L164" s="4">
        <v>2.5551972619225825</v>
      </c>
      <c r="M164" s="4">
        <v>18.169259535451559</v>
      </c>
      <c r="N164" s="4">
        <v>0.82294106475913154</v>
      </c>
      <c r="O164" s="4">
        <v>9.8439821693907881</v>
      </c>
    </row>
    <row r="165" spans="2:15" ht="14.1" customHeight="1">
      <c r="B165" s="197"/>
      <c r="C165" s="198" t="str">
        <f>IF(Indice_index!$Z$1=1,"julho","July")</f>
        <v>julho</v>
      </c>
      <c r="D165" s="199">
        <v>4.5587375803623615</v>
      </c>
      <c r="E165" s="199">
        <v>6.666666666666667</v>
      </c>
      <c r="F165" s="199">
        <v>3.2051282051282048</v>
      </c>
      <c r="G165" s="199">
        <v>4.2088854247856586</v>
      </c>
      <c r="H165" s="4">
        <v>1.9904458598726114</v>
      </c>
      <c r="I165" s="4">
        <v>8.6558623835491684</v>
      </c>
      <c r="J165" s="4">
        <v>-5.2397359913456905</v>
      </c>
      <c r="K165" s="4">
        <v>8.4499258481996264</v>
      </c>
      <c r="L165" s="4">
        <v>8.2256631161820479</v>
      </c>
      <c r="M165" s="4">
        <v>11.1238529633347</v>
      </c>
      <c r="N165" s="4">
        <v>3.3866765909936674</v>
      </c>
      <c r="O165" s="4">
        <v>5.0841324407454147</v>
      </c>
    </row>
    <row r="166" spans="2:15" ht="14.1" customHeight="1">
      <c r="B166" s="197"/>
      <c r="C166" s="198" t="str">
        <f>IF(Indice_index!$Z$1=1,"agosto","August")</f>
        <v>agosto</v>
      </c>
      <c r="D166" s="199">
        <v>17.254650416933931</v>
      </c>
      <c r="E166" s="199">
        <v>-20.454545454545457</v>
      </c>
      <c r="F166" s="199">
        <v>11.888111888111888</v>
      </c>
      <c r="G166" s="199">
        <v>13.972809667673717</v>
      </c>
      <c r="H166" s="4">
        <v>11.327762302692665</v>
      </c>
      <c r="I166" s="4">
        <v>21.881088868395953</v>
      </c>
      <c r="J166" s="4">
        <v>-26.125742680379403</v>
      </c>
      <c r="K166" s="4">
        <v>6.5178369151251996</v>
      </c>
      <c r="L166" s="4">
        <v>17.430977920178314</v>
      </c>
      <c r="M166" s="4">
        <v>18.080652990971053</v>
      </c>
      <c r="N166" s="4">
        <v>3.9611673758015167</v>
      </c>
      <c r="O166" s="4">
        <v>-4.7954393024815598</v>
      </c>
    </row>
    <row r="167" spans="2:15" ht="14.1" customHeight="1">
      <c r="B167" s="197"/>
      <c r="C167" s="198" t="str">
        <f>IF(Indice_index!$Z$1=1,"setembro","September")</f>
        <v>setembro</v>
      </c>
      <c r="D167" s="199">
        <v>33.898305084745758</v>
      </c>
      <c r="E167" s="199">
        <v>-11.956521739130435</v>
      </c>
      <c r="F167" s="199">
        <v>-22.798434442270057</v>
      </c>
      <c r="G167" s="199">
        <v>11.424439624005785</v>
      </c>
      <c r="H167" s="4">
        <v>8.9643167972149698</v>
      </c>
      <c r="I167" s="4">
        <v>48.248250089085722</v>
      </c>
      <c r="J167" s="4">
        <v>-22.09156611492001</v>
      </c>
      <c r="K167" s="4">
        <v>-24.961386939532403</v>
      </c>
      <c r="L167" s="4">
        <v>33.368466783357086</v>
      </c>
      <c r="M167" s="4">
        <v>16.707073955621972</v>
      </c>
      <c r="N167" s="4">
        <v>10.563870518621659</v>
      </c>
      <c r="O167" s="4">
        <v>-2.8099173553719008</v>
      </c>
    </row>
    <row r="168" spans="2:15" ht="14.1" customHeight="1">
      <c r="B168" s="197"/>
      <c r="C168" s="198" t="str">
        <f>IF(Indice_index!$Z$1=1,"outubro","October")</f>
        <v>outubro</v>
      </c>
      <c r="D168" s="199">
        <v>29.726288987905789</v>
      </c>
      <c r="E168" s="199">
        <v>-20.779220779220779</v>
      </c>
      <c r="F168" s="199">
        <v>-12.366114897760468</v>
      </c>
      <c r="G168" s="199">
        <v>12.11214953271028</v>
      </c>
      <c r="H168" s="4">
        <v>-1.740506329113924</v>
      </c>
      <c r="I168" s="4">
        <v>33.393561261701826</v>
      </c>
      <c r="J168" s="4">
        <v>-29.913940403391102</v>
      </c>
      <c r="K168" s="4">
        <v>-9.0667244165600565</v>
      </c>
      <c r="L168" s="4">
        <v>24.352528985973507</v>
      </c>
      <c r="M168" s="4">
        <v>1.6748494931684961</v>
      </c>
      <c r="N168" s="4">
        <v>2.8943983159864342</v>
      </c>
      <c r="O168" s="4">
        <v>3.7622682660850475</v>
      </c>
    </row>
    <row r="169" spans="2:15" ht="14.1" customHeight="1">
      <c r="B169" s="197"/>
      <c r="C169" s="198" t="str">
        <f>IF(Indice_index!$Z$1=1,"novembro","November")</f>
        <v>novembro</v>
      </c>
      <c r="D169" s="199">
        <v>24.7</v>
      </c>
      <c r="E169" s="199">
        <v>0</v>
      </c>
      <c r="F169" s="199">
        <v>6</v>
      </c>
      <c r="G169" s="199">
        <v>17.2</v>
      </c>
      <c r="H169" s="4">
        <v>0.2</v>
      </c>
      <c r="I169" s="4">
        <v>26.4</v>
      </c>
      <c r="J169" s="4">
        <v>7.1</v>
      </c>
      <c r="K169" s="4">
        <v>8.5</v>
      </c>
      <c r="L169" s="4">
        <v>23</v>
      </c>
      <c r="M169" s="4">
        <v>2.9</v>
      </c>
      <c r="N169" s="4">
        <v>1.7</v>
      </c>
      <c r="O169" s="4">
        <v>2.2999999999999998</v>
      </c>
    </row>
    <row r="170" spans="2:15" ht="14.1" customHeight="1">
      <c r="B170" s="197"/>
      <c r="C170" s="198" t="str">
        <f>IF(Indice_index!$Z$1=1,"dezembro","December")</f>
        <v>dezembro</v>
      </c>
      <c r="D170" s="199">
        <v>-5.2</v>
      </c>
      <c r="E170" s="199">
        <v>1</v>
      </c>
      <c r="F170" s="199">
        <v>-12.4</v>
      </c>
      <c r="G170" s="199">
        <v>-7.1</v>
      </c>
      <c r="H170" s="4">
        <v>6.3</v>
      </c>
      <c r="I170" s="4">
        <v>5.9</v>
      </c>
      <c r="J170" s="4">
        <v>-1.8</v>
      </c>
      <c r="K170" s="4">
        <v>-20.2</v>
      </c>
      <c r="L170" s="4">
        <v>2.5</v>
      </c>
      <c r="M170" s="4">
        <v>12.6</v>
      </c>
      <c r="N170" s="4">
        <v>11.2</v>
      </c>
      <c r="O170" s="4">
        <v>-8.9</v>
      </c>
    </row>
    <row r="171" spans="2:15" ht="14.1" customHeight="1">
      <c r="B171" s="363">
        <v>2025</v>
      </c>
      <c r="C171" s="363"/>
      <c r="D171" s="199"/>
      <c r="E171" s="199"/>
      <c r="F171" s="199"/>
      <c r="G171" s="199"/>
      <c r="H171" s="4"/>
      <c r="I171" s="4"/>
      <c r="J171" s="4"/>
      <c r="K171" s="4"/>
      <c r="L171" s="4"/>
      <c r="M171" s="4"/>
      <c r="N171" s="4"/>
      <c r="O171" s="4"/>
    </row>
    <row r="172" spans="2:15" ht="14.1" customHeight="1">
      <c r="B172" s="278"/>
      <c r="C172" s="198" t="str">
        <f>IF(Indice_index!$Z$1=1,"janeiro","January")</f>
        <v>janeiro</v>
      </c>
      <c r="D172" s="199">
        <v>-2.6065162907268169</v>
      </c>
      <c r="E172" s="199">
        <v>-25.490196078431371</v>
      </c>
      <c r="F172" s="199">
        <v>7.4626865671641784</v>
      </c>
      <c r="G172" s="199">
        <v>-0.43800539083557954</v>
      </c>
      <c r="H172" s="4">
        <v>0.80515297906602246</v>
      </c>
      <c r="I172" s="4">
        <v>-7.0273154469937298</v>
      </c>
      <c r="J172" s="4">
        <v>-24.208169144525431</v>
      </c>
      <c r="K172" s="4">
        <v>1.6609147519125043</v>
      </c>
      <c r="L172" s="4">
        <v>-6.4702124137414208</v>
      </c>
      <c r="M172" s="4">
        <v>8.3485581403837958</v>
      </c>
      <c r="N172" s="4">
        <v>-3.963210702341132</v>
      </c>
      <c r="O172" s="4">
        <v>-5.3977773857823292</v>
      </c>
    </row>
    <row r="173" spans="2:15" ht="14.1" customHeight="1">
      <c r="B173" s="278"/>
      <c r="C173" s="198" t="str">
        <f>IF(Indice_index!$Z$1=1,"fevereiro","February")</f>
        <v>fevereiro</v>
      </c>
      <c r="D173" s="199">
        <v>27.394507702612191</v>
      </c>
      <c r="E173" s="199">
        <v>19.047619047619047</v>
      </c>
      <c r="F173" s="199">
        <v>28.9875173370319</v>
      </c>
      <c r="G173" s="199">
        <v>27.66798418972332</v>
      </c>
      <c r="H173" s="4">
        <v>-1.2285012285012284</v>
      </c>
      <c r="I173" s="4">
        <v>37.122070387741665</v>
      </c>
      <c r="J173" s="4">
        <v>27.349082957735639</v>
      </c>
      <c r="K173" s="4">
        <v>17.25153475437692</v>
      </c>
      <c r="L173" s="4">
        <v>33.946332023455824</v>
      </c>
      <c r="M173" s="4">
        <v>6.5688778884407686</v>
      </c>
      <c r="N173" s="4">
        <v>7.7006383948928354</v>
      </c>
      <c r="O173" s="4">
        <v>-9.1047503045066929</v>
      </c>
    </row>
    <row r="174" spans="2:15" ht="14.1" customHeight="1">
      <c r="B174" s="278"/>
      <c r="C174" s="198" t="str">
        <f>IF(Indice_index!$Z$1=1,"março","March")</f>
        <v>março</v>
      </c>
      <c r="D174" s="199">
        <v>46.966452533904352</v>
      </c>
      <c r="E174" s="199">
        <v>33.333333333333329</v>
      </c>
      <c r="F174" s="199">
        <v>17.298578199052134</v>
      </c>
      <c r="G174" s="199">
        <v>35.745233968804158</v>
      </c>
      <c r="H174" s="4">
        <v>-1.8890200708382525</v>
      </c>
      <c r="I174" s="4">
        <v>56.581890045627439</v>
      </c>
      <c r="J174" s="4">
        <v>33.75778915745132</v>
      </c>
      <c r="K174" s="4">
        <v>18.172775973086512</v>
      </c>
      <c r="L174" s="4">
        <v>49.395164773363504</v>
      </c>
      <c r="M174" s="4">
        <v>0.74781007352754469</v>
      </c>
      <c r="N174" s="4">
        <v>6.4502778763154733</v>
      </c>
      <c r="O174" s="4">
        <v>0.74454003970880223</v>
      </c>
    </row>
    <row r="175" spans="2:15" ht="14.1" customHeight="1">
      <c r="B175" s="278"/>
      <c r="C175" s="198" t="str">
        <f>IF(Indice_index!$Z$1=1,"abril","April")</f>
        <v>abril</v>
      </c>
      <c r="D175" s="199">
        <v>28.83522727272727</v>
      </c>
      <c r="E175" s="199">
        <v>-32.673267326732677</v>
      </c>
      <c r="F175" s="199">
        <v>-16.431095406360424</v>
      </c>
      <c r="G175" s="199">
        <v>7.0806512684589169</v>
      </c>
      <c r="H175" s="4">
        <v>8.0161943319838063</v>
      </c>
      <c r="I175" s="4">
        <v>42.662591683516638</v>
      </c>
      <c r="J175" s="4">
        <v>-30.367249973015149</v>
      </c>
      <c r="K175" s="4">
        <v>-9.4575592110649325</v>
      </c>
      <c r="L175" s="4">
        <v>28.652636796990322</v>
      </c>
      <c r="M175" s="4">
        <v>9.5292683741430189</v>
      </c>
      <c r="N175" s="4">
        <v>11.411144291251025</v>
      </c>
      <c r="O175" s="4">
        <v>8.3612630093490878</v>
      </c>
    </row>
    <row r="176" spans="2:15" ht="14.1" customHeight="1">
      <c r="B176" s="278"/>
      <c r="C176" s="198" t="str">
        <f>IF(Indice_index!$Z$1=1,"maio","May")</f>
        <v>maio</v>
      </c>
      <c r="D176" s="199">
        <v>3.2710280373831773</v>
      </c>
      <c r="E176" s="199">
        <v>-10</v>
      </c>
      <c r="F176" s="199">
        <v>-31.513260530421217</v>
      </c>
      <c r="G176" s="199">
        <v>-12.682926829268293</v>
      </c>
      <c r="H176" s="4">
        <v>6.5882352941176476</v>
      </c>
      <c r="I176" s="4">
        <v>5.7293597673863905</v>
      </c>
      <c r="J176" s="4">
        <v>-7.0920798854260516</v>
      </c>
      <c r="K176" s="4">
        <v>-21.698220016955393</v>
      </c>
      <c r="L176" s="4">
        <v>-0.32365504866864769</v>
      </c>
      <c r="M176" s="4">
        <v>7.6085890122785758</v>
      </c>
      <c r="N176" s="4">
        <v>2.6021400778210091</v>
      </c>
      <c r="O176" s="4">
        <v>14.348239771646046</v>
      </c>
    </row>
    <row r="177" spans="2:15" ht="13.5" customHeight="1">
      <c r="B177" s="197"/>
      <c r="C177" s="198" t="str">
        <f>IF(Indice_index!$Z$1=1,"junho","June")</f>
        <v>junho</v>
      </c>
      <c r="D177" s="199">
        <v>9.425939050318922</v>
      </c>
      <c r="E177" s="199">
        <v>3.4883720930232558</v>
      </c>
      <c r="F177" s="199">
        <v>-6.4974619289340101</v>
      </c>
      <c r="G177" s="199">
        <v>2.9008863819500403</v>
      </c>
      <c r="H177" s="4">
        <v>5.4945054945054945</v>
      </c>
      <c r="I177" s="4">
        <v>6.4207213287125837</v>
      </c>
      <c r="J177" s="4">
        <v>3.2123086903101075</v>
      </c>
      <c r="K177" s="4">
        <v>-3.1899877082097778</v>
      </c>
      <c r="L177" s="4">
        <v>4.4260620503832362</v>
      </c>
      <c r="M177" s="4">
        <v>13.049919426299175</v>
      </c>
      <c r="N177" s="4">
        <v>-2.5616877001318485</v>
      </c>
      <c r="O177" s="4">
        <v>3.5339871491376358</v>
      </c>
    </row>
    <row r="178" spans="2:15" ht="13.5" customHeight="1">
      <c r="B178" s="197"/>
      <c r="C178" s="198" t="s">
        <v>628</v>
      </c>
      <c r="D178" s="199">
        <v>-22.638345444382338</v>
      </c>
      <c r="E178" s="199">
        <v>-18.75</v>
      </c>
      <c r="F178" s="199">
        <v>3.7267080745341614</v>
      </c>
      <c r="G178" s="199">
        <v>-14.584891548242334</v>
      </c>
      <c r="H178" s="4">
        <v>-5.4644808743169397</v>
      </c>
      <c r="I178" s="4">
        <v>-21.82837670453798</v>
      </c>
      <c r="J178" s="4">
        <v>7.1280685667850978</v>
      </c>
      <c r="K178" s="4">
        <v>17.274155399159088</v>
      </c>
      <c r="L178" s="4">
        <v>-15.989235139097206</v>
      </c>
      <c r="M178" s="4">
        <v>-3.6998626936503758</v>
      </c>
      <c r="N178" s="4">
        <v>1.9198464122870171</v>
      </c>
      <c r="O178" s="4">
        <v>13.068181818181834</v>
      </c>
    </row>
    <row r="179" spans="2:15" ht="13.5" customHeight="1">
      <c r="B179" s="197"/>
      <c r="C179" s="198" t="s">
        <v>635</v>
      </c>
      <c r="D179" s="199">
        <v>-21.717724288840262</v>
      </c>
      <c r="E179" s="199">
        <v>7.1428571428571423</v>
      </c>
      <c r="F179" s="199">
        <v>-15</v>
      </c>
      <c r="G179" s="199">
        <v>-18.555334658714383</v>
      </c>
      <c r="H179" s="4">
        <v>6.7556296914095082</v>
      </c>
      <c r="I179" s="4">
        <v>-20.43090328116774</v>
      </c>
      <c r="J179" s="4">
        <v>26.128618845542071</v>
      </c>
      <c r="K179" s="4">
        <v>-16.166472612110827</v>
      </c>
      <c r="L179" s="4">
        <v>-18.698295000118282</v>
      </c>
      <c r="M179" s="4">
        <v>9.8833441752427937</v>
      </c>
      <c r="N179" s="4">
        <v>1.8445930366612868</v>
      </c>
      <c r="O179" s="4">
        <v>-1.3737231419513833</v>
      </c>
    </row>
    <row r="180" spans="2:15" ht="3.75" customHeight="1">
      <c r="B180" s="303"/>
      <c r="C180" s="304"/>
      <c r="D180" s="305"/>
      <c r="E180" s="305"/>
      <c r="F180" s="305"/>
      <c r="G180" s="305"/>
      <c r="H180" s="305"/>
      <c r="I180" s="305"/>
      <c r="J180" s="305"/>
      <c r="K180" s="305"/>
      <c r="L180" s="305"/>
      <c r="M180" s="305"/>
      <c r="N180" s="305"/>
      <c r="O180" s="305"/>
    </row>
    <row r="181" spans="2:15" ht="21" customHeight="1">
      <c r="B181" s="280" t="str">
        <f>IF(Indice_index!$Z$1=1,"Notas:","Notes:")</f>
        <v>Notas:</v>
      </c>
      <c r="C181" s="280"/>
      <c r="D181" s="280"/>
      <c r="E181" s="280"/>
      <c r="F181" s="280"/>
      <c r="G181" s="280"/>
      <c r="H181" s="280"/>
      <c r="I181" s="280"/>
      <c r="J181" s="280"/>
      <c r="K181" s="280"/>
      <c r="L181" s="280"/>
      <c r="M181" s="280"/>
      <c r="N181" s="280"/>
      <c r="O181" s="280"/>
    </row>
    <row r="182" spans="2:15" ht="25.5" customHeight="1">
      <c r="B182" s="451" t="str">
        <f>IF(Indice_index!$Z$1=1,B187,B188)</f>
        <v xml:space="preserve">Decorrente da aplicação do Decreto-Lei n.º 166-A/2013, de 27 de dezembro, que transferiu para a Caixa Geral de Aposentações, I.P., a partir de 1 de julho de 2014, a responsabilidade pelo processamento e pagamento dos complementos de pensão a cargo do Fundo de Pensões dos Militares das Forças Armadas, a rubrica de pensões de “Sobrevivência e outras" passou a considerar essa despesa. </v>
      </c>
      <c r="C182" s="451"/>
      <c r="D182" s="451"/>
      <c r="E182" s="451"/>
      <c r="F182" s="451"/>
      <c r="G182" s="451"/>
      <c r="H182" s="451"/>
      <c r="I182" s="451"/>
      <c r="J182" s="451"/>
      <c r="K182" s="451"/>
      <c r="L182" s="451"/>
      <c r="M182" s="451"/>
      <c r="N182" s="451"/>
      <c r="O182" s="451"/>
    </row>
    <row r="183" spans="2:15" ht="36" customHeight="1">
      <c r="B183" s="451" t="str">
        <f>IF(Indice_index!$Z$1=1,B189,B190)</f>
        <v>O acréscimo verificado no número de pensionistas e na despesa com pensões na rubrica "Sobrevivência e Outras Pensões" a partir do mês de outubro de 2017 decorre da aplicação do Decreto-Lei n.º 95-2017, de 10 de agosto, que regula a transferência para a Caixa Geral de Aposentações, I.P., do encargo financeiro com os complementos de pensão dos trabalhadores da Carris. Estes complementos representam um impacto direto no decréscimo verificado na rubrica "Pensão média nova Sobrevivência e outras (€)".</v>
      </c>
      <c r="C183" s="451"/>
      <c r="D183" s="451"/>
      <c r="E183" s="451"/>
      <c r="F183" s="451"/>
      <c r="G183" s="451"/>
      <c r="H183" s="451"/>
      <c r="I183" s="451"/>
      <c r="J183" s="451"/>
      <c r="K183" s="451"/>
      <c r="L183" s="451"/>
      <c r="M183" s="451"/>
      <c r="N183" s="451"/>
      <c r="O183" s="451"/>
    </row>
    <row r="184" spans="2:15" ht="15">
      <c r="B184" s="452" t="str">
        <f>IF(Indice_index!$Z$1=1,"Fonte: Caixa Geral de Aposentações, I.P.","Source: CGA - Public Servants Social Scheme")</f>
        <v>Fonte: Caixa Geral de Aposentações, I.P.</v>
      </c>
      <c r="C184" s="452"/>
      <c r="D184" s="452"/>
      <c r="E184" s="452"/>
      <c r="F184" s="452"/>
      <c r="G184" s="452"/>
      <c r="H184" s="452"/>
      <c r="I184" s="452"/>
      <c r="J184" s="452"/>
      <c r="K184" s="452"/>
      <c r="L184" s="452"/>
      <c r="M184" s="452"/>
      <c r="N184" s="452"/>
      <c r="O184" s="452"/>
    </row>
    <row r="185" spans="2:15" ht="15"/>
    <row r="186" spans="2:15" ht="15" hidden="1"/>
    <row r="187" spans="2:15" ht="15" hidden="1">
      <c r="B187" s="450" t="s">
        <v>425</v>
      </c>
      <c r="C187" s="450"/>
      <c r="D187" s="450"/>
      <c r="E187" s="450"/>
      <c r="F187" s="450"/>
      <c r="G187" s="450"/>
      <c r="H187" s="450"/>
      <c r="I187" s="450"/>
      <c r="J187" s="450"/>
      <c r="K187" s="450"/>
      <c r="L187" s="450"/>
      <c r="M187" s="450"/>
      <c r="N187" s="450"/>
      <c r="O187" s="100"/>
    </row>
    <row r="188" spans="2:15" ht="15" hidden="1">
      <c r="B188" s="101" t="s">
        <v>16</v>
      </c>
      <c r="C188" s="100"/>
      <c r="D188" s="100"/>
      <c r="E188" s="100"/>
      <c r="F188" s="100"/>
      <c r="G188" s="100"/>
      <c r="H188" s="100"/>
      <c r="I188" s="100"/>
      <c r="J188" s="100"/>
      <c r="K188" s="100"/>
      <c r="L188" s="100"/>
      <c r="M188" s="100"/>
      <c r="N188" s="100"/>
      <c r="O188" s="100"/>
    </row>
    <row r="189" spans="2:15" ht="15.6" hidden="1" customHeight="1">
      <c r="B189" s="101" t="s">
        <v>429</v>
      </c>
      <c r="C189" s="101"/>
      <c r="D189" s="101"/>
      <c r="E189" s="101"/>
      <c r="F189" s="101"/>
      <c r="G189" s="101"/>
      <c r="H189" s="101"/>
      <c r="I189" s="101"/>
      <c r="J189" s="101"/>
      <c r="K189" s="101"/>
      <c r="L189" s="101"/>
      <c r="M189" s="101"/>
      <c r="N189" s="101"/>
      <c r="O189" s="100"/>
    </row>
    <row r="190" spans="2:15" ht="15" hidden="1">
      <c r="B190" s="101" t="s">
        <v>430</v>
      </c>
    </row>
  </sheetData>
  <mergeCells count="56">
    <mergeCell ref="B106:C106"/>
    <mergeCell ref="B121:C121"/>
    <mergeCell ref="B123:C123"/>
    <mergeCell ref="B149:C151"/>
    <mergeCell ref="B103:C105"/>
    <mergeCell ref="B125:C125"/>
    <mergeCell ref="B119:C119"/>
    <mergeCell ref="B138:C138"/>
    <mergeCell ref="I11:I12"/>
    <mergeCell ref="D10:H10"/>
    <mergeCell ref="B10:C12"/>
    <mergeCell ref="H11:H12"/>
    <mergeCell ref="D11:G11"/>
    <mergeCell ref="B187:N187"/>
    <mergeCell ref="B152:C152"/>
    <mergeCell ref="B154:C154"/>
    <mergeCell ref="B156:C156"/>
    <mergeCell ref="B182:O182"/>
    <mergeCell ref="B183:O183"/>
    <mergeCell ref="B158:C158"/>
    <mergeCell ref="B184:O184"/>
    <mergeCell ref="B171:C171"/>
    <mergeCell ref="O149:O151"/>
    <mergeCell ref="D150:G150"/>
    <mergeCell ref="H150:H151"/>
    <mergeCell ref="I150:L150"/>
    <mergeCell ref="M150:M151"/>
    <mergeCell ref="N149:N151"/>
    <mergeCell ref="D149:H149"/>
    <mergeCell ref="I149:M149"/>
    <mergeCell ref="N103:N105"/>
    <mergeCell ref="O103:O105"/>
    <mergeCell ref="D104:G104"/>
    <mergeCell ref="H104:H105"/>
    <mergeCell ref="I104:L104"/>
    <mergeCell ref="M104:M105"/>
    <mergeCell ref="D103:H103"/>
    <mergeCell ref="I103:M103"/>
    <mergeCell ref="I57:I58"/>
    <mergeCell ref="B13:C13"/>
    <mergeCell ref="B26:C26"/>
    <mergeCell ref="B28:C28"/>
    <mergeCell ref="B30:C30"/>
    <mergeCell ref="B56:C58"/>
    <mergeCell ref="D56:H56"/>
    <mergeCell ref="D57:G57"/>
    <mergeCell ref="H57:H58"/>
    <mergeCell ref="B32:C32"/>
    <mergeCell ref="B45:C45"/>
    <mergeCell ref="B74:C74"/>
    <mergeCell ref="B76:C76"/>
    <mergeCell ref="B102:O102"/>
    <mergeCell ref="B59:C59"/>
    <mergeCell ref="B72:C72"/>
    <mergeCell ref="B78:C78"/>
    <mergeCell ref="B91:C91"/>
  </mergeCells>
  <conditionalFormatting sqref="D13:D25 D59:D100 I106:I146 D106:D147">
    <cfRule type="cellIs" dxfId="22" priority="22" operator="equal">
      <formula>0</formula>
    </cfRule>
  </conditionalFormatting>
  <conditionalFormatting sqref="D26:I54">
    <cfRule type="cellIs" dxfId="21" priority="21" operator="equal">
      <formula>0</formula>
    </cfRule>
  </conditionalFormatting>
  <conditionalFormatting sqref="D152:O180">
    <cfRule type="cellIs" dxfId="20" priority="1" operator="equal">
      <formula>0</formula>
    </cfRule>
  </conditionalFormatting>
  <conditionalFormatting sqref="E107:H146">
    <cfRule type="cellIs" dxfId="19" priority="12" operator="equal">
      <formula>0</formula>
    </cfRule>
  </conditionalFormatting>
  <conditionalFormatting sqref="E14:I25">
    <cfRule type="cellIs" dxfId="18" priority="122" operator="equal">
      <formula>0</formula>
    </cfRule>
  </conditionalFormatting>
  <conditionalFormatting sqref="E60:I100">
    <cfRule type="cellIs" dxfId="17" priority="16" operator="equal">
      <formula>0</formula>
    </cfRule>
  </conditionalFormatting>
  <conditionalFormatting sqref="E147:I147">
    <cfRule type="cellIs" dxfId="16" priority="10" operator="equal">
      <formula>0</formula>
    </cfRule>
  </conditionalFormatting>
  <conditionalFormatting sqref="J107:O147">
    <cfRule type="cellIs" dxfId="15" priority="8" operator="equal">
      <formula>0</formula>
    </cfRule>
  </conditionalFormatting>
  <pageMargins left="0.70866141732283472" right="0.70866141732283472" top="0.74803149606299213" bottom="0.74803149606299213" header="0.31496062992125984" footer="0.31496062992125984"/>
  <pageSetup paperSize="9" scale="60" fitToHeight="4" orientation="portrait" r:id="rId1"/>
  <rowBreaks count="3" manualBreakCount="3">
    <brk id="55" min="1" max="14" man="1"/>
    <brk id="101" min="1" max="14" man="1"/>
    <brk id="148" min="1" max="14" man="1"/>
  </rowBreaks>
  <ignoredErrors>
    <ignoredError sqref="B26 B28 B72 B74 B154 B152 B119:C119 B120:C121" numberStoredAsText="1"/>
  </ignoredErrors>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Folha24">
    <pageSetUpPr fitToPage="1"/>
  </sheetPr>
  <dimension ref="A1:AG156"/>
  <sheetViews>
    <sheetView showGridLines="0" zoomScaleNormal="100" workbookViewId="0"/>
  </sheetViews>
  <sheetFormatPr defaultColWidth="9.42578125" defaultRowHeight="14.85" customHeight="1" zeroHeight="1"/>
  <cols>
    <col min="1" max="1" width="8.5703125" style="50" customWidth="1"/>
    <col min="2" max="2" width="77.42578125" style="102" customWidth="1"/>
    <col min="3" max="3" width="6.5703125" style="102" bestFit="1" customWidth="1"/>
    <col min="4" max="4" width="18.42578125" style="103" customWidth="1"/>
    <col min="5" max="9" width="8.42578125" style="102" hidden="1" customWidth="1"/>
    <col min="10" max="12" width="8.42578125" style="102" customWidth="1"/>
    <col min="13" max="16" width="8.42578125" style="102" hidden="1" customWidth="1"/>
    <col min="17" max="18" width="8.5703125" style="102" customWidth="1"/>
    <col min="19" max="23" width="8.42578125" style="102" hidden="1" customWidth="1"/>
    <col min="24" max="26" width="8.42578125" style="102" customWidth="1"/>
    <col min="27" max="30" width="8.42578125" style="102" hidden="1" customWidth="1"/>
    <col min="31" max="31" width="8.5703125" style="102" customWidth="1"/>
    <col min="32" max="32" width="10" style="102" customWidth="1"/>
    <col min="33" max="33" width="18.5703125" style="132" customWidth="1"/>
  </cols>
  <sheetData>
    <row r="1" spans="1:33" ht="14.85" customHeight="1"/>
    <row r="2" spans="1:33" ht="15">
      <c r="E2" s="104"/>
      <c r="S2" s="104"/>
    </row>
    <row r="3" spans="1:33" ht="15">
      <c r="E3" s="104"/>
      <c r="S3" s="104"/>
    </row>
    <row r="4" spans="1:33" ht="15">
      <c r="E4" s="104"/>
      <c r="S4" s="104"/>
    </row>
    <row r="5" spans="1:33" ht="18" customHeight="1">
      <c r="A5"/>
      <c r="B5" s="270"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row>
    <row r="6" spans="1:33" ht="18" customHeight="1">
      <c r="A6"/>
      <c r="B6" s="271" t="str">
        <f>IF(Indice_index!$Z$1=1,"Agosto de 2025","August 2025")</f>
        <v>Agosto de 2025</v>
      </c>
      <c r="C6"/>
      <c r="D6"/>
      <c r="E6"/>
      <c r="F6"/>
      <c r="G6"/>
      <c r="H6"/>
      <c r="I6"/>
      <c r="J6"/>
      <c r="K6"/>
      <c r="L6"/>
      <c r="M6"/>
      <c r="N6"/>
      <c r="O6"/>
      <c r="P6"/>
      <c r="Q6"/>
      <c r="R6"/>
      <c r="S6"/>
      <c r="T6"/>
      <c r="U6"/>
      <c r="V6"/>
      <c r="W6"/>
      <c r="X6"/>
      <c r="Y6"/>
      <c r="Z6"/>
      <c r="AA6"/>
      <c r="AB6"/>
      <c r="AC6"/>
      <c r="AD6"/>
      <c r="AE6"/>
      <c r="AF6"/>
      <c r="AG6"/>
    </row>
    <row r="7" spans="1:33" ht="50.1" customHeight="1">
      <c r="B7" s="12"/>
      <c r="C7" s="13"/>
      <c r="D7" s="11"/>
      <c r="E7" s="11"/>
      <c r="F7" s="11"/>
      <c r="G7" s="11"/>
      <c r="H7" s="11"/>
      <c r="I7" s="11"/>
      <c r="J7" s="11"/>
      <c r="K7" s="11"/>
      <c r="L7" s="10"/>
      <c r="M7" s="10"/>
      <c r="N7" s="10"/>
      <c r="O7" s="10"/>
      <c r="P7"/>
      <c r="Q7"/>
      <c r="R7"/>
      <c r="S7"/>
      <c r="T7"/>
      <c r="U7"/>
      <c r="V7"/>
      <c r="W7"/>
      <c r="X7"/>
      <c r="Y7"/>
      <c r="Z7"/>
      <c r="AA7"/>
      <c r="AB7"/>
      <c r="AC7"/>
      <c r="AD7"/>
      <c r="AE7"/>
    </row>
    <row r="8" spans="1:33" ht="15.75">
      <c r="B8" s="1" t="str">
        <f>IF(Indice_index!$Z$1=1,"Quadro 21 - Efeitos temporários/especiais na conta da Administração Central e Segurança Social","21 - Temporary/special effects on the Central Government and Social Security Account")</f>
        <v>Quadro 21 - Efeitos temporários/especiais na conta da Administração Central e Segurança Social</v>
      </c>
      <c r="C8" s="2"/>
      <c r="D8" s="2"/>
      <c r="E8" s="2"/>
      <c r="F8" s="2"/>
      <c r="G8" s="2"/>
      <c r="H8" s="2"/>
      <c r="I8" s="2"/>
      <c r="J8" s="2"/>
      <c r="K8" s="2"/>
      <c r="L8" s="2"/>
      <c r="M8" s="2"/>
      <c r="N8" s="2"/>
      <c r="O8" s="2"/>
      <c r="P8" s="2"/>
      <c r="Q8" s="2"/>
      <c r="R8" s="2"/>
      <c r="S8" s="2"/>
      <c r="T8" s="2"/>
      <c r="U8" s="2"/>
      <c r="V8" s="2"/>
      <c r="W8" s="2"/>
      <c r="X8" s="2"/>
      <c r="Y8" s="2"/>
      <c r="Z8" s="2"/>
      <c r="AA8" s="2"/>
      <c r="AB8" s="2"/>
      <c r="AC8" s="2"/>
      <c r="AD8" s="2"/>
      <c r="AE8" s="2"/>
    </row>
    <row r="9" spans="1:33" ht="15">
      <c r="B9" s="105"/>
      <c r="E9" s="106"/>
      <c r="F9" s="106"/>
      <c r="G9" s="106"/>
      <c r="H9" s="106"/>
      <c r="I9" s="106"/>
      <c r="R9" s="106"/>
      <c r="S9" s="3"/>
      <c r="T9" s="106"/>
      <c r="U9" s="106"/>
      <c r="V9" s="106"/>
      <c r="W9" s="106"/>
      <c r="AE9" s="3" t="str">
        <f>IF(Indice_index!$Z$1=1,"€ Milhões","€ Millions")</f>
        <v>€ Milhões</v>
      </c>
    </row>
    <row r="10" spans="1:33" ht="16.350000000000001" customHeight="1">
      <c r="B10" s="373"/>
      <c r="C10" s="374"/>
      <c r="D10" s="390" t="str">
        <f>IF(Indice_index!$Z$1=1,"Classificação económica","Economic classification")</f>
        <v>Classificação económica</v>
      </c>
      <c r="E10" s="373" t="str">
        <f>IF(Indice_index!$Z$1=1,"2024","2024")</f>
        <v>2024</v>
      </c>
      <c r="F10" s="374"/>
      <c r="G10" s="374"/>
      <c r="H10" s="374"/>
      <c r="I10" s="374"/>
      <c r="J10" s="374"/>
      <c r="K10" s="374"/>
      <c r="L10" s="374"/>
      <c r="M10" s="374"/>
      <c r="N10" s="374"/>
      <c r="O10" s="374"/>
      <c r="P10" s="374"/>
      <c r="Q10" s="374"/>
      <c r="R10" s="374"/>
      <c r="S10" s="373" t="str">
        <f>IF(Indice_index!$Z$1=1,"2025","2025")</f>
        <v>2025</v>
      </c>
      <c r="T10" s="374"/>
      <c r="U10" s="374"/>
      <c r="V10" s="374"/>
      <c r="W10" s="374"/>
      <c r="X10" s="374"/>
      <c r="Y10" s="374"/>
      <c r="Z10" s="374"/>
      <c r="AA10" s="374"/>
      <c r="AB10" s="374"/>
      <c r="AC10" s="374"/>
      <c r="AD10" s="374"/>
      <c r="AE10" s="374"/>
    </row>
    <row r="11" spans="1:33" ht="26.85" customHeight="1">
      <c r="B11" s="373"/>
      <c r="C11" s="374"/>
      <c r="D11" s="389"/>
      <c r="E11" s="22" t="str">
        <f>IF(Indice_index!$Z$1=1,"jan","Jan")</f>
        <v>jan</v>
      </c>
      <c r="F11" s="22" t="str">
        <f>IF(Indice_index!$Z$1=1,"fev","Feb")</f>
        <v>fev</v>
      </c>
      <c r="G11" s="22" t="str">
        <f>IF(Indice_index!$Z$1=1,"mar","Mar")</f>
        <v>mar</v>
      </c>
      <c r="H11" s="22" t="str">
        <f>IF(Indice_index!$Z$1=1,"abr","Apr")</f>
        <v>abr</v>
      </c>
      <c r="I11" s="22" t="str">
        <f>IF(Indice_index!$Z$1=1,"mai","May")</f>
        <v>mai</v>
      </c>
      <c r="J11" s="22" t="str">
        <f>IF(Indice_index!$Z$1=1,"jun","Jun")</f>
        <v>jun</v>
      </c>
      <c r="K11" s="22" t="str">
        <f>IF(Indice_index!$Z$1=1,"jul","Jul")</f>
        <v>jul</v>
      </c>
      <c r="L11" s="22" t="str">
        <f>IF(Indice_index!$Z$1=1,"ago","Aug")</f>
        <v>ago</v>
      </c>
      <c r="M11" s="22" t="str">
        <f>IF(Indice_index!$Z$1=1,"set","Sep")</f>
        <v>set</v>
      </c>
      <c r="N11" s="22" t="str">
        <f>IF(Indice_index!$Z$1=1,"out","Oct")</f>
        <v>out</v>
      </c>
      <c r="O11" s="22" t="str">
        <f>IF(Indice_index!$Z$1=1,"nov","Nov")</f>
        <v>nov</v>
      </c>
      <c r="P11" s="22" t="str">
        <f>IF(Indice_index!$Z$1=1,"dez","Dec")</f>
        <v>dez</v>
      </c>
      <c r="Q11" s="22" t="str">
        <f>IF(Indice_index!$Z$1=1,"Ano até 
à data","Year to date")</f>
        <v>Ano até 
à data</v>
      </c>
      <c r="R11" s="22" t="str">
        <f>IF(Indice_index!$Z$1=1,"Acumulado","Cumulative")</f>
        <v>Acumulado</v>
      </c>
      <c r="S11" s="22" t="str">
        <f>IF(Indice_index!$Z$1=1,"jan","Jan")</f>
        <v>jan</v>
      </c>
      <c r="T11" s="22" t="str">
        <f>IF(Indice_index!$Z$1=1,"fev","Feb")</f>
        <v>fev</v>
      </c>
      <c r="U11" s="22" t="str">
        <f>IF(Indice_index!$Z$1=1,"mar","Mar")</f>
        <v>mar</v>
      </c>
      <c r="V11" s="22" t="str">
        <f>IF(Indice_index!$Z$1=1,"abr","Apr")</f>
        <v>abr</v>
      </c>
      <c r="W11" s="22" t="str">
        <f>IF(Indice_index!$Z$1=1,"mai","May")</f>
        <v>mai</v>
      </c>
      <c r="X11" s="22" t="str">
        <f>IF(Indice_index!$Z$1=1,"jun","Jun")</f>
        <v>jun</v>
      </c>
      <c r="Y11" s="22" t="str">
        <f>IF(Indice_index!$Z$1=1,"jul","Jul")</f>
        <v>jul</v>
      </c>
      <c r="Z11" s="22" t="str">
        <f>IF(Indice_index!$Z$1=1,"ago","Aug")</f>
        <v>ago</v>
      </c>
      <c r="AA11" s="22" t="str">
        <f>IF(Indice_index!$Z$1=1,"set","Sep")</f>
        <v>set</v>
      </c>
      <c r="AB11" s="22" t="str">
        <f>IF(Indice_index!$Z$1=1,"out","Oct")</f>
        <v>out</v>
      </c>
      <c r="AC11" s="22" t="str">
        <f>IF(Indice_index!$Z$1=1,"nov","Nov")</f>
        <v>nov</v>
      </c>
      <c r="AD11" s="22" t="str">
        <f>IF(Indice_index!$Z$1=1,"dez","Dec")</f>
        <v>dez</v>
      </c>
      <c r="AE11" s="22" t="str">
        <f>IF(Indice_index!$Z$1=1,"Acumulado","Cumulative")</f>
        <v>Acumulado</v>
      </c>
    </row>
    <row r="12" spans="1:33" ht="14.1" customHeight="1">
      <c r="B12" s="363" t="str">
        <f>IF(Indice_index!$Z$1=1,"Receita corrente","Current revenue")</f>
        <v>Receita corrente</v>
      </c>
      <c r="C12" s="363"/>
      <c r="D12" s="328"/>
      <c r="E12" s="329">
        <f t="shared" ref="E12:O12" si="0">+E13+E14+E16+E19+E15</f>
        <v>141.34810534000002</v>
      </c>
      <c r="F12" s="329">
        <f t="shared" si="0"/>
        <v>91.081173880000009</v>
      </c>
      <c r="G12" s="329">
        <f t="shared" si="0"/>
        <v>170.15859605999998</v>
      </c>
      <c r="H12" s="329">
        <f t="shared" si="0"/>
        <v>99.386283040000009</v>
      </c>
      <c r="I12" s="329">
        <f t="shared" si="0"/>
        <v>61.245916710000003</v>
      </c>
      <c r="J12" s="329">
        <f t="shared" si="0"/>
        <v>618.64403647999995</v>
      </c>
      <c r="K12" s="329">
        <f t="shared" si="0"/>
        <v>210.00492012999999</v>
      </c>
      <c r="L12" s="329">
        <f t="shared" si="0"/>
        <v>244.70980401</v>
      </c>
      <c r="M12" s="329">
        <f t="shared" si="0"/>
        <v>0.12863873000000001</v>
      </c>
      <c r="N12" s="329">
        <f t="shared" si="0"/>
        <v>646.09167851000007</v>
      </c>
      <c r="O12" s="329">
        <f t="shared" si="0"/>
        <v>18.229936410000001</v>
      </c>
      <c r="P12" s="329">
        <f>+P13+P14+P16+P19+P15</f>
        <v>191.40786911000001</v>
      </c>
      <c r="Q12" s="329">
        <f>+Q13+Q14+Q16+Q19+Q15</f>
        <v>1636.5788356500002</v>
      </c>
      <c r="R12" s="329">
        <f>+R13+R14+R16+R19+R15</f>
        <v>2492.4369584100004</v>
      </c>
      <c r="S12" s="329">
        <f>+S13+S14+S16+S19+S15</f>
        <v>146.22496056</v>
      </c>
      <c r="T12" s="329">
        <f t="shared" ref="T12:AD12" si="1">+T13+T14+T16+T19+T15</f>
        <v>116.73249326999999</v>
      </c>
      <c r="U12" s="329">
        <f>+U13+U14+U16+U19+U15</f>
        <v>189.85259667999998</v>
      </c>
      <c r="V12" s="329">
        <f>+V13+V14+V16+V19+V15</f>
        <v>123.75514601999998</v>
      </c>
      <c r="W12" s="329">
        <f t="shared" si="1"/>
        <v>673.30172317999995</v>
      </c>
      <c r="X12" s="329">
        <f t="shared" si="1"/>
        <v>202.47484295000004</v>
      </c>
      <c r="Y12" s="329">
        <f t="shared" si="1"/>
        <v>13.911911750000002</v>
      </c>
      <c r="Z12" s="329">
        <f t="shared" si="1"/>
        <v>0.74460828999999995</v>
      </c>
      <c r="AA12" s="329">
        <f t="shared" si="1"/>
        <v>0</v>
      </c>
      <c r="AB12" s="329">
        <f t="shared" si="1"/>
        <v>0</v>
      </c>
      <c r="AC12" s="329">
        <f t="shared" si="1"/>
        <v>0</v>
      </c>
      <c r="AD12" s="329">
        <f t="shared" si="1"/>
        <v>0</v>
      </c>
      <c r="AE12" s="329">
        <f>+AE13+AE14+AE16+AE19+AE15</f>
        <v>1466.9982826999999</v>
      </c>
    </row>
    <row r="13" spans="1:33" ht="14.1" customHeight="1">
      <c r="B13" s="357" t="str">
        <f>IF(Indice_index!$Z$1=1,"Impostos diretos ","Direct taxes")</f>
        <v xml:space="preserve">Impostos diretos </v>
      </c>
      <c r="C13" s="357"/>
      <c r="D13" s="330" t="s">
        <v>17</v>
      </c>
      <c r="E13" s="312">
        <f t="shared" ref="E13:N15" si="2">+SUMIF($D$54:$D$85,$D13,E$54:E$85)</f>
        <v>0.52537933000000003</v>
      </c>
      <c r="F13" s="312">
        <f t="shared" si="2"/>
        <v>-0.34765652000000002</v>
      </c>
      <c r="G13" s="312">
        <f t="shared" si="2"/>
        <v>0.36648025000000001</v>
      </c>
      <c r="H13" s="312">
        <f t="shared" si="2"/>
        <v>-0.43179037999999997</v>
      </c>
      <c r="I13" s="312">
        <f t="shared" si="2"/>
        <v>1.2889320099999999</v>
      </c>
      <c r="J13" s="312">
        <f t="shared" si="2"/>
        <v>188.41830282999999</v>
      </c>
      <c r="K13" s="312">
        <f t="shared" si="2"/>
        <v>0.26337708999999998</v>
      </c>
      <c r="L13" s="312">
        <f t="shared" si="2"/>
        <v>-0.62938136</v>
      </c>
      <c r="M13" s="312">
        <f t="shared" si="2"/>
        <v>6.0301979999999998E-2</v>
      </c>
      <c r="N13" s="312">
        <f t="shared" si="2"/>
        <v>636.39569486000005</v>
      </c>
      <c r="O13" s="312">
        <f t="shared" ref="O13:X15" si="3">+SUMIF($D$54:$D$85,$D13,O$54:O$85)</f>
        <v>4.1099700000000001E-3</v>
      </c>
      <c r="P13" s="312">
        <f>+SUMIF($D$54:$D$85,$D13,P$54:P$85)</f>
        <v>2.1154341900000002</v>
      </c>
      <c r="Q13" s="312">
        <f>+SUMIF($D$54:$D$85,$D13,Q$54:Q$85)</f>
        <v>189.45364325</v>
      </c>
      <c r="R13" s="312">
        <f>+SUMIF($D$54:$D$85,$D13,R$54:R$85)</f>
        <v>828.02918424999996</v>
      </c>
      <c r="S13" s="312">
        <f t="shared" si="3"/>
        <v>-0.86642496999999996</v>
      </c>
      <c r="T13" s="312">
        <f t="shared" si="3"/>
        <v>2.5368550700000001</v>
      </c>
      <c r="U13" s="312">
        <f t="shared" si="3"/>
        <v>-0.31989685000000001</v>
      </c>
      <c r="V13" s="312">
        <f t="shared" si="3"/>
        <v>0.42140464999999999</v>
      </c>
      <c r="W13" s="312">
        <f t="shared" si="3"/>
        <v>1.60903079</v>
      </c>
      <c r="X13" s="312">
        <f t="shared" si="3"/>
        <v>192.22887508000002</v>
      </c>
      <c r="Y13" s="312">
        <f t="shared" ref="Y13:AE15" si="4">+SUMIF($D$54:$D$85,$D13,Y$54:Y$85)</f>
        <v>1.77959552</v>
      </c>
      <c r="Z13" s="312">
        <f t="shared" si="4"/>
        <v>4.6878240000000002E-2</v>
      </c>
      <c r="AA13" s="312">
        <f t="shared" si="4"/>
        <v>0</v>
      </c>
      <c r="AB13" s="312">
        <f t="shared" si="4"/>
        <v>0</v>
      </c>
      <c r="AC13" s="312">
        <f t="shared" si="4"/>
        <v>0</v>
      </c>
      <c r="AD13" s="312">
        <f t="shared" si="4"/>
        <v>0</v>
      </c>
      <c r="AE13" s="312">
        <f>+SUMIF($D$54:$D$85,$D13,AE$54:AE$85)</f>
        <v>197.43631753</v>
      </c>
    </row>
    <row r="14" spans="1:33" ht="14.1" customHeight="1">
      <c r="B14" s="357" t="str">
        <f>IF(Indice_index!$Z$1=1,"Impostos indiretos","Indirect taxes")</f>
        <v>Impostos indiretos</v>
      </c>
      <c r="C14" s="357"/>
      <c r="D14" s="330" t="s">
        <v>18</v>
      </c>
      <c r="E14" s="312">
        <f t="shared" si="2"/>
        <v>91.818548010000001</v>
      </c>
      <c r="F14" s="312">
        <f t="shared" si="2"/>
        <v>91.42883040000001</v>
      </c>
      <c r="G14" s="312">
        <f t="shared" si="2"/>
        <v>85.494037480000003</v>
      </c>
      <c r="H14" s="312">
        <f t="shared" si="2"/>
        <v>99.818073420000005</v>
      </c>
      <c r="I14" s="312">
        <f t="shared" si="2"/>
        <v>59.9569847</v>
      </c>
      <c r="J14" s="312">
        <f t="shared" si="2"/>
        <v>1.157509E-2</v>
      </c>
      <c r="K14" s="312">
        <f t="shared" si="2"/>
        <v>9.7415430399999998</v>
      </c>
      <c r="L14" s="312">
        <f t="shared" si="2"/>
        <v>3.8519240000000003E-2</v>
      </c>
      <c r="M14" s="312">
        <f t="shared" si="2"/>
        <v>6.8336750000000002E-2</v>
      </c>
      <c r="N14" s="312">
        <f t="shared" si="2"/>
        <v>9.6959836499999987</v>
      </c>
      <c r="O14" s="312">
        <f t="shared" si="3"/>
        <v>4.9183589999999999E-2</v>
      </c>
      <c r="P14" s="312">
        <f t="shared" si="3"/>
        <v>-1.0826779999999999E-2</v>
      </c>
      <c r="Q14" s="312">
        <f>+SUMIF($D$54:$D$85,$D14,Q$54:Q$85)</f>
        <v>438.30811138000007</v>
      </c>
      <c r="R14" s="312">
        <f t="shared" si="3"/>
        <v>448.11078859000008</v>
      </c>
      <c r="S14" s="312">
        <f t="shared" si="3"/>
        <v>146.23523982999998</v>
      </c>
      <c r="T14" s="312">
        <f t="shared" si="3"/>
        <v>114.19563819999999</v>
      </c>
      <c r="U14" s="312">
        <f t="shared" si="3"/>
        <v>93.48991341</v>
      </c>
      <c r="V14" s="312">
        <f t="shared" si="3"/>
        <v>78.680950779999989</v>
      </c>
      <c r="W14" s="312">
        <f t="shared" si="3"/>
        <v>0.19269238999999999</v>
      </c>
      <c r="X14" s="312">
        <f t="shared" si="3"/>
        <v>9.8636110000000027E-2</v>
      </c>
      <c r="Y14" s="312">
        <f t="shared" si="4"/>
        <v>12.132316230000001</v>
      </c>
      <c r="Z14" s="312">
        <f t="shared" si="4"/>
        <v>0.69773004999999999</v>
      </c>
      <c r="AA14" s="312">
        <f t="shared" si="4"/>
        <v>0</v>
      </c>
      <c r="AB14" s="312">
        <f t="shared" si="4"/>
        <v>0</v>
      </c>
      <c r="AC14" s="312">
        <f t="shared" si="4"/>
        <v>0</v>
      </c>
      <c r="AD14" s="312">
        <f t="shared" si="4"/>
        <v>0</v>
      </c>
      <c r="AE14" s="312">
        <f>+SUMIF($D$54:$D$85,$D14,AE$54:AE$85)</f>
        <v>445.723117</v>
      </c>
    </row>
    <row r="15" spans="1:33" ht="14.1" customHeight="1">
      <c r="B15" s="357" t="str">
        <f>IF(Indice_index!$Z$1=1,"Contribuições para Segurança Social, CGA e ADSE","Social security, CGA and ADSE contributions")</f>
        <v>Contribuições para Segurança Social, CGA e ADSE</v>
      </c>
      <c r="C15" s="357"/>
      <c r="D15" s="330" t="s">
        <v>19</v>
      </c>
      <c r="E15" s="312">
        <f t="shared" si="2"/>
        <v>0</v>
      </c>
      <c r="F15" s="312">
        <f t="shared" si="2"/>
        <v>0</v>
      </c>
      <c r="G15" s="312">
        <f t="shared" si="2"/>
        <v>0</v>
      </c>
      <c r="H15" s="312">
        <f t="shared" si="2"/>
        <v>0</v>
      </c>
      <c r="I15" s="312">
        <f t="shared" si="2"/>
        <v>0</v>
      </c>
      <c r="J15" s="312">
        <f t="shared" si="2"/>
        <v>0</v>
      </c>
      <c r="K15" s="312">
        <f t="shared" si="2"/>
        <v>0</v>
      </c>
      <c r="L15" s="312">
        <f t="shared" si="2"/>
        <v>0</v>
      </c>
      <c r="M15" s="312">
        <f t="shared" si="2"/>
        <v>0</v>
      </c>
      <c r="N15" s="312">
        <f t="shared" si="2"/>
        <v>0</v>
      </c>
      <c r="O15" s="312">
        <f t="shared" si="3"/>
        <v>0</v>
      </c>
      <c r="P15" s="312">
        <f t="shared" si="3"/>
        <v>0</v>
      </c>
      <c r="Q15" s="312">
        <f>+SUMIF($D$54:$D$85,$D15,Q$54:Q$85)</f>
        <v>0</v>
      </c>
      <c r="R15" s="312">
        <f t="shared" si="3"/>
        <v>0</v>
      </c>
      <c r="S15" s="312">
        <f t="shared" si="3"/>
        <v>0</v>
      </c>
      <c r="T15" s="312">
        <f t="shared" si="3"/>
        <v>0</v>
      </c>
      <c r="U15" s="312">
        <f t="shared" si="3"/>
        <v>0</v>
      </c>
      <c r="V15" s="312">
        <f t="shared" si="3"/>
        <v>0</v>
      </c>
      <c r="W15" s="312">
        <f t="shared" si="3"/>
        <v>0</v>
      </c>
      <c r="X15" s="312">
        <f t="shared" si="3"/>
        <v>0</v>
      </c>
      <c r="Y15" s="312">
        <f t="shared" si="4"/>
        <v>0</v>
      </c>
      <c r="Z15" s="312">
        <f t="shared" si="4"/>
        <v>0</v>
      </c>
      <c r="AA15" s="312">
        <f t="shared" si="4"/>
        <v>0</v>
      </c>
      <c r="AB15" s="312">
        <f t="shared" si="4"/>
        <v>0</v>
      </c>
      <c r="AC15" s="312">
        <f t="shared" si="4"/>
        <v>0</v>
      </c>
      <c r="AD15" s="312">
        <f t="shared" si="4"/>
        <v>0</v>
      </c>
      <c r="AE15" s="312">
        <f t="shared" si="4"/>
        <v>0</v>
      </c>
    </row>
    <row r="16" spans="1:33" ht="14.1" customHeight="1">
      <c r="B16" s="357" t="str">
        <f>IF(Indice_index!$Z$1=1,"Transferências correntes","Current transfers")</f>
        <v>Transferências correntes</v>
      </c>
      <c r="C16" s="357"/>
      <c r="D16" s="330" t="s">
        <v>20</v>
      </c>
      <c r="E16" s="312">
        <f t="shared" ref="E16:AE16" si="5">+E17+E18</f>
        <v>0</v>
      </c>
      <c r="F16" s="312">
        <f t="shared" si="5"/>
        <v>0</v>
      </c>
      <c r="G16" s="312">
        <f t="shared" si="5"/>
        <v>0</v>
      </c>
      <c r="H16" s="312">
        <f t="shared" si="5"/>
        <v>0</v>
      </c>
      <c r="I16" s="312">
        <f t="shared" si="5"/>
        <v>0</v>
      </c>
      <c r="J16" s="312">
        <f t="shared" si="5"/>
        <v>0</v>
      </c>
      <c r="K16" s="312">
        <f t="shared" si="5"/>
        <v>0</v>
      </c>
      <c r="L16" s="312">
        <f t="shared" si="5"/>
        <v>0</v>
      </c>
      <c r="M16" s="312">
        <f t="shared" si="5"/>
        <v>0</v>
      </c>
      <c r="N16" s="312">
        <f t="shared" si="5"/>
        <v>0</v>
      </c>
      <c r="O16" s="312">
        <f t="shared" si="5"/>
        <v>0</v>
      </c>
      <c r="P16" s="312">
        <f t="shared" si="5"/>
        <v>0</v>
      </c>
      <c r="Q16" s="312">
        <f t="shared" si="5"/>
        <v>0</v>
      </c>
      <c r="R16" s="312">
        <f t="shared" si="5"/>
        <v>0</v>
      </c>
      <c r="S16" s="312">
        <f t="shared" si="5"/>
        <v>0</v>
      </c>
      <c r="T16" s="312">
        <f t="shared" si="5"/>
        <v>0</v>
      </c>
      <c r="U16" s="312">
        <f t="shared" si="5"/>
        <v>0</v>
      </c>
      <c r="V16" s="312">
        <f t="shared" si="5"/>
        <v>0</v>
      </c>
      <c r="W16" s="312">
        <f t="shared" si="5"/>
        <v>0</v>
      </c>
      <c r="X16" s="312">
        <f t="shared" si="5"/>
        <v>0</v>
      </c>
      <c r="Y16" s="312">
        <f t="shared" si="5"/>
        <v>0</v>
      </c>
      <c r="Z16" s="312">
        <f t="shared" si="5"/>
        <v>0</v>
      </c>
      <c r="AA16" s="312">
        <f t="shared" si="5"/>
        <v>0</v>
      </c>
      <c r="AB16" s="312">
        <f t="shared" si="5"/>
        <v>0</v>
      </c>
      <c r="AC16" s="312">
        <f t="shared" si="5"/>
        <v>0</v>
      </c>
      <c r="AD16" s="312">
        <f t="shared" si="5"/>
        <v>0</v>
      </c>
      <c r="AE16" s="312">
        <f t="shared" si="5"/>
        <v>0</v>
      </c>
    </row>
    <row r="17" spans="2:31" ht="14.1" customHeight="1">
      <c r="B17" s="359" t="str">
        <f>IF(Indice_index!$Z$1=1,"Administrações Públicas","General Government subsectors")</f>
        <v>Administrações Públicas</v>
      </c>
      <c r="C17" s="359"/>
      <c r="D17" s="330" t="s">
        <v>21</v>
      </c>
      <c r="E17" s="312">
        <f t="shared" ref="E17:N19" si="6">+SUMIF($D$54:$D$85,$D17,E$54:E$85)</f>
        <v>0</v>
      </c>
      <c r="F17" s="312">
        <f t="shared" si="6"/>
        <v>0</v>
      </c>
      <c r="G17" s="312">
        <f t="shared" si="6"/>
        <v>0</v>
      </c>
      <c r="H17" s="312">
        <f t="shared" si="6"/>
        <v>0</v>
      </c>
      <c r="I17" s="312">
        <f t="shared" si="6"/>
        <v>0</v>
      </c>
      <c r="J17" s="312">
        <f t="shared" si="6"/>
        <v>0</v>
      </c>
      <c r="K17" s="312">
        <f t="shared" si="6"/>
        <v>0</v>
      </c>
      <c r="L17" s="312">
        <f t="shared" si="6"/>
        <v>0</v>
      </c>
      <c r="M17" s="312">
        <f t="shared" si="6"/>
        <v>0</v>
      </c>
      <c r="N17" s="312">
        <f t="shared" si="6"/>
        <v>0</v>
      </c>
      <c r="O17" s="312">
        <f t="shared" ref="O17:X19" si="7">+SUMIF($D$54:$D$85,$D17,O$54:O$85)</f>
        <v>0</v>
      </c>
      <c r="P17" s="312">
        <f t="shared" si="7"/>
        <v>0</v>
      </c>
      <c r="Q17" s="312">
        <f t="shared" si="7"/>
        <v>0</v>
      </c>
      <c r="R17" s="312">
        <f t="shared" si="7"/>
        <v>0</v>
      </c>
      <c r="S17" s="312">
        <f t="shared" si="7"/>
        <v>0</v>
      </c>
      <c r="T17" s="312">
        <f t="shared" si="7"/>
        <v>0</v>
      </c>
      <c r="U17" s="312">
        <f t="shared" si="7"/>
        <v>0</v>
      </c>
      <c r="V17" s="312">
        <f t="shared" si="7"/>
        <v>0</v>
      </c>
      <c r="W17" s="312">
        <f t="shared" si="7"/>
        <v>0</v>
      </c>
      <c r="X17" s="312">
        <f t="shared" si="7"/>
        <v>0</v>
      </c>
      <c r="Y17" s="312">
        <f t="shared" ref="Y17:AE19" si="8">+SUMIF($D$54:$D$85,$D17,Y$54:Y$85)</f>
        <v>0</v>
      </c>
      <c r="Z17" s="312">
        <f t="shared" si="8"/>
        <v>0</v>
      </c>
      <c r="AA17" s="312">
        <f t="shared" si="8"/>
        <v>0</v>
      </c>
      <c r="AB17" s="312">
        <f t="shared" si="8"/>
        <v>0</v>
      </c>
      <c r="AC17" s="312">
        <f t="shared" si="8"/>
        <v>0</v>
      </c>
      <c r="AD17" s="312">
        <f t="shared" si="8"/>
        <v>0</v>
      </c>
      <c r="AE17" s="312">
        <f t="shared" si="8"/>
        <v>0</v>
      </c>
    </row>
    <row r="18" spans="2:31" ht="14.1" customHeight="1">
      <c r="B18" s="359" t="str">
        <f>IF(Indice_index!$Z$1=1,"Outras","Others")</f>
        <v>Outras</v>
      </c>
      <c r="C18" s="359"/>
      <c r="D18" s="330" t="s">
        <v>22</v>
      </c>
      <c r="E18" s="312">
        <f t="shared" si="6"/>
        <v>0</v>
      </c>
      <c r="F18" s="312">
        <f t="shared" si="6"/>
        <v>0</v>
      </c>
      <c r="G18" s="312">
        <f t="shared" si="6"/>
        <v>0</v>
      </c>
      <c r="H18" s="312">
        <f t="shared" si="6"/>
        <v>0</v>
      </c>
      <c r="I18" s="312">
        <f t="shared" si="6"/>
        <v>0</v>
      </c>
      <c r="J18" s="312">
        <f t="shared" si="6"/>
        <v>0</v>
      </c>
      <c r="K18" s="312">
        <f t="shared" si="6"/>
        <v>0</v>
      </c>
      <c r="L18" s="312">
        <f t="shared" si="6"/>
        <v>0</v>
      </c>
      <c r="M18" s="312">
        <f t="shared" si="6"/>
        <v>0</v>
      </c>
      <c r="N18" s="312">
        <f t="shared" si="6"/>
        <v>0</v>
      </c>
      <c r="O18" s="312">
        <f t="shared" si="7"/>
        <v>0</v>
      </c>
      <c r="P18" s="312">
        <f t="shared" si="7"/>
        <v>0</v>
      </c>
      <c r="Q18" s="312">
        <f t="shared" si="7"/>
        <v>0</v>
      </c>
      <c r="R18" s="312">
        <f t="shared" si="7"/>
        <v>0</v>
      </c>
      <c r="S18" s="312">
        <f t="shared" si="7"/>
        <v>0</v>
      </c>
      <c r="T18" s="312">
        <f t="shared" si="7"/>
        <v>0</v>
      </c>
      <c r="U18" s="312">
        <f t="shared" si="7"/>
        <v>0</v>
      </c>
      <c r="V18" s="312">
        <f t="shared" si="7"/>
        <v>0</v>
      </c>
      <c r="W18" s="312">
        <f t="shared" si="7"/>
        <v>0</v>
      </c>
      <c r="X18" s="312">
        <f t="shared" si="7"/>
        <v>0</v>
      </c>
      <c r="Y18" s="312">
        <f t="shared" si="8"/>
        <v>0</v>
      </c>
      <c r="Z18" s="312">
        <f t="shared" si="8"/>
        <v>0</v>
      </c>
      <c r="AA18" s="312">
        <f t="shared" si="8"/>
        <v>0</v>
      </c>
      <c r="AB18" s="312">
        <f t="shared" si="8"/>
        <v>0</v>
      </c>
      <c r="AC18" s="312">
        <f t="shared" si="8"/>
        <v>0</v>
      </c>
      <c r="AD18" s="312">
        <f t="shared" si="8"/>
        <v>0</v>
      </c>
      <c r="AE18" s="312">
        <f t="shared" si="8"/>
        <v>0</v>
      </c>
    </row>
    <row r="19" spans="2:31" ht="14.1" customHeight="1">
      <c r="B19" s="357" t="str">
        <f>IF(Indice_index!$Z$1=1,"Outras receitas correntes","Other current revenue")</f>
        <v>Outras receitas correntes</v>
      </c>
      <c r="C19" s="357"/>
      <c r="D19" s="330" t="s">
        <v>23</v>
      </c>
      <c r="E19" s="312">
        <f t="shared" si="6"/>
        <v>49.004178000000003</v>
      </c>
      <c r="F19" s="312">
        <f t="shared" si="6"/>
        <v>0</v>
      </c>
      <c r="G19" s="312">
        <f t="shared" si="6"/>
        <v>84.298078329999996</v>
      </c>
      <c r="H19" s="312">
        <f t="shared" si="6"/>
        <v>0</v>
      </c>
      <c r="I19" s="312">
        <f t="shared" si="6"/>
        <v>0</v>
      </c>
      <c r="J19" s="312">
        <f t="shared" si="6"/>
        <v>430.21415855999999</v>
      </c>
      <c r="K19" s="312">
        <f t="shared" si="6"/>
        <v>200</v>
      </c>
      <c r="L19" s="312">
        <f t="shared" si="6"/>
        <v>245.30066613</v>
      </c>
      <c r="M19" s="312">
        <f t="shared" si="6"/>
        <v>0</v>
      </c>
      <c r="N19" s="312">
        <f t="shared" si="6"/>
        <v>0</v>
      </c>
      <c r="O19" s="312">
        <f t="shared" si="7"/>
        <v>18.17664285</v>
      </c>
      <c r="P19" s="312">
        <f t="shared" si="7"/>
        <v>189.30326170000001</v>
      </c>
      <c r="Q19" s="312">
        <f t="shared" si="7"/>
        <v>1008.81708102</v>
      </c>
      <c r="R19" s="312">
        <f t="shared" si="7"/>
        <v>1216.2969855700003</v>
      </c>
      <c r="S19" s="312">
        <f t="shared" si="7"/>
        <v>0.85614570000000001</v>
      </c>
      <c r="T19" s="312">
        <f t="shared" si="7"/>
        <v>0</v>
      </c>
      <c r="U19" s="312">
        <f t="shared" si="7"/>
        <v>96.682580119999997</v>
      </c>
      <c r="V19" s="312">
        <f t="shared" si="7"/>
        <v>44.652790590000002</v>
      </c>
      <c r="W19" s="312">
        <f t="shared" si="7"/>
        <v>671.5</v>
      </c>
      <c r="X19" s="312">
        <f t="shared" si="7"/>
        <v>10.14733176</v>
      </c>
      <c r="Y19" s="312">
        <f t="shared" si="8"/>
        <v>0</v>
      </c>
      <c r="Z19" s="312">
        <f t="shared" si="8"/>
        <v>0</v>
      </c>
      <c r="AA19" s="312">
        <f t="shared" si="8"/>
        <v>0</v>
      </c>
      <c r="AB19" s="312">
        <f t="shared" si="8"/>
        <v>0</v>
      </c>
      <c r="AC19" s="312">
        <f t="shared" si="8"/>
        <v>0</v>
      </c>
      <c r="AD19" s="312">
        <f t="shared" si="8"/>
        <v>0</v>
      </c>
      <c r="AE19" s="312">
        <f t="shared" si="8"/>
        <v>823.83884817000001</v>
      </c>
    </row>
    <row r="20" spans="2:31" ht="14.1" customHeight="1">
      <c r="B20" s="363" t="str">
        <f>IF(Indice_index!$Z$1=1,"Receita de capital","Capital revenue")</f>
        <v>Receita de capital</v>
      </c>
      <c r="C20" s="363"/>
      <c r="D20" s="331"/>
      <c r="E20" s="329">
        <f t="shared" ref="E20:AE20" si="9">+E21+E22+E25</f>
        <v>0</v>
      </c>
      <c r="F20" s="329">
        <f t="shared" si="9"/>
        <v>0</v>
      </c>
      <c r="G20" s="329">
        <f t="shared" si="9"/>
        <v>0</v>
      </c>
      <c r="H20" s="329">
        <f t="shared" si="9"/>
        <v>2.9249999999999998</v>
      </c>
      <c r="I20" s="329">
        <f t="shared" si="9"/>
        <v>0</v>
      </c>
      <c r="J20" s="329">
        <f t="shared" si="9"/>
        <v>134.62822305</v>
      </c>
      <c r="K20" s="329">
        <f t="shared" si="9"/>
        <v>0</v>
      </c>
      <c r="L20" s="329">
        <f t="shared" si="9"/>
        <v>0</v>
      </c>
      <c r="M20" s="329">
        <f t="shared" si="9"/>
        <v>0</v>
      </c>
      <c r="N20" s="329">
        <f t="shared" si="9"/>
        <v>0</v>
      </c>
      <c r="O20" s="329">
        <f t="shared" si="9"/>
        <v>0</v>
      </c>
      <c r="P20" s="329">
        <f t="shared" si="9"/>
        <v>0</v>
      </c>
      <c r="Q20" s="329">
        <f t="shared" si="9"/>
        <v>137.55322305000001</v>
      </c>
      <c r="R20" s="329">
        <f t="shared" si="9"/>
        <v>137.55322305000001</v>
      </c>
      <c r="S20" s="329">
        <f t="shared" si="9"/>
        <v>0</v>
      </c>
      <c r="T20" s="329">
        <f t="shared" si="9"/>
        <v>0</v>
      </c>
      <c r="U20" s="329">
        <f t="shared" si="9"/>
        <v>0</v>
      </c>
      <c r="V20" s="329">
        <f t="shared" si="9"/>
        <v>0</v>
      </c>
      <c r="W20" s="329">
        <f t="shared" si="9"/>
        <v>0</v>
      </c>
      <c r="X20" s="329">
        <f t="shared" si="9"/>
        <v>0</v>
      </c>
      <c r="Y20" s="329">
        <f t="shared" si="9"/>
        <v>0</v>
      </c>
      <c r="Z20" s="329">
        <f t="shared" si="9"/>
        <v>0</v>
      </c>
      <c r="AA20" s="329">
        <f t="shared" si="9"/>
        <v>0</v>
      </c>
      <c r="AB20" s="329">
        <f t="shared" si="9"/>
        <v>0</v>
      </c>
      <c r="AC20" s="329">
        <f t="shared" si="9"/>
        <v>0</v>
      </c>
      <c r="AD20" s="329">
        <f t="shared" si="9"/>
        <v>0</v>
      </c>
      <c r="AE20" s="329">
        <f t="shared" si="9"/>
        <v>0</v>
      </c>
    </row>
    <row r="21" spans="2:31" ht="14.1" customHeight="1">
      <c r="B21" s="357" t="str">
        <f>IF(Indice_index!$Z$1=1,"Venda de bens de investimento","Sale of investment good")</f>
        <v>Venda de bens de investimento</v>
      </c>
      <c r="C21" s="357"/>
      <c r="D21" s="330" t="s">
        <v>24</v>
      </c>
      <c r="E21" s="312">
        <f t="shared" ref="E21:AE21" si="10">+SUMIF($D$54:$D$85,$D21,E$54:E$85)</f>
        <v>0</v>
      </c>
      <c r="F21" s="312">
        <f t="shared" si="10"/>
        <v>0</v>
      </c>
      <c r="G21" s="312">
        <f t="shared" si="10"/>
        <v>0</v>
      </c>
      <c r="H21" s="312">
        <f t="shared" si="10"/>
        <v>2.9249999999999998</v>
      </c>
      <c r="I21" s="312">
        <f t="shared" si="10"/>
        <v>0</v>
      </c>
      <c r="J21" s="312">
        <f t="shared" si="10"/>
        <v>0</v>
      </c>
      <c r="K21" s="312">
        <f t="shared" si="10"/>
        <v>0</v>
      </c>
      <c r="L21" s="312">
        <f t="shared" si="10"/>
        <v>0</v>
      </c>
      <c r="M21" s="312">
        <f t="shared" si="10"/>
        <v>0</v>
      </c>
      <c r="N21" s="312">
        <f t="shared" si="10"/>
        <v>0</v>
      </c>
      <c r="O21" s="312">
        <f t="shared" si="10"/>
        <v>0</v>
      </c>
      <c r="P21" s="312">
        <f t="shared" si="10"/>
        <v>0</v>
      </c>
      <c r="Q21" s="312">
        <f t="shared" si="10"/>
        <v>2.9249999999999998</v>
      </c>
      <c r="R21" s="312">
        <f t="shared" si="10"/>
        <v>2.9249999999999998</v>
      </c>
      <c r="S21" s="312">
        <f t="shared" si="10"/>
        <v>0</v>
      </c>
      <c r="T21" s="312">
        <f t="shared" si="10"/>
        <v>0</v>
      </c>
      <c r="U21" s="312">
        <f t="shared" si="10"/>
        <v>0</v>
      </c>
      <c r="V21" s="312">
        <f t="shared" si="10"/>
        <v>0</v>
      </c>
      <c r="W21" s="312">
        <f t="shared" si="10"/>
        <v>0</v>
      </c>
      <c r="X21" s="312">
        <f t="shared" si="10"/>
        <v>0</v>
      </c>
      <c r="Y21" s="312">
        <f t="shared" si="10"/>
        <v>0</v>
      </c>
      <c r="Z21" s="312">
        <f t="shared" si="10"/>
        <v>0</v>
      </c>
      <c r="AA21" s="312">
        <f t="shared" si="10"/>
        <v>0</v>
      </c>
      <c r="AB21" s="312">
        <f t="shared" si="10"/>
        <v>0</v>
      </c>
      <c r="AC21" s="312">
        <f t="shared" si="10"/>
        <v>0</v>
      </c>
      <c r="AD21" s="312">
        <f t="shared" si="10"/>
        <v>0</v>
      </c>
      <c r="AE21" s="312">
        <f t="shared" si="10"/>
        <v>0</v>
      </c>
    </row>
    <row r="22" spans="2:31" ht="14.1" customHeight="1">
      <c r="B22" s="357" t="str">
        <f>IF(Indice_index!$Z$1=1,"Transferências de capital","Capital transfers")</f>
        <v>Transferências de capital</v>
      </c>
      <c r="C22" s="357"/>
      <c r="D22" s="330" t="s">
        <v>25</v>
      </c>
      <c r="E22" s="312">
        <f t="shared" ref="E22:AE22" si="11">+E23+E24</f>
        <v>0</v>
      </c>
      <c r="F22" s="312">
        <f t="shared" si="11"/>
        <v>0</v>
      </c>
      <c r="G22" s="312">
        <f t="shared" si="11"/>
        <v>0</v>
      </c>
      <c r="H22" s="312">
        <f t="shared" si="11"/>
        <v>0</v>
      </c>
      <c r="I22" s="312">
        <f t="shared" si="11"/>
        <v>0</v>
      </c>
      <c r="J22" s="312">
        <f t="shared" si="11"/>
        <v>0</v>
      </c>
      <c r="K22" s="312">
        <f t="shared" si="11"/>
        <v>0</v>
      </c>
      <c r="L22" s="312">
        <f t="shared" si="11"/>
        <v>0</v>
      </c>
      <c r="M22" s="312">
        <f t="shared" si="11"/>
        <v>0</v>
      </c>
      <c r="N22" s="312">
        <f t="shared" si="11"/>
        <v>0</v>
      </c>
      <c r="O22" s="312">
        <f t="shared" si="11"/>
        <v>0</v>
      </c>
      <c r="P22" s="312">
        <f t="shared" si="11"/>
        <v>0</v>
      </c>
      <c r="Q22" s="312">
        <f t="shared" si="11"/>
        <v>0</v>
      </c>
      <c r="R22" s="312">
        <f t="shared" si="11"/>
        <v>0</v>
      </c>
      <c r="S22" s="312">
        <f t="shared" si="11"/>
        <v>0</v>
      </c>
      <c r="T22" s="312">
        <f t="shared" si="11"/>
        <v>0</v>
      </c>
      <c r="U22" s="312">
        <f t="shared" si="11"/>
        <v>0</v>
      </c>
      <c r="V22" s="312">
        <f t="shared" si="11"/>
        <v>0</v>
      </c>
      <c r="W22" s="312">
        <f t="shared" si="11"/>
        <v>0</v>
      </c>
      <c r="X22" s="312">
        <f t="shared" si="11"/>
        <v>0</v>
      </c>
      <c r="Y22" s="312">
        <f t="shared" si="11"/>
        <v>0</v>
      </c>
      <c r="Z22" s="312">
        <f t="shared" si="11"/>
        <v>0</v>
      </c>
      <c r="AA22" s="312">
        <f t="shared" si="11"/>
        <v>0</v>
      </c>
      <c r="AB22" s="312">
        <f t="shared" si="11"/>
        <v>0</v>
      </c>
      <c r="AC22" s="312">
        <f t="shared" si="11"/>
        <v>0</v>
      </c>
      <c r="AD22" s="312">
        <f t="shared" si="11"/>
        <v>0</v>
      </c>
      <c r="AE22" s="312">
        <f t="shared" si="11"/>
        <v>0</v>
      </c>
    </row>
    <row r="23" spans="2:31" ht="14.1" customHeight="1">
      <c r="B23" s="359" t="str">
        <f>IF(Indice_index!$Z$1=1,"Administrações Públicas","General Government subsectors")</f>
        <v>Administrações Públicas</v>
      </c>
      <c r="C23" s="359"/>
      <c r="D23" s="330" t="s">
        <v>26</v>
      </c>
      <c r="E23" s="312">
        <f t="shared" ref="E23:N25" si="12">+SUMIF($D$54:$D$85,$D23,E$54:E$85)</f>
        <v>0</v>
      </c>
      <c r="F23" s="312">
        <f t="shared" si="12"/>
        <v>0</v>
      </c>
      <c r="G23" s="312">
        <f t="shared" si="12"/>
        <v>0</v>
      </c>
      <c r="H23" s="312">
        <f t="shared" si="12"/>
        <v>0</v>
      </c>
      <c r="I23" s="312">
        <f t="shared" si="12"/>
        <v>0</v>
      </c>
      <c r="J23" s="312">
        <f t="shared" si="12"/>
        <v>0</v>
      </c>
      <c r="K23" s="312">
        <f t="shared" si="12"/>
        <v>0</v>
      </c>
      <c r="L23" s="312">
        <f t="shared" si="12"/>
        <v>0</v>
      </c>
      <c r="M23" s="312">
        <f t="shared" si="12"/>
        <v>0</v>
      </c>
      <c r="N23" s="312">
        <f t="shared" si="12"/>
        <v>0</v>
      </c>
      <c r="O23" s="312">
        <f t="shared" ref="O23:X25" si="13">+SUMIF($D$54:$D$85,$D23,O$54:O$85)</f>
        <v>0</v>
      </c>
      <c r="P23" s="312">
        <f t="shared" si="13"/>
        <v>0</v>
      </c>
      <c r="Q23" s="312">
        <f t="shared" si="13"/>
        <v>0</v>
      </c>
      <c r="R23" s="312">
        <f t="shared" si="13"/>
        <v>0</v>
      </c>
      <c r="S23" s="312">
        <f t="shared" si="13"/>
        <v>0</v>
      </c>
      <c r="T23" s="312">
        <f t="shared" si="13"/>
        <v>0</v>
      </c>
      <c r="U23" s="312">
        <f t="shared" si="13"/>
        <v>0</v>
      </c>
      <c r="V23" s="312">
        <f t="shared" si="13"/>
        <v>0</v>
      </c>
      <c r="W23" s="312">
        <f t="shared" si="13"/>
        <v>0</v>
      </c>
      <c r="X23" s="312">
        <f t="shared" si="13"/>
        <v>0</v>
      </c>
      <c r="Y23" s="312">
        <f t="shared" ref="Y23:AE25" si="14">+SUMIF($D$54:$D$85,$D23,Y$54:Y$85)</f>
        <v>0</v>
      </c>
      <c r="Z23" s="312">
        <f t="shared" si="14"/>
        <v>0</v>
      </c>
      <c r="AA23" s="312">
        <f t="shared" si="14"/>
        <v>0</v>
      </c>
      <c r="AB23" s="312">
        <f t="shared" si="14"/>
        <v>0</v>
      </c>
      <c r="AC23" s="312">
        <f t="shared" si="14"/>
        <v>0</v>
      </c>
      <c r="AD23" s="312">
        <f t="shared" si="14"/>
        <v>0</v>
      </c>
      <c r="AE23" s="312">
        <f t="shared" si="14"/>
        <v>0</v>
      </c>
    </row>
    <row r="24" spans="2:31" ht="14.1" customHeight="1">
      <c r="B24" s="359" t="str">
        <f>IF(Indice_index!$Z$1=1,"Outras","Others")</f>
        <v>Outras</v>
      </c>
      <c r="C24" s="359"/>
      <c r="D24" s="330" t="s">
        <v>27</v>
      </c>
      <c r="E24" s="312">
        <f t="shared" si="12"/>
        <v>0</v>
      </c>
      <c r="F24" s="312">
        <f t="shared" si="12"/>
        <v>0</v>
      </c>
      <c r="G24" s="312">
        <f t="shared" si="12"/>
        <v>0</v>
      </c>
      <c r="H24" s="312">
        <f t="shared" si="12"/>
        <v>0</v>
      </c>
      <c r="I24" s="312">
        <f t="shared" si="12"/>
        <v>0</v>
      </c>
      <c r="J24" s="312">
        <f t="shared" si="12"/>
        <v>0</v>
      </c>
      <c r="K24" s="312">
        <f t="shared" si="12"/>
        <v>0</v>
      </c>
      <c r="L24" s="312">
        <f t="shared" si="12"/>
        <v>0</v>
      </c>
      <c r="M24" s="312">
        <f t="shared" si="12"/>
        <v>0</v>
      </c>
      <c r="N24" s="312">
        <f t="shared" si="12"/>
        <v>0</v>
      </c>
      <c r="O24" s="312">
        <f t="shared" si="13"/>
        <v>0</v>
      </c>
      <c r="P24" s="312">
        <f t="shared" si="13"/>
        <v>0</v>
      </c>
      <c r="Q24" s="312">
        <f t="shared" si="13"/>
        <v>0</v>
      </c>
      <c r="R24" s="312">
        <f t="shared" si="13"/>
        <v>0</v>
      </c>
      <c r="S24" s="312">
        <f t="shared" si="13"/>
        <v>0</v>
      </c>
      <c r="T24" s="312">
        <f t="shared" si="13"/>
        <v>0</v>
      </c>
      <c r="U24" s="312">
        <f t="shared" si="13"/>
        <v>0</v>
      </c>
      <c r="V24" s="312">
        <f t="shared" si="13"/>
        <v>0</v>
      </c>
      <c r="W24" s="312">
        <f t="shared" si="13"/>
        <v>0</v>
      </c>
      <c r="X24" s="312">
        <f t="shared" si="13"/>
        <v>0</v>
      </c>
      <c r="Y24" s="312">
        <f t="shared" si="14"/>
        <v>0</v>
      </c>
      <c r="Z24" s="312">
        <f t="shared" si="14"/>
        <v>0</v>
      </c>
      <c r="AA24" s="312">
        <f t="shared" si="14"/>
        <v>0</v>
      </c>
      <c r="AB24" s="312">
        <f t="shared" si="14"/>
        <v>0</v>
      </c>
      <c r="AC24" s="312">
        <f t="shared" si="14"/>
        <v>0</v>
      </c>
      <c r="AD24" s="312">
        <f t="shared" si="14"/>
        <v>0</v>
      </c>
      <c r="AE24" s="312">
        <f t="shared" si="14"/>
        <v>0</v>
      </c>
    </row>
    <row r="25" spans="2:31" ht="14.1" customHeight="1">
      <c r="B25" s="357" t="str">
        <f>IF(Indice_index!$Z$1=1,"Outras receitas de capital","Other capital revenue")</f>
        <v>Outras receitas de capital</v>
      </c>
      <c r="C25" s="357"/>
      <c r="D25" s="330" t="s">
        <v>28</v>
      </c>
      <c r="E25" s="312">
        <f t="shared" si="12"/>
        <v>0</v>
      </c>
      <c r="F25" s="312">
        <f t="shared" si="12"/>
        <v>0</v>
      </c>
      <c r="G25" s="312">
        <f t="shared" si="12"/>
        <v>0</v>
      </c>
      <c r="H25" s="312">
        <f t="shared" si="12"/>
        <v>0</v>
      </c>
      <c r="I25" s="312">
        <f t="shared" si="12"/>
        <v>0</v>
      </c>
      <c r="J25" s="312">
        <f t="shared" si="12"/>
        <v>134.62822305</v>
      </c>
      <c r="K25" s="312">
        <f t="shared" si="12"/>
        <v>0</v>
      </c>
      <c r="L25" s="312">
        <f t="shared" si="12"/>
        <v>0</v>
      </c>
      <c r="M25" s="312">
        <f t="shared" si="12"/>
        <v>0</v>
      </c>
      <c r="N25" s="312">
        <f t="shared" si="12"/>
        <v>0</v>
      </c>
      <c r="O25" s="312">
        <f t="shared" si="13"/>
        <v>0</v>
      </c>
      <c r="P25" s="312">
        <f t="shared" si="13"/>
        <v>0</v>
      </c>
      <c r="Q25" s="312">
        <f>+SUMIF($D$54:$D$85,$D25,Q$54:Q$85)</f>
        <v>134.62822305</v>
      </c>
      <c r="R25" s="312">
        <f t="shared" si="13"/>
        <v>134.62822305</v>
      </c>
      <c r="S25" s="312">
        <f t="shared" si="13"/>
        <v>0</v>
      </c>
      <c r="T25" s="312">
        <f t="shared" si="13"/>
        <v>0</v>
      </c>
      <c r="U25" s="312">
        <f t="shared" si="13"/>
        <v>0</v>
      </c>
      <c r="V25" s="312">
        <f t="shared" si="13"/>
        <v>0</v>
      </c>
      <c r="W25" s="312">
        <f t="shared" si="13"/>
        <v>0</v>
      </c>
      <c r="X25" s="312">
        <f t="shared" si="13"/>
        <v>0</v>
      </c>
      <c r="Y25" s="312">
        <f t="shared" si="14"/>
        <v>0</v>
      </c>
      <c r="Z25" s="312">
        <f t="shared" si="14"/>
        <v>0</v>
      </c>
      <c r="AA25" s="312">
        <f t="shared" si="14"/>
        <v>0</v>
      </c>
      <c r="AB25" s="312">
        <f t="shared" si="14"/>
        <v>0</v>
      </c>
      <c r="AC25" s="312">
        <f t="shared" si="14"/>
        <v>0</v>
      </c>
      <c r="AD25" s="312">
        <f t="shared" si="14"/>
        <v>0</v>
      </c>
      <c r="AE25" s="312">
        <f t="shared" si="14"/>
        <v>0</v>
      </c>
    </row>
    <row r="26" spans="2:31" ht="14.1" customHeight="1">
      <c r="B26" s="455" t="str">
        <f>IF(Indice_index!$Z$1=1,"Receita efetiva","Effective revenue")</f>
        <v>Receita efetiva</v>
      </c>
      <c r="C26" s="456"/>
      <c r="D26" s="107"/>
      <c r="E26" s="108">
        <f t="shared" ref="E26:AE26" si="15">+E12+E20</f>
        <v>141.34810534000002</v>
      </c>
      <c r="F26" s="108">
        <f t="shared" si="15"/>
        <v>91.081173880000009</v>
      </c>
      <c r="G26" s="108">
        <f t="shared" si="15"/>
        <v>170.15859605999998</v>
      </c>
      <c r="H26" s="108">
        <f t="shared" si="15"/>
        <v>102.31128304000001</v>
      </c>
      <c r="I26" s="108">
        <f t="shared" si="15"/>
        <v>61.245916710000003</v>
      </c>
      <c r="J26" s="108">
        <f t="shared" si="15"/>
        <v>753.27225952999993</v>
      </c>
      <c r="K26" s="108">
        <f t="shared" si="15"/>
        <v>210.00492012999999</v>
      </c>
      <c r="L26" s="108">
        <f t="shared" si="15"/>
        <v>244.70980401</v>
      </c>
      <c r="M26" s="108">
        <f t="shared" si="15"/>
        <v>0.12863873000000001</v>
      </c>
      <c r="N26" s="108">
        <f t="shared" si="15"/>
        <v>646.09167851000007</v>
      </c>
      <c r="O26" s="108">
        <f t="shared" si="15"/>
        <v>18.229936410000001</v>
      </c>
      <c r="P26" s="108">
        <f>+P12+P20</f>
        <v>191.40786911000001</v>
      </c>
      <c r="Q26" s="108">
        <f t="shared" si="15"/>
        <v>1774.1320587000002</v>
      </c>
      <c r="R26" s="108">
        <f t="shared" si="15"/>
        <v>2629.9901814600003</v>
      </c>
      <c r="S26" s="108">
        <f t="shared" si="15"/>
        <v>146.22496056</v>
      </c>
      <c r="T26" s="108">
        <f t="shared" si="15"/>
        <v>116.73249326999999</v>
      </c>
      <c r="U26" s="108">
        <f t="shared" si="15"/>
        <v>189.85259667999998</v>
      </c>
      <c r="V26" s="108">
        <f t="shared" si="15"/>
        <v>123.75514601999998</v>
      </c>
      <c r="W26" s="108">
        <f t="shared" si="15"/>
        <v>673.30172317999995</v>
      </c>
      <c r="X26" s="108">
        <f t="shared" si="15"/>
        <v>202.47484295000004</v>
      </c>
      <c r="Y26" s="108">
        <f t="shared" si="15"/>
        <v>13.911911750000002</v>
      </c>
      <c r="Z26" s="108">
        <f t="shared" si="15"/>
        <v>0.74460828999999995</v>
      </c>
      <c r="AA26" s="108">
        <f t="shared" si="15"/>
        <v>0</v>
      </c>
      <c r="AB26" s="108">
        <f t="shared" si="15"/>
        <v>0</v>
      </c>
      <c r="AC26" s="108">
        <f t="shared" si="15"/>
        <v>0</v>
      </c>
      <c r="AD26" s="108">
        <f t="shared" si="15"/>
        <v>0</v>
      </c>
      <c r="AE26" s="108">
        <f t="shared" si="15"/>
        <v>1466.9982826999999</v>
      </c>
    </row>
    <row r="27" spans="2:31" ht="14.1" customHeight="1">
      <c r="B27" s="363" t="str">
        <f>IF(Indice_index!$Z$1=1,"Despesa corrente","Current expenditure")</f>
        <v>Despesa corrente</v>
      </c>
      <c r="C27" s="363"/>
      <c r="D27" s="331"/>
      <c r="E27" s="329">
        <f t="shared" ref="E27:R27" si="16">+E28+E29+E30+E31+E34+E35</f>
        <v>191.79408907000001</v>
      </c>
      <c r="F27" s="329">
        <f t="shared" si="16"/>
        <v>9.3333879999999994</v>
      </c>
      <c r="G27" s="329">
        <f t="shared" si="16"/>
        <v>281.84011700000002</v>
      </c>
      <c r="H27" s="329">
        <f t="shared" si="16"/>
        <v>9.3333879999999994</v>
      </c>
      <c r="I27" s="329">
        <f t="shared" si="16"/>
        <v>9.3333879999999994</v>
      </c>
      <c r="J27" s="329">
        <f t="shared" si="16"/>
        <v>9.3333879999999994</v>
      </c>
      <c r="K27" s="329">
        <f t="shared" si="16"/>
        <v>-35.541612000000001</v>
      </c>
      <c r="L27" s="329">
        <f t="shared" si="16"/>
        <v>9.3333879999999994</v>
      </c>
      <c r="M27" s="329">
        <f t="shared" si="16"/>
        <v>9.3333879999999994</v>
      </c>
      <c r="N27" s="329">
        <f t="shared" si="16"/>
        <v>9.3333879999999994</v>
      </c>
      <c r="O27" s="329">
        <f t="shared" si="16"/>
        <v>9.3333880000000136</v>
      </c>
      <c r="P27" s="329">
        <f t="shared" si="16"/>
        <v>1501.3974672600002</v>
      </c>
      <c r="Q27" s="329">
        <f t="shared" si="16"/>
        <v>484.75953406999997</v>
      </c>
      <c r="R27" s="329">
        <f t="shared" si="16"/>
        <v>2014.1571653300002</v>
      </c>
      <c r="S27" s="329">
        <f t="shared" ref="S27:AD27" si="17">+S28+S29+S30+S31+S34+S35</f>
        <v>12.362410000000001</v>
      </c>
      <c r="T27" s="329">
        <f t="shared" si="17"/>
        <v>12.362410000000001</v>
      </c>
      <c r="U27" s="329">
        <f t="shared" si="17"/>
        <v>12.362410000000001</v>
      </c>
      <c r="V27" s="329">
        <f t="shared" si="17"/>
        <v>12.362410000000001</v>
      </c>
      <c r="W27" s="329">
        <f t="shared" si="17"/>
        <v>12.362410000000001</v>
      </c>
      <c r="X27" s="329">
        <f t="shared" si="17"/>
        <v>12.362410000000001</v>
      </c>
      <c r="Y27" s="329">
        <f t="shared" si="17"/>
        <v>179.07550925000001</v>
      </c>
      <c r="Z27" s="329">
        <f t="shared" si="17"/>
        <v>198.14387526000002</v>
      </c>
      <c r="AA27" s="329">
        <f t="shared" si="17"/>
        <v>0</v>
      </c>
      <c r="AB27" s="329">
        <f t="shared" si="17"/>
        <v>0</v>
      </c>
      <c r="AC27" s="329">
        <f t="shared" si="17"/>
        <v>0</v>
      </c>
      <c r="AD27" s="329">
        <f t="shared" si="17"/>
        <v>0</v>
      </c>
      <c r="AE27" s="329">
        <f>SUM(S27:AD27)</f>
        <v>451.39384451000001</v>
      </c>
    </row>
    <row r="28" spans="2:31" ht="14.1" customHeight="1">
      <c r="B28" s="357" t="str">
        <f>IF(Indice_index!$Z$1=1,"Despesas com o pessoal","Employees")</f>
        <v>Despesas com o pessoal</v>
      </c>
      <c r="C28" s="357"/>
      <c r="D28" s="330" t="s">
        <v>29</v>
      </c>
      <c r="E28" s="312">
        <f t="shared" ref="E28:N30" si="18">+SUMIF($D$54:$D$85,$D28,E$54:E$85)</f>
        <v>17.26070107</v>
      </c>
      <c r="F28" s="312">
        <f t="shared" si="18"/>
        <v>0</v>
      </c>
      <c r="G28" s="312">
        <f t="shared" si="18"/>
        <v>0</v>
      </c>
      <c r="H28" s="312">
        <f t="shared" si="18"/>
        <v>0</v>
      </c>
      <c r="I28" s="312">
        <f t="shared" si="18"/>
        <v>0</v>
      </c>
      <c r="J28" s="312">
        <f t="shared" si="18"/>
        <v>0</v>
      </c>
      <c r="K28" s="312">
        <f t="shared" si="18"/>
        <v>0</v>
      </c>
      <c r="L28" s="312">
        <f t="shared" si="18"/>
        <v>0</v>
      </c>
      <c r="M28" s="312">
        <f t="shared" si="18"/>
        <v>0</v>
      </c>
      <c r="N28" s="312">
        <f t="shared" si="18"/>
        <v>0</v>
      </c>
      <c r="O28" s="312">
        <f t="shared" ref="O28:X30" si="19">+SUMIF($D$54:$D$85,$D28,O$54:O$85)</f>
        <v>0</v>
      </c>
      <c r="P28" s="312">
        <f t="shared" si="19"/>
        <v>0</v>
      </c>
      <c r="Q28" s="312">
        <f t="shared" si="19"/>
        <v>17.26070107</v>
      </c>
      <c r="R28" s="312">
        <f t="shared" si="19"/>
        <v>17.26070107</v>
      </c>
      <c r="S28" s="312">
        <f t="shared" si="19"/>
        <v>0</v>
      </c>
      <c r="T28" s="312">
        <f t="shared" si="19"/>
        <v>0</v>
      </c>
      <c r="U28" s="312">
        <f t="shared" si="19"/>
        <v>0</v>
      </c>
      <c r="V28" s="312">
        <f t="shared" si="19"/>
        <v>0</v>
      </c>
      <c r="W28" s="312">
        <f t="shared" si="19"/>
        <v>0</v>
      </c>
      <c r="X28" s="312">
        <f t="shared" si="19"/>
        <v>0</v>
      </c>
      <c r="Y28" s="312">
        <f t="shared" ref="Y28:AE30" si="20">+SUMIF($D$54:$D$85,$D28,Y$54:Y$85)</f>
        <v>0</v>
      </c>
      <c r="Z28" s="312">
        <f t="shared" si="20"/>
        <v>0</v>
      </c>
      <c r="AA28" s="312">
        <f t="shared" si="20"/>
        <v>0</v>
      </c>
      <c r="AB28" s="312">
        <f t="shared" si="20"/>
        <v>0</v>
      </c>
      <c r="AC28" s="312">
        <f t="shared" si="20"/>
        <v>0</v>
      </c>
      <c r="AD28" s="312">
        <f t="shared" si="20"/>
        <v>0</v>
      </c>
      <c r="AE28" s="312">
        <f t="shared" si="20"/>
        <v>0</v>
      </c>
    </row>
    <row r="29" spans="2:31" ht="14.1" customHeight="1">
      <c r="B29" s="357" t="str">
        <f>IF(Indice_index!$Z$1=1,"Aquisição de bens e serviços","Purchase of goods and services")</f>
        <v>Aquisição de bens e serviços</v>
      </c>
      <c r="C29" s="357"/>
      <c r="D29" s="330" t="s">
        <v>30</v>
      </c>
      <c r="E29" s="312">
        <f t="shared" si="18"/>
        <v>0</v>
      </c>
      <c r="F29" s="312">
        <f t="shared" si="18"/>
        <v>0</v>
      </c>
      <c r="G29" s="312">
        <f t="shared" si="18"/>
        <v>0</v>
      </c>
      <c r="H29" s="312">
        <f t="shared" si="18"/>
        <v>0</v>
      </c>
      <c r="I29" s="312">
        <f t="shared" si="18"/>
        <v>0</v>
      </c>
      <c r="J29" s="312">
        <f t="shared" si="18"/>
        <v>0</v>
      </c>
      <c r="K29" s="312">
        <f t="shared" si="18"/>
        <v>0</v>
      </c>
      <c r="L29" s="312">
        <f t="shared" si="18"/>
        <v>0</v>
      </c>
      <c r="M29" s="312">
        <f t="shared" si="18"/>
        <v>0</v>
      </c>
      <c r="N29" s="312">
        <f t="shared" si="18"/>
        <v>0</v>
      </c>
      <c r="O29" s="312">
        <f t="shared" si="19"/>
        <v>0</v>
      </c>
      <c r="P29" s="312">
        <f t="shared" si="19"/>
        <v>1123.7381566100003</v>
      </c>
      <c r="Q29" s="312">
        <f t="shared" si="19"/>
        <v>0</v>
      </c>
      <c r="R29" s="312">
        <f t="shared" si="19"/>
        <v>1123.7381566100003</v>
      </c>
      <c r="S29" s="312">
        <f t="shared" si="19"/>
        <v>0</v>
      </c>
      <c r="T29" s="312">
        <f t="shared" si="19"/>
        <v>0</v>
      </c>
      <c r="U29" s="312">
        <f t="shared" si="19"/>
        <v>0</v>
      </c>
      <c r="V29" s="312">
        <f t="shared" si="19"/>
        <v>0</v>
      </c>
      <c r="W29" s="312">
        <f t="shared" si="19"/>
        <v>0</v>
      </c>
      <c r="X29" s="312">
        <f t="shared" si="19"/>
        <v>0</v>
      </c>
      <c r="Y29" s="312">
        <f t="shared" si="20"/>
        <v>166.71309925</v>
      </c>
      <c r="Z29" s="312">
        <f t="shared" si="20"/>
        <v>13.40747135</v>
      </c>
      <c r="AA29" s="312">
        <f t="shared" si="20"/>
        <v>0</v>
      </c>
      <c r="AB29" s="312">
        <f t="shared" si="20"/>
        <v>0</v>
      </c>
      <c r="AC29" s="312">
        <f t="shared" si="20"/>
        <v>0</v>
      </c>
      <c r="AD29" s="312">
        <f t="shared" si="20"/>
        <v>0</v>
      </c>
      <c r="AE29" s="312">
        <f t="shared" si="20"/>
        <v>180.12057060000001</v>
      </c>
    </row>
    <row r="30" spans="2:31" ht="14.1" customHeight="1">
      <c r="B30" s="357" t="str">
        <f>IF(Indice_index!$Z$1=1,"Juros e outros encargos","Interests and other charges")</f>
        <v>Juros e outros encargos</v>
      </c>
      <c r="C30" s="357"/>
      <c r="D30" s="330" t="s">
        <v>31</v>
      </c>
      <c r="E30" s="312">
        <f t="shared" si="18"/>
        <v>0</v>
      </c>
      <c r="F30" s="312">
        <f t="shared" si="18"/>
        <v>0</v>
      </c>
      <c r="G30" s="312">
        <f t="shared" si="18"/>
        <v>0</v>
      </c>
      <c r="H30" s="312">
        <f t="shared" si="18"/>
        <v>0</v>
      </c>
      <c r="I30" s="312">
        <f t="shared" si="18"/>
        <v>0</v>
      </c>
      <c r="J30" s="312">
        <f t="shared" si="18"/>
        <v>0</v>
      </c>
      <c r="K30" s="312">
        <f t="shared" si="18"/>
        <v>0</v>
      </c>
      <c r="L30" s="312">
        <f t="shared" si="18"/>
        <v>0</v>
      </c>
      <c r="M30" s="312">
        <f t="shared" si="18"/>
        <v>0</v>
      </c>
      <c r="N30" s="312">
        <f t="shared" si="18"/>
        <v>0</v>
      </c>
      <c r="O30" s="312">
        <f t="shared" si="19"/>
        <v>0</v>
      </c>
      <c r="P30" s="312">
        <f t="shared" si="19"/>
        <v>0</v>
      </c>
      <c r="Q30" s="312">
        <f t="shared" si="19"/>
        <v>0</v>
      </c>
      <c r="R30" s="312">
        <f t="shared" si="19"/>
        <v>0</v>
      </c>
      <c r="S30" s="312">
        <f t="shared" si="19"/>
        <v>0</v>
      </c>
      <c r="T30" s="312">
        <f t="shared" si="19"/>
        <v>0</v>
      </c>
      <c r="U30" s="312">
        <f t="shared" si="19"/>
        <v>0</v>
      </c>
      <c r="V30" s="312">
        <f t="shared" si="19"/>
        <v>0</v>
      </c>
      <c r="W30" s="312">
        <f t="shared" si="19"/>
        <v>0</v>
      </c>
      <c r="X30" s="312">
        <f t="shared" si="19"/>
        <v>0</v>
      </c>
      <c r="Y30" s="312">
        <f t="shared" si="20"/>
        <v>0</v>
      </c>
      <c r="Z30" s="312">
        <f t="shared" si="20"/>
        <v>0</v>
      </c>
      <c r="AA30" s="312">
        <f t="shared" si="20"/>
        <v>0</v>
      </c>
      <c r="AB30" s="312">
        <f t="shared" si="20"/>
        <v>0</v>
      </c>
      <c r="AC30" s="312">
        <f t="shared" si="20"/>
        <v>0</v>
      </c>
      <c r="AD30" s="312">
        <f t="shared" si="20"/>
        <v>0</v>
      </c>
      <c r="AE30" s="312">
        <f t="shared" si="20"/>
        <v>0</v>
      </c>
    </row>
    <row r="31" spans="2:31" ht="14.1" customHeight="1">
      <c r="B31" s="357" t="str">
        <f>IF(Indice_index!$Z$1=1,"Transferências correntes","Current transfers")</f>
        <v>Transferências correntes</v>
      </c>
      <c r="C31" s="357"/>
      <c r="D31" s="330" t="s">
        <v>32</v>
      </c>
      <c r="E31" s="312">
        <f t="shared" ref="E31:AE31" si="21">+E32+E33</f>
        <v>174.533388</v>
      </c>
      <c r="F31" s="312">
        <f t="shared" si="21"/>
        <v>9.3333879999999994</v>
      </c>
      <c r="G31" s="312">
        <f t="shared" si="21"/>
        <v>236.96511700000002</v>
      </c>
      <c r="H31" s="312">
        <f t="shared" si="21"/>
        <v>9.3333879999999994</v>
      </c>
      <c r="I31" s="312">
        <f t="shared" si="21"/>
        <v>9.3333879999999994</v>
      </c>
      <c r="J31" s="312">
        <f t="shared" si="21"/>
        <v>9.3333879999999994</v>
      </c>
      <c r="K31" s="312">
        <f t="shared" si="21"/>
        <v>9.3333879999999994</v>
      </c>
      <c r="L31" s="312">
        <f t="shared" si="21"/>
        <v>9.3333879999999994</v>
      </c>
      <c r="M31" s="312">
        <f t="shared" si="21"/>
        <v>9.3333879999999994</v>
      </c>
      <c r="N31" s="312">
        <f t="shared" si="21"/>
        <v>9.3333879999999994</v>
      </c>
      <c r="O31" s="312">
        <f t="shared" si="21"/>
        <v>9.3333880000000136</v>
      </c>
      <c r="P31" s="312">
        <f t="shared" si="21"/>
        <v>377.65931064999995</v>
      </c>
      <c r="Q31" s="312">
        <f t="shared" si="21"/>
        <v>467.49883299999999</v>
      </c>
      <c r="R31" s="312">
        <f t="shared" si="21"/>
        <v>873.15830764999998</v>
      </c>
      <c r="S31" s="312">
        <f t="shared" si="21"/>
        <v>12.362410000000001</v>
      </c>
      <c r="T31" s="312">
        <f t="shared" si="21"/>
        <v>12.362410000000001</v>
      </c>
      <c r="U31" s="312">
        <f t="shared" si="21"/>
        <v>12.362410000000001</v>
      </c>
      <c r="V31" s="312">
        <f t="shared" si="21"/>
        <v>12.362410000000001</v>
      </c>
      <c r="W31" s="312">
        <f t="shared" si="21"/>
        <v>12.362410000000001</v>
      </c>
      <c r="X31" s="312">
        <f t="shared" si="21"/>
        <v>12.362410000000001</v>
      </c>
      <c r="Y31" s="312">
        <f t="shared" si="21"/>
        <v>12.362410000000001</v>
      </c>
      <c r="Z31" s="312">
        <f t="shared" si="21"/>
        <v>184.73640391000001</v>
      </c>
      <c r="AA31" s="312">
        <f t="shared" si="21"/>
        <v>0</v>
      </c>
      <c r="AB31" s="312">
        <f t="shared" si="21"/>
        <v>0</v>
      </c>
      <c r="AC31" s="312">
        <f t="shared" si="21"/>
        <v>0</v>
      </c>
      <c r="AD31" s="312">
        <f t="shared" si="21"/>
        <v>0</v>
      </c>
      <c r="AE31" s="312">
        <f t="shared" si="21"/>
        <v>271.27327391</v>
      </c>
    </row>
    <row r="32" spans="2:31" ht="14.1" customHeight="1">
      <c r="B32" s="332" t="str">
        <f>IF(Indice_index!$Z$1=1,"Administrações Públicas","General Government subsectors")</f>
        <v>Administrações Públicas</v>
      </c>
      <c r="C32" s="31"/>
      <c r="D32" s="330" t="s">
        <v>33</v>
      </c>
      <c r="E32" s="312">
        <f t="shared" ref="E32:N35" si="22">+SUMIF($D$54:$D$85,$D32,E$54:E$85)</f>
        <v>9.3333879999999994</v>
      </c>
      <c r="F32" s="312">
        <f t="shared" si="22"/>
        <v>9.3333879999999994</v>
      </c>
      <c r="G32" s="312">
        <f t="shared" si="22"/>
        <v>9.3333879999999994</v>
      </c>
      <c r="H32" s="312">
        <f t="shared" si="22"/>
        <v>9.3333879999999994</v>
      </c>
      <c r="I32" s="312">
        <f t="shared" si="22"/>
        <v>9.3333879999999994</v>
      </c>
      <c r="J32" s="312">
        <f t="shared" si="22"/>
        <v>9.3333879999999994</v>
      </c>
      <c r="K32" s="312">
        <f t="shared" si="22"/>
        <v>9.3333879999999994</v>
      </c>
      <c r="L32" s="312">
        <f t="shared" si="22"/>
        <v>9.3333879999999994</v>
      </c>
      <c r="M32" s="312">
        <f t="shared" si="22"/>
        <v>9.3333879999999994</v>
      </c>
      <c r="N32" s="312">
        <f t="shared" si="22"/>
        <v>9.3333879999999994</v>
      </c>
      <c r="O32" s="312">
        <f t="shared" ref="O32:X35" si="23">+SUMIF($D$54:$D$85,$D32,O$54:O$85)</f>
        <v>9.3333880000000136</v>
      </c>
      <c r="P32" s="312">
        <f t="shared" si="23"/>
        <v>9.3509169999999955</v>
      </c>
      <c r="Q32" s="312">
        <f t="shared" si="23"/>
        <v>74.667103999999995</v>
      </c>
      <c r="R32" s="312">
        <f t="shared" si="23"/>
        <v>112.018185</v>
      </c>
      <c r="S32" s="312">
        <f t="shared" si="23"/>
        <v>12.362410000000001</v>
      </c>
      <c r="T32" s="312">
        <f t="shared" si="23"/>
        <v>12.362410000000001</v>
      </c>
      <c r="U32" s="312">
        <f t="shared" si="23"/>
        <v>12.362410000000001</v>
      </c>
      <c r="V32" s="312">
        <f t="shared" si="23"/>
        <v>12.362410000000001</v>
      </c>
      <c r="W32" s="312">
        <f t="shared" si="23"/>
        <v>12.362410000000001</v>
      </c>
      <c r="X32" s="312">
        <f t="shared" si="23"/>
        <v>12.362410000000001</v>
      </c>
      <c r="Y32" s="312">
        <f t="shared" ref="Y32:AE35" si="24">+SUMIF($D$54:$D$85,$D32,Y$54:Y$85)</f>
        <v>12.362410000000001</v>
      </c>
      <c r="Z32" s="312">
        <f t="shared" si="24"/>
        <v>12.362410000000001</v>
      </c>
      <c r="AA32" s="312">
        <f t="shared" si="24"/>
        <v>0</v>
      </c>
      <c r="AB32" s="312">
        <f t="shared" si="24"/>
        <v>0</v>
      </c>
      <c r="AC32" s="312">
        <f t="shared" si="24"/>
        <v>0</v>
      </c>
      <c r="AD32" s="312">
        <f t="shared" si="24"/>
        <v>0</v>
      </c>
      <c r="AE32" s="312">
        <f t="shared" si="24"/>
        <v>98.89927999999999</v>
      </c>
    </row>
    <row r="33" spans="2:31" ht="14.1" customHeight="1">
      <c r="B33" s="359" t="str">
        <f>IF(Indice_index!$Z$1=1,"Outras","Others")</f>
        <v>Outras</v>
      </c>
      <c r="C33" s="359"/>
      <c r="D33" s="330" t="s">
        <v>34</v>
      </c>
      <c r="E33" s="312">
        <f t="shared" si="22"/>
        <v>165.2</v>
      </c>
      <c r="F33" s="312">
        <f t="shared" si="22"/>
        <v>0</v>
      </c>
      <c r="G33" s="312">
        <f t="shared" si="22"/>
        <v>227.63172900000001</v>
      </c>
      <c r="H33" s="312">
        <f t="shared" si="22"/>
        <v>0</v>
      </c>
      <c r="I33" s="312">
        <f t="shared" si="22"/>
        <v>0</v>
      </c>
      <c r="J33" s="312">
        <f t="shared" si="22"/>
        <v>0</v>
      </c>
      <c r="K33" s="312">
        <f t="shared" si="22"/>
        <v>0</v>
      </c>
      <c r="L33" s="312">
        <f t="shared" si="22"/>
        <v>0</v>
      </c>
      <c r="M33" s="312">
        <f t="shared" si="22"/>
        <v>0</v>
      </c>
      <c r="N33" s="312">
        <f t="shared" si="22"/>
        <v>0</v>
      </c>
      <c r="O33" s="312">
        <f t="shared" si="23"/>
        <v>0</v>
      </c>
      <c r="P33" s="312">
        <f t="shared" si="23"/>
        <v>368.30839364999997</v>
      </c>
      <c r="Q33" s="312">
        <f t="shared" si="23"/>
        <v>392.831729</v>
      </c>
      <c r="R33" s="312">
        <f t="shared" si="23"/>
        <v>761.14012264999997</v>
      </c>
      <c r="S33" s="312">
        <f t="shared" si="23"/>
        <v>0</v>
      </c>
      <c r="T33" s="312">
        <f t="shared" si="23"/>
        <v>0</v>
      </c>
      <c r="U33" s="312">
        <f t="shared" si="23"/>
        <v>0</v>
      </c>
      <c r="V33" s="312">
        <f t="shared" si="23"/>
        <v>0</v>
      </c>
      <c r="W33" s="312">
        <f t="shared" si="23"/>
        <v>0</v>
      </c>
      <c r="X33" s="312">
        <f t="shared" si="23"/>
        <v>0</v>
      </c>
      <c r="Y33" s="312">
        <f t="shared" si="24"/>
        <v>0</v>
      </c>
      <c r="Z33" s="312">
        <f t="shared" si="24"/>
        <v>172.37399391</v>
      </c>
      <c r="AA33" s="312">
        <f t="shared" si="24"/>
        <v>0</v>
      </c>
      <c r="AB33" s="312">
        <f t="shared" si="24"/>
        <v>0</v>
      </c>
      <c r="AC33" s="312">
        <f t="shared" si="24"/>
        <v>0</v>
      </c>
      <c r="AD33" s="312">
        <f t="shared" si="24"/>
        <v>0</v>
      </c>
      <c r="AE33" s="312">
        <f t="shared" si="24"/>
        <v>172.37399391</v>
      </c>
    </row>
    <row r="34" spans="2:31" ht="14.1" customHeight="1">
      <c r="B34" s="359" t="str">
        <f>IF(Indice_index!$Z$1=1,"Subsídios","Subsidies")</f>
        <v>Subsídios</v>
      </c>
      <c r="C34" s="359"/>
      <c r="D34" s="330" t="s">
        <v>35</v>
      </c>
      <c r="E34" s="312">
        <f t="shared" si="22"/>
        <v>0</v>
      </c>
      <c r="F34" s="312">
        <f t="shared" si="22"/>
        <v>0</v>
      </c>
      <c r="G34" s="312">
        <f t="shared" si="22"/>
        <v>44.875</v>
      </c>
      <c r="H34" s="312">
        <f t="shared" si="22"/>
        <v>0</v>
      </c>
      <c r="I34" s="312">
        <f t="shared" si="22"/>
        <v>0</v>
      </c>
      <c r="J34" s="312">
        <f t="shared" si="22"/>
        <v>0</v>
      </c>
      <c r="K34" s="312">
        <f t="shared" si="22"/>
        <v>-44.875</v>
      </c>
      <c r="L34" s="312">
        <f t="shared" si="22"/>
        <v>0</v>
      </c>
      <c r="M34" s="312">
        <f t="shared" si="22"/>
        <v>0</v>
      </c>
      <c r="N34" s="312">
        <f t="shared" si="22"/>
        <v>0</v>
      </c>
      <c r="O34" s="312">
        <f t="shared" si="23"/>
        <v>0</v>
      </c>
      <c r="P34" s="312">
        <f t="shared" si="23"/>
        <v>0</v>
      </c>
      <c r="Q34" s="312">
        <f t="shared" si="23"/>
        <v>0</v>
      </c>
      <c r="R34" s="312">
        <f t="shared" si="23"/>
        <v>0</v>
      </c>
      <c r="S34" s="312">
        <f t="shared" si="23"/>
        <v>0</v>
      </c>
      <c r="T34" s="312">
        <f t="shared" si="23"/>
        <v>0</v>
      </c>
      <c r="U34" s="312">
        <f t="shared" si="23"/>
        <v>0</v>
      </c>
      <c r="V34" s="312">
        <f t="shared" si="23"/>
        <v>0</v>
      </c>
      <c r="W34" s="312">
        <f t="shared" si="23"/>
        <v>0</v>
      </c>
      <c r="X34" s="312">
        <f t="shared" si="23"/>
        <v>0</v>
      </c>
      <c r="Y34" s="312">
        <f t="shared" si="24"/>
        <v>0</v>
      </c>
      <c r="Z34" s="312">
        <f t="shared" si="24"/>
        <v>0</v>
      </c>
      <c r="AA34" s="312">
        <f t="shared" si="24"/>
        <v>0</v>
      </c>
      <c r="AB34" s="312">
        <f t="shared" si="24"/>
        <v>0</v>
      </c>
      <c r="AC34" s="312">
        <f t="shared" si="24"/>
        <v>0</v>
      </c>
      <c r="AD34" s="312">
        <f t="shared" si="24"/>
        <v>0</v>
      </c>
      <c r="AE34" s="312">
        <f t="shared" si="24"/>
        <v>0</v>
      </c>
    </row>
    <row r="35" spans="2:31" ht="14.1" customHeight="1">
      <c r="B35" s="357" t="str">
        <f>IF(Indice_index!$Z$1=1,"Outras despesas correntes","Other current expenditure")</f>
        <v>Outras despesas correntes</v>
      </c>
      <c r="C35" s="357"/>
      <c r="D35" s="330" t="s">
        <v>36</v>
      </c>
      <c r="E35" s="312">
        <f t="shared" si="22"/>
        <v>0</v>
      </c>
      <c r="F35" s="312">
        <f t="shared" si="22"/>
        <v>0</v>
      </c>
      <c r="G35" s="312">
        <f t="shared" si="22"/>
        <v>0</v>
      </c>
      <c r="H35" s="312">
        <f t="shared" si="22"/>
        <v>0</v>
      </c>
      <c r="I35" s="312">
        <f t="shared" si="22"/>
        <v>0</v>
      </c>
      <c r="J35" s="312">
        <f t="shared" si="22"/>
        <v>0</v>
      </c>
      <c r="K35" s="312">
        <f t="shared" si="22"/>
        <v>0</v>
      </c>
      <c r="L35" s="312">
        <f t="shared" si="22"/>
        <v>0</v>
      </c>
      <c r="M35" s="312">
        <f t="shared" si="22"/>
        <v>0</v>
      </c>
      <c r="N35" s="312">
        <f t="shared" si="22"/>
        <v>0</v>
      </c>
      <c r="O35" s="312">
        <f t="shared" si="23"/>
        <v>0</v>
      </c>
      <c r="P35" s="312">
        <f t="shared" si="23"/>
        <v>0</v>
      </c>
      <c r="Q35" s="312">
        <f t="shared" si="23"/>
        <v>0</v>
      </c>
      <c r="R35" s="312">
        <f t="shared" si="23"/>
        <v>0</v>
      </c>
      <c r="S35" s="312">
        <f t="shared" si="23"/>
        <v>0</v>
      </c>
      <c r="T35" s="312">
        <f t="shared" si="23"/>
        <v>0</v>
      </c>
      <c r="U35" s="312">
        <f t="shared" si="23"/>
        <v>0</v>
      </c>
      <c r="V35" s="312">
        <f t="shared" si="23"/>
        <v>0</v>
      </c>
      <c r="W35" s="312">
        <f t="shared" si="23"/>
        <v>0</v>
      </c>
      <c r="X35" s="312">
        <f t="shared" si="23"/>
        <v>0</v>
      </c>
      <c r="Y35" s="312">
        <f t="shared" si="24"/>
        <v>0</v>
      </c>
      <c r="Z35" s="312">
        <f t="shared" si="24"/>
        <v>0</v>
      </c>
      <c r="AA35" s="312">
        <f t="shared" si="24"/>
        <v>0</v>
      </c>
      <c r="AB35" s="312">
        <f t="shared" si="24"/>
        <v>0</v>
      </c>
      <c r="AC35" s="312">
        <f t="shared" si="24"/>
        <v>0</v>
      </c>
      <c r="AD35" s="312">
        <f t="shared" si="24"/>
        <v>0</v>
      </c>
      <c r="AE35" s="312">
        <f t="shared" si="24"/>
        <v>0</v>
      </c>
    </row>
    <row r="36" spans="2:31" ht="14.1" customHeight="1">
      <c r="B36" s="363" t="str">
        <f>IF(Indice_index!$Z$1=1,"Despesa de capital","Capital expenditure")</f>
        <v>Despesa de capital</v>
      </c>
      <c r="C36" s="363"/>
      <c r="D36" s="331"/>
      <c r="E36" s="329">
        <f t="shared" ref="E36:Q36" si="25">+E37+E38+E41</f>
        <v>26.839382000000001</v>
      </c>
      <c r="F36" s="329">
        <f t="shared" si="25"/>
        <v>29.945884639999999</v>
      </c>
      <c r="G36" s="329">
        <f t="shared" si="25"/>
        <v>28.34763332</v>
      </c>
      <c r="H36" s="329">
        <f t="shared" si="25"/>
        <v>28.379133320000001</v>
      </c>
      <c r="I36" s="329">
        <f t="shared" si="25"/>
        <v>29.945884639999999</v>
      </c>
      <c r="J36" s="329">
        <f t="shared" si="25"/>
        <v>27.130691120000002</v>
      </c>
      <c r="K36" s="329">
        <f t="shared" si="25"/>
        <v>28.392633320000002</v>
      </c>
      <c r="L36" s="329">
        <f t="shared" si="25"/>
        <v>28.392633320000002</v>
      </c>
      <c r="M36" s="329">
        <f t="shared" si="25"/>
        <v>28.392633320000002</v>
      </c>
      <c r="N36" s="329">
        <f t="shared" si="25"/>
        <v>28.39263332000003</v>
      </c>
      <c r="O36" s="329">
        <f t="shared" si="25"/>
        <v>28.392633319999998</v>
      </c>
      <c r="P36" s="329">
        <f t="shared" si="25"/>
        <v>28.452985319999968</v>
      </c>
      <c r="Q36" s="329">
        <f t="shared" si="25"/>
        <v>227.37387568</v>
      </c>
      <c r="R36" s="329">
        <f>SUM(E36:P36)</f>
        <v>341.00476096000006</v>
      </c>
      <c r="S36" s="329">
        <f t="shared" ref="S36:AD36" si="26">+S37+S38+S41</f>
        <v>40.310046999999997</v>
      </c>
      <c r="T36" s="329">
        <f t="shared" si="26"/>
        <v>43.420046999999997</v>
      </c>
      <c r="U36" s="329">
        <f t="shared" si="26"/>
        <v>41.863298319999998</v>
      </c>
      <c r="V36" s="329">
        <f t="shared" si="26"/>
        <v>41.863298319999998</v>
      </c>
      <c r="W36" s="329">
        <f t="shared" si="26"/>
        <v>41.863298319999998</v>
      </c>
      <c r="X36" s="329">
        <f t="shared" si="26"/>
        <v>41.863298319999998</v>
      </c>
      <c r="Y36" s="329">
        <f t="shared" si="26"/>
        <v>41.863298319999998</v>
      </c>
      <c r="Z36" s="329">
        <f t="shared" si="26"/>
        <v>41.863298319999998</v>
      </c>
      <c r="AA36" s="329">
        <f t="shared" si="26"/>
        <v>0</v>
      </c>
      <c r="AB36" s="329">
        <f t="shared" si="26"/>
        <v>0</v>
      </c>
      <c r="AC36" s="329">
        <f t="shared" si="26"/>
        <v>0</v>
      </c>
      <c r="AD36" s="329">
        <f t="shared" si="26"/>
        <v>0</v>
      </c>
      <c r="AE36" s="329">
        <f>SUM(S36:AD36)</f>
        <v>334.90988392000003</v>
      </c>
    </row>
    <row r="37" spans="2:31" ht="14.1" customHeight="1">
      <c r="B37" s="357" t="str">
        <f>IF(Indice_index!$Z$1=1,"Investimento","Investments")</f>
        <v>Investimento</v>
      </c>
      <c r="C37" s="357"/>
      <c r="D37" s="330" t="s">
        <v>37</v>
      </c>
      <c r="E37" s="312">
        <f t="shared" ref="E37:AE37" si="27">+SUMIF($D$54:$D$85,$D37,E$54:E$85)</f>
        <v>0</v>
      </c>
      <c r="F37" s="312">
        <f t="shared" si="27"/>
        <v>3.10650264</v>
      </c>
      <c r="G37" s="312">
        <f t="shared" si="27"/>
        <v>1.55325132</v>
      </c>
      <c r="H37" s="312">
        <f t="shared" si="27"/>
        <v>1.55325132</v>
      </c>
      <c r="I37" s="312">
        <f t="shared" si="27"/>
        <v>3.1065026399999995</v>
      </c>
      <c r="J37" s="312">
        <f t="shared" si="27"/>
        <v>0</v>
      </c>
      <c r="K37" s="312">
        <f t="shared" si="27"/>
        <v>1.55325132</v>
      </c>
      <c r="L37" s="312">
        <f t="shared" si="27"/>
        <v>1.5532513200000002</v>
      </c>
      <c r="M37" s="312">
        <f t="shared" si="27"/>
        <v>1.5532513200000002</v>
      </c>
      <c r="N37" s="312">
        <f t="shared" si="27"/>
        <v>1.5532513199999993</v>
      </c>
      <c r="O37" s="312">
        <f t="shared" si="27"/>
        <v>1.5532513199999975</v>
      </c>
      <c r="P37" s="312">
        <f t="shared" si="27"/>
        <v>1.5532513200000011</v>
      </c>
      <c r="Q37" s="312">
        <f t="shared" si="27"/>
        <v>12.426010559999998</v>
      </c>
      <c r="R37" s="312">
        <f t="shared" si="27"/>
        <v>18.639015839999999</v>
      </c>
      <c r="S37" s="312">
        <f t="shared" si="27"/>
        <v>0</v>
      </c>
      <c r="T37" s="312">
        <f t="shared" si="27"/>
        <v>3.11</v>
      </c>
      <c r="U37" s="312">
        <f t="shared" si="27"/>
        <v>1.5532513199999998</v>
      </c>
      <c r="V37" s="312">
        <f t="shared" si="27"/>
        <v>1.5532513200000002</v>
      </c>
      <c r="W37" s="312">
        <f t="shared" si="27"/>
        <v>1.5532513200000002</v>
      </c>
      <c r="X37" s="312">
        <f t="shared" si="27"/>
        <v>1.5532513200000002</v>
      </c>
      <c r="Y37" s="312">
        <f t="shared" si="27"/>
        <v>1.5532513200000002</v>
      </c>
      <c r="Z37" s="312">
        <f t="shared" si="27"/>
        <v>1.5532513200000002</v>
      </c>
      <c r="AA37" s="312">
        <f t="shared" si="27"/>
        <v>0</v>
      </c>
      <c r="AB37" s="312">
        <f t="shared" si="27"/>
        <v>0</v>
      </c>
      <c r="AC37" s="312">
        <f t="shared" si="27"/>
        <v>0</v>
      </c>
      <c r="AD37" s="312">
        <f t="shared" si="27"/>
        <v>0</v>
      </c>
      <c r="AE37" s="312">
        <f t="shared" si="27"/>
        <v>12.429507920000002</v>
      </c>
    </row>
    <row r="38" spans="2:31" ht="14.1" customHeight="1">
      <c r="B38" s="357" t="str">
        <f>IF(Indice_index!$Z$1=1,"Transferências de capital","Capital transfers")</f>
        <v>Transferências de capital</v>
      </c>
      <c r="C38" s="357"/>
      <c r="D38" s="330" t="s">
        <v>38</v>
      </c>
      <c r="E38" s="312">
        <f t="shared" ref="E38:AE38" si="28">+E39+E40</f>
        <v>26.839382000000001</v>
      </c>
      <c r="F38" s="312">
        <f t="shared" si="28"/>
        <v>26.839382000000001</v>
      </c>
      <c r="G38" s="312">
        <f t="shared" si="28"/>
        <v>26.794381999999999</v>
      </c>
      <c r="H38" s="312">
        <f t="shared" si="28"/>
        <v>26.825882</v>
      </c>
      <c r="I38" s="312">
        <f t="shared" si="28"/>
        <v>26.839382000000001</v>
      </c>
      <c r="J38" s="312">
        <f t="shared" si="28"/>
        <v>27.130691120000002</v>
      </c>
      <c r="K38" s="312">
        <f t="shared" si="28"/>
        <v>26.839382000000001</v>
      </c>
      <c r="L38" s="312">
        <f t="shared" si="28"/>
        <v>26.839382000000001</v>
      </c>
      <c r="M38" s="312">
        <f t="shared" si="28"/>
        <v>26.839382000000001</v>
      </c>
      <c r="N38" s="312">
        <f t="shared" si="28"/>
        <v>26.839382000000029</v>
      </c>
      <c r="O38" s="312">
        <f t="shared" si="28"/>
        <v>26.839382000000001</v>
      </c>
      <c r="P38" s="312">
        <f t="shared" si="28"/>
        <v>26.899733999999967</v>
      </c>
      <c r="Q38" s="312">
        <f t="shared" si="28"/>
        <v>214.94786511999999</v>
      </c>
      <c r="R38" s="312">
        <f t="shared" si="28"/>
        <v>322.36574511999999</v>
      </c>
      <c r="S38" s="312">
        <f t="shared" si="28"/>
        <v>40.310046999999997</v>
      </c>
      <c r="T38" s="312">
        <f t="shared" si="28"/>
        <v>40.310046999999997</v>
      </c>
      <c r="U38" s="312">
        <f t="shared" si="28"/>
        <v>40.310046999999997</v>
      </c>
      <c r="V38" s="312">
        <f t="shared" si="28"/>
        <v>40.310046999999997</v>
      </c>
      <c r="W38" s="312">
        <f t="shared" si="28"/>
        <v>40.310046999999997</v>
      </c>
      <c r="X38" s="312">
        <f t="shared" si="28"/>
        <v>40.310046999999997</v>
      </c>
      <c r="Y38" s="312">
        <f t="shared" si="28"/>
        <v>40.310046999999997</v>
      </c>
      <c r="Z38" s="312">
        <f t="shared" si="28"/>
        <v>40.310046999999997</v>
      </c>
      <c r="AA38" s="312">
        <f t="shared" si="28"/>
        <v>0</v>
      </c>
      <c r="AB38" s="312">
        <f t="shared" si="28"/>
        <v>0</v>
      </c>
      <c r="AC38" s="312">
        <f t="shared" si="28"/>
        <v>0</v>
      </c>
      <c r="AD38" s="312">
        <f t="shared" si="28"/>
        <v>0</v>
      </c>
      <c r="AE38" s="312">
        <f t="shared" si="28"/>
        <v>322.48037599999998</v>
      </c>
    </row>
    <row r="39" spans="2:31" ht="14.1" customHeight="1">
      <c r="B39" s="359" t="str">
        <f>IF(Indice_index!$Z$1=1,"Administrações Públicas","General Government subsectors")</f>
        <v>Administrações Públicas</v>
      </c>
      <c r="C39" s="359"/>
      <c r="D39" s="330" t="s">
        <v>39</v>
      </c>
      <c r="E39" s="312">
        <f t="shared" ref="E39:N41" si="29">+SUMIF($D$54:$D$85,$D39,E$54:E$85)</f>
        <v>26.839382000000001</v>
      </c>
      <c r="F39" s="312">
        <f t="shared" si="29"/>
        <v>26.839382000000001</v>
      </c>
      <c r="G39" s="312">
        <f t="shared" si="29"/>
        <v>26.794381999999999</v>
      </c>
      <c r="H39" s="312">
        <f t="shared" si="29"/>
        <v>26.825882</v>
      </c>
      <c r="I39" s="312">
        <f t="shared" si="29"/>
        <v>26.839382000000001</v>
      </c>
      <c r="J39" s="312">
        <f t="shared" si="29"/>
        <v>26.839382000000001</v>
      </c>
      <c r="K39" s="312">
        <f t="shared" si="29"/>
        <v>26.839382000000001</v>
      </c>
      <c r="L39" s="312">
        <f t="shared" si="29"/>
        <v>26.839382000000001</v>
      </c>
      <c r="M39" s="312">
        <f t="shared" si="29"/>
        <v>26.839382000000001</v>
      </c>
      <c r="N39" s="312">
        <f t="shared" si="29"/>
        <v>26.839382000000029</v>
      </c>
      <c r="O39" s="312">
        <f t="shared" ref="O39:X41" si="30">+SUMIF($D$54:$D$85,$D39,O$54:O$85)</f>
        <v>26.839382000000001</v>
      </c>
      <c r="P39" s="312">
        <f t="shared" si="30"/>
        <v>26.899733999999967</v>
      </c>
      <c r="Q39" s="312">
        <f t="shared" si="30"/>
        <v>214.65655599999999</v>
      </c>
      <c r="R39" s="312">
        <f t="shared" si="30"/>
        <v>322.07443599999999</v>
      </c>
      <c r="S39" s="312">
        <f t="shared" si="30"/>
        <v>40.310046999999997</v>
      </c>
      <c r="T39" s="312">
        <f t="shared" si="30"/>
        <v>40.310046999999997</v>
      </c>
      <c r="U39" s="312">
        <f t="shared" si="30"/>
        <v>40.310046999999997</v>
      </c>
      <c r="V39" s="312">
        <f t="shared" si="30"/>
        <v>40.310046999999997</v>
      </c>
      <c r="W39" s="312">
        <f t="shared" si="30"/>
        <v>40.310046999999997</v>
      </c>
      <c r="X39" s="312">
        <f t="shared" si="30"/>
        <v>40.310046999999997</v>
      </c>
      <c r="Y39" s="312">
        <f t="shared" ref="Y39:AE41" si="31">+SUMIF($D$54:$D$85,$D39,Y$54:Y$85)</f>
        <v>40.310046999999997</v>
      </c>
      <c r="Z39" s="312">
        <f t="shared" si="31"/>
        <v>40.310046999999997</v>
      </c>
      <c r="AA39" s="312">
        <f t="shared" si="31"/>
        <v>0</v>
      </c>
      <c r="AB39" s="312">
        <f t="shared" si="31"/>
        <v>0</v>
      </c>
      <c r="AC39" s="312">
        <f t="shared" si="31"/>
        <v>0</v>
      </c>
      <c r="AD39" s="312">
        <f t="shared" si="31"/>
        <v>0</v>
      </c>
      <c r="AE39" s="312">
        <f t="shared" si="31"/>
        <v>322.48037599999998</v>
      </c>
    </row>
    <row r="40" spans="2:31" ht="14.1" customHeight="1">
      <c r="B40" s="359" t="str">
        <f>IF(Indice_index!$Z$1=1,"Outras","Others")</f>
        <v>Outras</v>
      </c>
      <c r="C40" s="359"/>
      <c r="D40" s="330" t="s">
        <v>40</v>
      </c>
      <c r="E40" s="312">
        <f t="shared" si="29"/>
        <v>0</v>
      </c>
      <c r="F40" s="312">
        <f t="shared" si="29"/>
        <v>0</v>
      </c>
      <c r="G40" s="312">
        <f t="shared" si="29"/>
        <v>0</v>
      </c>
      <c r="H40" s="312">
        <f t="shared" si="29"/>
        <v>0</v>
      </c>
      <c r="I40" s="312">
        <f t="shared" si="29"/>
        <v>0</v>
      </c>
      <c r="J40" s="312">
        <f t="shared" si="29"/>
        <v>0.29130911999999998</v>
      </c>
      <c r="K40" s="312">
        <f t="shared" si="29"/>
        <v>0</v>
      </c>
      <c r="L40" s="312">
        <f t="shared" si="29"/>
        <v>0</v>
      </c>
      <c r="M40" s="312">
        <f t="shared" si="29"/>
        <v>0</v>
      </c>
      <c r="N40" s="312">
        <f t="shared" si="29"/>
        <v>0</v>
      </c>
      <c r="O40" s="312">
        <f t="shared" si="30"/>
        <v>0</v>
      </c>
      <c r="P40" s="312">
        <f t="shared" si="30"/>
        <v>0</v>
      </c>
      <c r="Q40" s="312">
        <f t="shared" si="30"/>
        <v>0.29130911999999998</v>
      </c>
      <c r="R40" s="312">
        <f t="shared" si="30"/>
        <v>0.29130911999999998</v>
      </c>
      <c r="S40" s="312">
        <f t="shared" si="30"/>
        <v>0</v>
      </c>
      <c r="T40" s="312">
        <f t="shared" si="30"/>
        <v>0</v>
      </c>
      <c r="U40" s="312">
        <f t="shared" si="30"/>
        <v>0</v>
      </c>
      <c r="V40" s="312">
        <f t="shared" si="30"/>
        <v>0</v>
      </c>
      <c r="W40" s="312">
        <f t="shared" si="30"/>
        <v>0</v>
      </c>
      <c r="X40" s="312">
        <f t="shared" si="30"/>
        <v>0</v>
      </c>
      <c r="Y40" s="312">
        <f t="shared" si="31"/>
        <v>0</v>
      </c>
      <c r="Z40" s="312">
        <f t="shared" si="31"/>
        <v>0</v>
      </c>
      <c r="AA40" s="312">
        <f t="shared" si="31"/>
        <v>0</v>
      </c>
      <c r="AB40" s="312">
        <f t="shared" si="31"/>
        <v>0</v>
      </c>
      <c r="AC40" s="312">
        <f t="shared" si="31"/>
        <v>0</v>
      </c>
      <c r="AD40" s="312">
        <f t="shared" si="31"/>
        <v>0</v>
      </c>
      <c r="AE40" s="312">
        <f t="shared" si="31"/>
        <v>0</v>
      </c>
    </row>
    <row r="41" spans="2:31" ht="14.1" customHeight="1">
      <c r="B41" s="357" t="str">
        <f>IF(Indice_index!$Z$1=1,"Outras despesas de capital","Other capital expenditure")</f>
        <v>Outras despesas de capital</v>
      </c>
      <c r="C41" s="357"/>
      <c r="D41" s="330" t="s">
        <v>41</v>
      </c>
      <c r="E41" s="312">
        <f t="shared" si="29"/>
        <v>0</v>
      </c>
      <c r="F41" s="312">
        <f t="shared" si="29"/>
        <v>0</v>
      </c>
      <c r="G41" s="312">
        <f t="shared" si="29"/>
        <v>0</v>
      </c>
      <c r="H41" s="312">
        <f t="shared" si="29"/>
        <v>0</v>
      </c>
      <c r="I41" s="312">
        <f t="shared" si="29"/>
        <v>0</v>
      </c>
      <c r="J41" s="312">
        <f t="shared" si="29"/>
        <v>0</v>
      </c>
      <c r="K41" s="312">
        <f t="shared" si="29"/>
        <v>0</v>
      </c>
      <c r="L41" s="312">
        <f t="shared" si="29"/>
        <v>0</v>
      </c>
      <c r="M41" s="312">
        <f t="shared" si="29"/>
        <v>0</v>
      </c>
      <c r="N41" s="312">
        <f t="shared" si="29"/>
        <v>0</v>
      </c>
      <c r="O41" s="312">
        <f t="shared" si="30"/>
        <v>0</v>
      </c>
      <c r="P41" s="312">
        <f t="shared" si="30"/>
        <v>0</v>
      </c>
      <c r="Q41" s="312">
        <f t="shared" si="30"/>
        <v>0</v>
      </c>
      <c r="R41" s="312">
        <f t="shared" si="30"/>
        <v>0</v>
      </c>
      <c r="S41" s="312">
        <f t="shared" si="30"/>
        <v>0</v>
      </c>
      <c r="T41" s="312">
        <f t="shared" si="30"/>
        <v>0</v>
      </c>
      <c r="U41" s="312">
        <f t="shared" si="30"/>
        <v>0</v>
      </c>
      <c r="V41" s="312">
        <f t="shared" si="30"/>
        <v>0</v>
      </c>
      <c r="W41" s="312">
        <f t="shared" si="30"/>
        <v>0</v>
      </c>
      <c r="X41" s="312">
        <f t="shared" si="30"/>
        <v>0</v>
      </c>
      <c r="Y41" s="312">
        <f t="shared" si="31"/>
        <v>0</v>
      </c>
      <c r="Z41" s="312">
        <f t="shared" si="31"/>
        <v>0</v>
      </c>
      <c r="AA41" s="312">
        <f t="shared" si="31"/>
        <v>0</v>
      </c>
      <c r="AB41" s="312">
        <f t="shared" si="31"/>
        <v>0</v>
      </c>
      <c r="AC41" s="312">
        <f t="shared" si="31"/>
        <v>0</v>
      </c>
      <c r="AD41" s="312">
        <f t="shared" si="31"/>
        <v>0</v>
      </c>
      <c r="AE41" s="312">
        <f t="shared" si="31"/>
        <v>0</v>
      </c>
    </row>
    <row r="42" spans="2:31" ht="14.1" customHeight="1">
      <c r="B42" s="462" t="str">
        <f>IF(Indice_index!$Z$1=1,"Despesa efetiva","Effective Expenditure")</f>
        <v>Despesa efetiva</v>
      </c>
      <c r="C42" s="462"/>
      <c r="D42" s="136"/>
      <c r="E42" s="108">
        <f t="shared" ref="E42:AE42" si="32">+E27+E36</f>
        <v>218.63347107000001</v>
      </c>
      <c r="F42" s="108">
        <f t="shared" si="32"/>
        <v>39.279272640000002</v>
      </c>
      <c r="G42" s="108">
        <f t="shared" si="32"/>
        <v>310.18775032000002</v>
      </c>
      <c r="H42" s="108">
        <f t="shared" si="32"/>
        <v>37.71252132</v>
      </c>
      <c r="I42" s="108">
        <f t="shared" si="32"/>
        <v>39.279272640000002</v>
      </c>
      <c r="J42" s="108">
        <f t="shared" si="32"/>
        <v>36.464079120000001</v>
      </c>
      <c r="K42" s="108">
        <f t="shared" si="32"/>
        <v>-7.148978679999999</v>
      </c>
      <c r="L42" s="108">
        <f t="shared" si="32"/>
        <v>37.726021320000001</v>
      </c>
      <c r="M42" s="108">
        <f t="shared" si="32"/>
        <v>37.726021320000001</v>
      </c>
      <c r="N42" s="108">
        <f t="shared" si="32"/>
        <v>37.726021320000029</v>
      </c>
      <c r="O42" s="108">
        <f t="shared" si="32"/>
        <v>37.726021320000015</v>
      </c>
      <c r="P42" s="108">
        <f t="shared" si="32"/>
        <v>1529.8504525800001</v>
      </c>
      <c r="Q42" s="108">
        <f t="shared" si="32"/>
        <v>712.13340974999994</v>
      </c>
      <c r="R42" s="108">
        <f t="shared" si="32"/>
        <v>2355.1619262900003</v>
      </c>
      <c r="S42" s="108">
        <f t="shared" si="32"/>
        <v>52.672456999999994</v>
      </c>
      <c r="T42" s="108">
        <f t="shared" si="32"/>
        <v>55.782456999999994</v>
      </c>
      <c r="U42" s="108">
        <f t="shared" si="32"/>
        <v>54.225708319999995</v>
      </c>
      <c r="V42" s="108">
        <f t="shared" si="32"/>
        <v>54.225708319999995</v>
      </c>
      <c r="W42" s="108">
        <f t="shared" si="32"/>
        <v>54.225708319999995</v>
      </c>
      <c r="X42" s="108">
        <f t="shared" si="32"/>
        <v>54.225708319999995</v>
      </c>
      <c r="Y42" s="108">
        <f t="shared" si="32"/>
        <v>220.93880756999999</v>
      </c>
      <c r="Z42" s="108">
        <f t="shared" si="32"/>
        <v>240.00717358000003</v>
      </c>
      <c r="AA42" s="108">
        <f t="shared" si="32"/>
        <v>0</v>
      </c>
      <c r="AB42" s="108">
        <f t="shared" si="32"/>
        <v>0</v>
      </c>
      <c r="AC42" s="108">
        <f t="shared" si="32"/>
        <v>0</v>
      </c>
      <c r="AD42" s="108">
        <f t="shared" si="32"/>
        <v>0</v>
      </c>
      <c r="AE42" s="108">
        <f t="shared" si="32"/>
        <v>786.30372843000009</v>
      </c>
    </row>
    <row r="43" spans="2:31" ht="14.1" customHeight="1">
      <c r="B43" s="455" t="str">
        <f>IF(Indice_index!$Z$1=1,"Impacto no Saldo global","Impact in Overall balance")</f>
        <v>Impacto no Saldo global</v>
      </c>
      <c r="C43" s="456"/>
      <c r="D43" s="190"/>
      <c r="E43" s="191">
        <f t="shared" ref="E43:AE43" si="33">+E26-E42</f>
        <v>-77.285365729999995</v>
      </c>
      <c r="F43" s="108">
        <f t="shared" si="33"/>
        <v>51.801901240000007</v>
      </c>
      <c r="G43" s="108">
        <f t="shared" si="33"/>
        <v>-140.02915426000004</v>
      </c>
      <c r="H43" s="108">
        <f t="shared" si="33"/>
        <v>64.598761719999999</v>
      </c>
      <c r="I43" s="108">
        <f t="shared" si="33"/>
        <v>21.966644070000001</v>
      </c>
      <c r="J43" s="108">
        <f t="shared" si="33"/>
        <v>716.80818040999998</v>
      </c>
      <c r="K43" s="108">
        <f t="shared" si="33"/>
        <v>217.15389880999999</v>
      </c>
      <c r="L43" s="108">
        <f t="shared" si="33"/>
        <v>206.98378269</v>
      </c>
      <c r="M43" s="108">
        <f t="shared" si="33"/>
        <v>-37.597382590000002</v>
      </c>
      <c r="N43" s="108">
        <f t="shared" si="33"/>
        <v>608.36565719000009</v>
      </c>
      <c r="O43" s="108">
        <f t="shared" si="33"/>
        <v>-19.496084910000015</v>
      </c>
      <c r="P43" s="108">
        <f t="shared" si="33"/>
        <v>-1338.44258347</v>
      </c>
      <c r="Q43" s="108">
        <f t="shared" si="33"/>
        <v>1061.9986489500002</v>
      </c>
      <c r="R43" s="108">
        <f t="shared" si="33"/>
        <v>274.82825516999992</v>
      </c>
      <c r="S43" s="191">
        <f t="shared" si="33"/>
        <v>93.552503560000005</v>
      </c>
      <c r="T43" s="108">
        <f t="shared" si="33"/>
        <v>60.950036269999998</v>
      </c>
      <c r="U43" s="108">
        <f t="shared" si="33"/>
        <v>135.62688835999998</v>
      </c>
      <c r="V43" s="108">
        <f t="shared" si="33"/>
        <v>69.529437699999988</v>
      </c>
      <c r="W43" s="108">
        <f t="shared" si="33"/>
        <v>619.07601485999999</v>
      </c>
      <c r="X43" s="108">
        <f t="shared" si="33"/>
        <v>148.24913463000004</v>
      </c>
      <c r="Y43" s="108">
        <f t="shared" si="33"/>
        <v>-207.02689581999999</v>
      </c>
      <c r="Z43" s="108">
        <f t="shared" si="33"/>
        <v>-239.26256529000003</v>
      </c>
      <c r="AA43" s="108">
        <f t="shared" si="33"/>
        <v>0</v>
      </c>
      <c r="AB43" s="108">
        <f t="shared" si="33"/>
        <v>0</v>
      </c>
      <c r="AC43" s="108">
        <f t="shared" si="33"/>
        <v>0</v>
      </c>
      <c r="AD43" s="108">
        <f t="shared" si="33"/>
        <v>0</v>
      </c>
      <c r="AE43" s="108">
        <f t="shared" si="33"/>
        <v>680.6945542699998</v>
      </c>
    </row>
    <row r="44" spans="2:31" ht="14.1" customHeight="1">
      <c r="B44" s="457" t="str">
        <f>IF(Indice_index!$Z$1=1,"   Por memória:","   Memo item:")</f>
        <v xml:space="preserve">   Por memória:</v>
      </c>
      <c r="C44" s="457"/>
      <c r="D44" s="330"/>
      <c r="E44" s="312"/>
      <c r="F44" s="312"/>
      <c r="G44" s="312"/>
      <c r="H44" s="312"/>
      <c r="I44" s="312"/>
      <c r="J44" s="312"/>
      <c r="K44" s="312"/>
      <c r="L44" s="312"/>
      <c r="M44" s="312"/>
      <c r="N44" s="312"/>
      <c r="O44" s="312"/>
      <c r="P44" s="312"/>
      <c r="Q44" s="312"/>
      <c r="R44" s="312"/>
      <c r="S44" s="312"/>
      <c r="T44" s="312"/>
      <c r="U44" s="312"/>
      <c r="V44" s="312"/>
      <c r="W44" s="312"/>
      <c r="X44" s="312"/>
      <c r="Y44" s="312"/>
      <c r="Z44" s="312"/>
      <c r="AA44" s="312"/>
      <c r="AB44" s="312"/>
      <c r="AC44" s="312"/>
      <c r="AD44" s="312"/>
      <c r="AE44" s="312"/>
    </row>
    <row r="45" spans="2:31" ht="14.1" customHeight="1">
      <c r="B45" s="359" t="str">
        <f>IF(Indice_index!$Z$1=1,"Saldo corrente","Current balance")</f>
        <v>Saldo corrente</v>
      </c>
      <c r="C45" s="359"/>
      <c r="D45" s="330"/>
      <c r="E45" s="312">
        <f t="shared" ref="E45:AE45" si="34">+E12-E27</f>
        <v>-50.445983729999995</v>
      </c>
      <c r="F45" s="312">
        <f t="shared" si="34"/>
        <v>81.747785880000009</v>
      </c>
      <c r="G45" s="312">
        <f t="shared" si="34"/>
        <v>-111.68152094000004</v>
      </c>
      <c r="H45" s="312">
        <f t="shared" si="34"/>
        <v>90.05289504000001</v>
      </c>
      <c r="I45" s="312">
        <f t="shared" si="34"/>
        <v>51.912528710000004</v>
      </c>
      <c r="J45" s="312">
        <f t="shared" si="34"/>
        <v>609.31064847999994</v>
      </c>
      <c r="K45" s="312">
        <f t="shared" si="34"/>
        <v>245.54653213</v>
      </c>
      <c r="L45" s="312">
        <f t="shared" si="34"/>
        <v>235.37641601000001</v>
      </c>
      <c r="M45" s="312">
        <f t="shared" si="34"/>
        <v>-9.2047492699999989</v>
      </c>
      <c r="N45" s="312">
        <f t="shared" si="34"/>
        <v>636.75829051000005</v>
      </c>
      <c r="O45" s="312">
        <f t="shared" si="34"/>
        <v>8.896548409999987</v>
      </c>
      <c r="P45" s="312">
        <f t="shared" si="34"/>
        <v>-1309.9895981500001</v>
      </c>
      <c r="Q45" s="312">
        <f t="shared" si="34"/>
        <v>1151.8193015800002</v>
      </c>
      <c r="R45" s="312">
        <f t="shared" si="34"/>
        <v>478.27979308000022</v>
      </c>
      <c r="S45" s="312">
        <f t="shared" si="34"/>
        <v>133.86255055999999</v>
      </c>
      <c r="T45" s="312">
        <f t="shared" si="34"/>
        <v>104.37008326999999</v>
      </c>
      <c r="U45" s="312">
        <f t="shared" si="34"/>
        <v>177.49018667999997</v>
      </c>
      <c r="V45" s="312">
        <f t="shared" si="34"/>
        <v>111.39273601999999</v>
      </c>
      <c r="W45" s="312">
        <f t="shared" si="34"/>
        <v>660.93931318</v>
      </c>
      <c r="X45" s="312">
        <f t="shared" si="34"/>
        <v>190.11243295000003</v>
      </c>
      <c r="Y45" s="312">
        <f t="shared" si="34"/>
        <v>-165.16359750000001</v>
      </c>
      <c r="Z45" s="312">
        <f t="shared" si="34"/>
        <v>-197.39926697000001</v>
      </c>
      <c r="AA45" s="312">
        <f t="shared" si="34"/>
        <v>0</v>
      </c>
      <c r="AB45" s="312">
        <f t="shared" si="34"/>
        <v>0</v>
      </c>
      <c r="AC45" s="312">
        <f t="shared" si="34"/>
        <v>0</v>
      </c>
      <c r="AD45" s="312">
        <f t="shared" si="34"/>
        <v>0</v>
      </c>
      <c r="AE45" s="312">
        <f t="shared" si="34"/>
        <v>1015.6044381899999</v>
      </c>
    </row>
    <row r="46" spans="2:31" ht="14.1" customHeight="1">
      <c r="B46" s="359" t="str">
        <f>IF(Indice_index!$Z$1=1,"Saldo de capital","Capital balance")</f>
        <v>Saldo de capital</v>
      </c>
      <c r="C46" s="359"/>
      <c r="D46" s="330"/>
      <c r="E46" s="312">
        <f t="shared" ref="E46:AE46" si="35">+E20-E36</f>
        <v>-26.839382000000001</v>
      </c>
      <c r="F46" s="312">
        <f t="shared" si="35"/>
        <v>-29.945884639999999</v>
      </c>
      <c r="G46" s="312">
        <f t="shared" si="35"/>
        <v>-28.34763332</v>
      </c>
      <c r="H46" s="312">
        <f t="shared" si="35"/>
        <v>-25.45413332</v>
      </c>
      <c r="I46" s="312">
        <f t="shared" si="35"/>
        <v>-29.945884639999999</v>
      </c>
      <c r="J46" s="312">
        <f t="shared" si="35"/>
        <v>107.49753193000001</v>
      </c>
      <c r="K46" s="312">
        <f t="shared" si="35"/>
        <v>-28.392633320000002</v>
      </c>
      <c r="L46" s="312">
        <f t="shared" si="35"/>
        <v>-28.392633320000002</v>
      </c>
      <c r="M46" s="312">
        <f t="shared" si="35"/>
        <v>-28.392633320000002</v>
      </c>
      <c r="N46" s="312">
        <f t="shared" si="35"/>
        <v>-28.39263332000003</v>
      </c>
      <c r="O46" s="312">
        <f t="shared" si="35"/>
        <v>-28.392633319999998</v>
      </c>
      <c r="P46" s="312">
        <f t="shared" si="35"/>
        <v>-28.452985319999968</v>
      </c>
      <c r="Q46" s="312">
        <f t="shared" si="35"/>
        <v>-89.820652629999984</v>
      </c>
      <c r="R46" s="312">
        <f t="shared" si="35"/>
        <v>-203.45153791000004</v>
      </c>
      <c r="S46" s="312">
        <f t="shared" si="35"/>
        <v>-40.310046999999997</v>
      </c>
      <c r="T46" s="312">
        <f t="shared" si="35"/>
        <v>-43.420046999999997</v>
      </c>
      <c r="U46" s="312">
        <f t="shared" si="35"/>
        <v>-41.863298319999998</v>
      </c>
      <c r="V46" s="312">
        <f t="shared" si="35"/>
        <v>-41.863298319999998</v>
      </c>
      <c r="W46" s="312">
        <f t="shared" si="35"/>
        <v>-41.863298319999998</v>
      </c>
      <c r="X46" s="312">
        <f t="shared" si="35"/>
        <v>-41.863298319999998</v>
      </c>
      <c r="Y46" s="312">
        <f t="shared" si="35"/>
        <v>-41.863298319999998</v>
      </c>
      <c r="Z46" s="312">
        <f t="shared" si="35"/>
        <v>-41.863298319999998</v>
      </c>
      <c r="AA46" s="312">
        <f t="shared" si="35"/>
        <v>0</v>
      </c>
      <c r="AB46" s="312">
        <f t="shared" si="35"/>
        <v>0</v>
      </c>
      <c r="AC46" s="312">
        <f t="shared" si="35"/>
        <v>0</v>
      </c>
      <c r="AD46" s="312">
        <f t="shared" si="35"/>
        <v>0</v>
      </c>
      <c r="AE46" s="312">
        <f t="shared" si="35"/>
        <v>-334.90988392000003</v>
      </c>
    </row>
    <row r="47" spans="2:31" ht="14.1" customHeight="1">
      <c r="B47" s="359" t="str">
        <f>IF(Indice_index!$Z$1=1,"Saldo primário","Primary balance")</f>
        <v>Saldo primário</v>
      </c>
      <c r="C47" s="359"/>
      <c r="D47" s="330"/>
      <c r="E47" s="312">
        <f t="shared" ref="E47:AE47" si="36">+E43+E30</f>
        <v>-77.285365729999995</v>
      </c>
      <c r="F47" s="312">
        <f t="shared" si="36"/>
        <v>51.801901240000007</v>
      </c>
      <c r="G47" s="312">
        <f t="shared" si="36"/>
        <v>-140.02915426000004</v>
      </c>
      <c r="H47" s="312">
        <f t="shared" si="36"/>
        <v>64.598761719999999</v>
      </c>
      <c r="I47" s="312">
        <f t="shared" si="36"/>
        <v>21.966644070000001</v>
      </c>
      <c r="J47" s="312">
        <f t="shared" si="36"/>
        <v>716.80818040999998</v>
      </c>
      <c r="K47" s="312">
        <f t="shared" si="36"/>
        <v>217.15389880999999</v>
      </c>
      <c r="L47" s="312">
        <f t="shared" si="36"/>
        <v>206.98378269</v>
      </c>
      <c r="M47" s="312">
        <f t="shared" si="36"/>
        <v>-37.597382590000002</v>
      </c>
      <c r="N47" s="312">
        <f t="shared" si="36"/>
        <v>608.36565719000009</v>
      </c>
      <c r="O47" s="312">
        <f t="shared" si="36"/>
        <v>-19.496084910000015</v>
      </c>
      <c r="P47" s="312">
        <f t="shared" si="36"/>
        <v>-1338.44258347</v>
      </c>
      <c r="Q47" s="312">
        <f t="shared" si="36"/>
        <v>1061.9986489500002</v>
      </c>
      <c r="R47" s="312">
        <f t="shared" si="36"/>
        <v>274.82825516999992</v>
      </c>
      <c r="S47" s="312">
        <f t="shared" si="36"/>
        <v>93.552503560000005</v>
      </c>
      <c r="T47" s="312">
        <f t="shared" si="36"/>
        <v>60.950036269999998</v>
      </c>
      <c r="U47" s="312">
        <f t="shared" si="36"/>
        <v>135.62688835999998</v>
      </c>
      <c r="V47" s="312">
        <f t="shared" si="36"/>
        <v>69.529437699999988</v>
      </c>
      <c r="W47" s="312">
        <f t="shared" si="36"/>
        <v>619.07601485999999</v>
      </c>
      <c r="X47" s="312">
        <f t="shared" si="36"/>
        <v>148.24913463000004</v>
      </c>
      <c r="Y47" s="312">
        <f t="shared" si="36"/>
        <v>-207.02689581999999</v>
      </c>
      <c r="Z47" s="312">
        <f t="shared" si="36"/>
        <v>-239.26256529000003</v>
      </c>
      <c r="AA47" s="312">
        <f t="shared" si="36"/>
        <v>0</v>
      </c>
      <c r="AB47" s="312">
        <f t="shared" si="36"/>
        <v>0</v>
      </c>
      <c r="AC47" s="312">
        <f t="shared" si="36"/>
        <v>0</v>
      </c>
      <c r="AD47" s="312">
        <f t="shared" si="36"/>
        <v>0</v>
      </c>
      <c r="AE47" s="312">
        <f t="shared" si="36"/>
        <v>680.6945542699998</v>
      </c>
    </row>
    <row r="48" spans="2:31" ht="14.1" customHeight="1">
      <c r="B48" s="459" t="str">
        <f>IF(Indice_index!$Z$1=1,"Despesa  primária","Primary Expenditure")</f>
        <v>Despesa  primária</v>
      </c>
      <c r="C48" s="459"/>
      <c r="D48" s="333"/>
      <c r="E48" s="334">
        <f t="shared" ref="E48:AE48" si="37">+E42-E30</f>
        <v>218.63347107000001</v>
      </c>
      <c r="F48" s="334">
        <f t="shared" si="37"/>
        <v>39.279272640000002</v>
      </c>
      <c r="G48" s="334">
        <f t="shared" si="37"/>
        <v>310.18775032000002</v>
      </c>
      <c r="H48" s="334">
        <f t="shared" si="37"/>
        <v>37.71252132</v>
      </c>
      <c r="I48" s="334">
        <f t="shared" si="37"/>
        <v>39.279272640000002</v>
      </c>
      <c r="J48" s="334">
        <f t="shared" si="37"/>
        <v>36.464079120000001</v>
      </c>
      <c r="K48" s="334">
        <f t="shared" si="37"/>
        <v>-7.148978679999999</v>
      </c>
      <c r="L48" s="334">
        <f t="shared" si="37"/>
        <v>37.726021320000001</v>
      </c>
      <c r="M48" s="334">
        <f t="shared" si="37"/>
        <v>37.726021320000001</v>
      </c>
      <c r="N48" s="334">
        <f t="shared" si="37"/>
        <v>37.726021320000029</v>
      </c>
      <c r="O48" s="334">
        <f t="shared" si="37"/>
        <v>37.726021320000015</v>
      </c>
      <c r="P48" s="334">
        <f t="shared" si="37"/>
        <v>1529.8504525800001</v>
      </c>
      <c r="Q48" s="334">
        <f t="shared" si="37"/>
        <v>712.13340974999994</v>
      </c>
      <c r="R48" s="334">
        <f t="shared" si="37"/>
        <v>2355.1619262900003</v>
      </c>
      <c r="S48" s="334">
        <f t="shared" si="37"/>
        <v>52.672456999999994</v>
      </c>
      <c r="T48" s="334">
        <f t="shared" si="37"/>
        <v>55.782456999999994</v>
      </c>
      <c r="U48" s="334">
        <f t="shared" si="37"/>
        <v>54.225708319999995</v>
      </c>
      <c r="V48" s="334">
        <f t="shared" si="37"/>
        <v>54.225708319999995</v>
      </c>
      <c r="W48" s="334">
        <f t="shared" si="37"/>
        <v>54.225708319999995</v>
      </c>
      <c r="X48" s="334">
        <f t="shared" si="37"/>
        <v>54.225708319999995</v>
      </c>
      <c r="Y48" s="334">
        <f t="shared" si="37"/>
        <v>220.93880756999999</v>
      </c>
      <c r="Z48" s="334">
        <f t="shared" si="37"/>
        <v>240.00717358000003</v>
      </c>
      <c r="AA48" s="334">
        <f t="shared" si="37"/>
        <v>0</v>
      </c>
      <c r="AB48" s="334">
        <f t="shared" si="37"/>
        <v>0</v>
      </c>
      <c r="AC48" s="334">
        <f t="shared" si="37"/>
        <v>0</v>
      </c>
      <c r="AD48" s="334">
        <f t="shared" si="37"/>
        <v>0</v>
      </c>
      <c r="AE48" s="334">
        <f t="shared" si="37"/>
        <v>786.30372843000009</v>
      </c>
    </row>
    <row r="49" spans="2:31" ht="15">
      <c r="E49" s="56"/>
      <c r="F49" s="56"/>
      <c r="G49" s="56"/>
      <c r="H49" s="56"/>
      <c r="I49" s="56"/>
      <c r="J49" s="56"/>
      <c r="K49" s="56"/>
      <c r="L49" s="56"/>
      <c r="M49" s="56"/>
      <c r="N49" s="56"/>
      <c r="O49" s="56"/>
      <c r="P49" s="56"/>
      <c r="Q49" s="56"/>
      <c r="R49" s="56"/>
      <c r="S49" s="56"/>
      <c r="T49" s="56"/>
      <c r="U49" s="56"/>
      <c r="V49" s="56"/>
      <c r="W49" s="56"/>
      <c r="X49" s="56"/>
      <c r="Y49" s="56"/>
      <c r="Z49" s="56"/>
      <c r="AA49" s="56"/>
      <c r="AB49" s="56"/>
      <c r="AC49" s="56"/>
      <c r="AD49" s="56"/>
      <c r="AE49" s="56"/>
    </row>
    <row r="50" spans="2:31" ht="16.350000000000001" customHeight="1">
      <c r="B50" s="460" t="str">
        <f>IF(Indice_index!$Z$1=1,"Efeitos temporários/especiais na conta da Administração Central e Segurança Social","Temporary/special effects on the Central Government and Social Security Account")</f>
        <v>Efeitos temporários/especiais na conta da Administração Central e Segurança Social</v>
      </c>
      <c r="C50" s="461"/>
      <c r="D50" s="461"/>
      <c r="E50" s="461"/>
      <c r="F50" s="461"/>
      <c r="G50" s="461"/>
      <c r="H50" s="461"/>
      <c r="I50" s="461"/>
      <c r="J50" s="461"/>
      <c r="K50" s="461"/>
      <c r="L50" s="461"/>
      <c r="M50" s="461"/>
      <c r="N50" s="461"/>
      <c r="O50" s="461"/>
      <c r="P50" s="461"/>
      <c r="Q50" s="461"/>
      <c r="R50" s="461"/>
      <c r="S50" s="461"/>
      <c r="T50" s="461"/>
      <c r="U50" s="461"/>
      <c r="V50" s="461"/>
      <c r="W50" s="461"/>
      <c r="X50" s="461"/>
      <c r="Y50" s="461"/>
      <c r="Z50" s="461"/>
      <c r="AA50" s="461"/>
      <c r="AB50" s="461"/>
      <c r="AC50" s="461"/>
      <c r="AD50" s="461"/>
      <c r="AE50" s="461"/>
    </row>
    <row r="51" spans="2:31" ht="16.350000000000001" customHeight="1">
      <c r="B51" s="373"/>
      <c r="C51" s="374"/>
      <c r="D51" s="109"/>
      <c r="E51" s="373" t="str">
        <f>IF(Indice_index!$Z$1=1,"2024","2024")</f>
        <v>2024</v>
      </c>
      <c r="F51" s="374" t="s">
        <v>42</v>
      </c>
      <c r="G51" s="374" t="s">
        <v>42</v>
      </c>
      <c r="H51" s="374" t="s">
        <v>42</v>
      </c>
      <c r="I51" s="374" t="s">
        <v>42</v>
      </c>
      <c r="J51" s="374" t="s">
        <v>42</v>
      </c>
      <c r="K51" s="374" t="s">
        <v>42</v>
      </c>
      <c r="L51" s="374" t="s">
        <v>42</v>
      </c>
      <c r="M51" s="374" t="s">
        <v>42</v>
      </c>
      <c r="N51" s="374" t="s">
        <v>42</v>
      </c>
      <c r="O51" s="374" t="s">
        <v>42</v>
      </c>
      <c r="P51" s="374" t="s">
        <v>42</v>
      </c>
      <c r="Q51" s="374"/>
      <c r="R51" s="374" t="s">
        <v>42</v>
      </c>
      <c r="S51" s="373" t="str">
        <f>IF(Indice_index!$Z$1=1,"2025","2025")</f>
        <v>2025</v>
      </c>
      <c r="T51" s="374" t="s">
        <v>42</v>
      </c>
      <c r="U51" s="374" t="s">
        <v>42</v>
      </c>
      <c r="V51" s="374" t="s">
        <v>42</v>
      </c>
      <c r="W51" s="374" t="s">
        <v>42</v>
      </c>
      <c r="X51" s="374" t="s">
        <v>42</v>
      </c>
      <c r="Y51" s="374" t="s">
        <v>42</v>
      </c>
      <c r="Z51" s="374" t="s">
        <v>42</v>
      </c>
      <c r="AA51" s="374" t="s">
        <v>42</v>
      </c>
      <c r="AB51" s="374" t="s">
        <v>42</v>
      </c>
      <c r="AC51" s="374" t="s">
        <v>42</v>
      </c>
      <c r="AD51" s="374" t="s">
        <v>42</v>
      </c>
      <c r="AE51" s="374" t="s">
        <v>42</v>
      </c>
    </row>
    <row r="52" spans="2:31" ht="26.85" customHeight="1">
      <c r="B52" s="373"/>
      <c r="C52" s="374"/>
      <c r="D52" s="109"/>
      <c r="E52" s="22" t="str">
        <f>IF(Indice_index!$Z$1=1,"jan","Jan")</f>
        <v>jan</v>
      </c>
      <c r="F52" s="22" t="str">
        <f>IF(Indice_index!$Z$1=1,"fev","Feb")</f>
        <v>fev</v>
      </c>
      <c r="G52" s="22" t="str">
        <f>IF(Indice_index!$Z$1=1,"mar","Mar")</f>
        <v>mar</v>
      </c>
      <c r="H52" s="22" t="str">
        <f>IF(Indice_index!$Z$1=1,"abr","Apr")</f>
        <v>abr</v>
      </c>
      <c r="I52" s="22" t="str">
        <f>IF(Indice_index!$Z$1=1,"mai","May")</f>
        <v>mai</v>
      </c>
      <c r="J52" s="22" t="str">
        <f>IF(Indice_index!$Z$1=1,"jun","Jun")</f>
        <v>jun</v>
      </c>
      <c r="K52" s="22" t="str">
        <f>IF(Indice_index!$Z$1=1,"jul","Jul")</f>
        <v>jul</v>
      </c>
      <c r="L52" s="22" t="str">
        <f>IF(Indice_index!$Z$1=1,"ago","Aug")</f>
        <v>ago</v>
      </c>
      <c r="M52" s="22" t="str">
        <f>IF(Indice_index!$Z$1=1,"set","Sep")</f>
        <v>set</v>
      </c>
      <c r="N52" s="22" t="str">
        <f>IF(Indice_index!$Z$1=1,"out","Oct")</f>
        <v>out</v>
      </c>
      <c r="O52" s="22" t="str">
        <f>IF(Indice_index!$Z$1=1,"nov","Nov")</f>
        <v>nov</v>
      </c>
      <c r="P52" s="22" t="str">
        <f>IF(Indice_index!$Z$1=1,"dez","Dec")</f>
        <v>dez</v>
      </c>
      <c r="Q52" s="22" t="str">
        <f>IF(Indice_index!$Z$1=1,"Ano até 
à data","Year to date")</f>
        <v>Ano até 
à data</v>
      </c>
      <c r="R52" s="22" t="str">
        <f>IF(Indice_index!$Z$1=1,"Acumulado","Cumulative")</f>
        <v>Acumulado</v>
      </c>
      <c r="S52" s="22" t="str">
        <f>IF(Indice_index!$Z$1=1,"jan","Jan")</f>
        <v>jan</v>
      </c>
      <c r="T52" s="22" t="str">
        <f>IF(Indice_index!$Z$1=1,"fev","Feb")</f>
        <v>fev</v>
      </c>
      <c r="U52" s="22" t="str">
        <f>IF(Indice_index!$Z$1=1,"mar","Mar")</f>
        <v>mar</v>
      </c>
      <c r="V52" s="22" t="str">
        <f>IF(Indice_index!$Z$1=1,"abr","Apr")</f>
        <v>abr</v>
      </c>
      <c r="W52" s="22" t="str">
        <f>IF(Indice_index!$Z$1=1,"mai","May")</f>
        <v>mai</v>
      </c>
      <c r="X52" s="22" t="str">
        <f>IF(Indice_index!$Z$1=1,"jun","Jun")</f>
        <v>jun</v>
      </c>
      <c r="Y52" s="22" t="str">
        <f>IF(Indice_index!$Z$1=1,"jul","Jul")</f>
        <v>jul</v>
      </c>
      <c r="Z52" s="22" t="str">
        <f>IF(Indice_index!$Z$1=1,"ago","Aug")</f>
        <v>ago</v>
      </c>
      <c r="AA52" s="22" t="str">
        <f>IF(Indice_index!$Z$1=1,"set","Sep")</f>
        <v>set</v>
      </c>
      <c r="AB52" s="22" t="str">
        <f>IF(Indice_index!$Z$1=1,"out","Oct")</f>
        <v>out</v>
      </c>
      <c r="AC52" s="22" t="str">
        <f>IF(Indice_index!$Z$1=1,"nov","Nov")</f>
        <v>nov</v>
      </c>
      <c r="AD52" s="22" t="str">
        <f>IF(Indice_index!$Z$1=1,"dez","Dec")</f>
        <v>dez</v>
      </c>
      <c r="AE52" s="22" t="str">
        <f>IF(Indice_index!$Z$1=1,"Acumulado","Cumulative")</f>
        <v>Acumulado</v>
      </c>
    </row>
    <row r="53" spans="2:31" ht="15">
      <c r="B53" s="455" t="str">
        <f>IF(Indice_index!$Z$1=1,"Subtotal da Administração Central","Central Government subtotal")</f>
        <v>Subtotal da Administração Central</v>
      </c>
      <c r="C53" s="456"/>
      <c r="D53" s="107"/>
      <c r="E53" s="108">
        <f t="shared" ref="E53:AE53" si="38">SUMIF($C54:$C85,"Receita",E54:E85)-SUMIF($C54:$C85,"Despesa",E54:E85)+SUMIF($C54:$C85,"Revenue",E54:E85)-SUMIF($C54:$C85,"Expenditure",E54:E85)</f>
        <v>-77.285365729999967</v>
      </c>
      <c r="F53" s="108">
        <f t="shared" si="38"/>
        <v>51.801901240000007</v>
      </c>
      <c r="G53" s="108">
        <f t="shared" si="38"/>
        <v>-140.02915426000004</v>
      </c>
      <c r="H53" s="108">
        <f t="shared" si="38"/>
        <v>64.598761719999999</v>
      </c>
      <c r="I53" s="108">
        <f t="shared" si="38"/>
        <v>21.966644069999994</v>
      </c>
      <c r="J53" s="108">
        <f t="shared" si="38"/>
        <v>716.80818040999998</v>
      </c>
      <c r="K53" s="108">
        <f t="shared" si="38"/>
        <v>217.15389880999999</v>
      </c>
      <c r="L53" s="108">
        <f t="shared" si="38"/>
        <v>206.98378269</v>
      </c>
      <c r="M53" s="108">
        <f t="shared" si="38"/>
        <v>-37.597382590000002</v>
      </c>
      <c r="N53" s="108">
        <f t="shared" si="38"/>
        <v>608.36565719000009</v>
      </c>
      <c r="O53" s="108">
        <f t="shared" si="38"/>
        <v>-19.496084910000015</v>
      </c>
      <c r="P53" s="108">
        <f t="shared" si="38"/>
        <v>-1338.4425834700003</v>
      </c>
      <c r="Q53" s="108">
        <f t="shared" si="38"/>
        <v>1061.9986489499997</v>
      </c>
      <c r="R53" s="108">
        <f t="shared" si="38"/>
        <v>274.82825517000083</v>
      </c>
      <c r="S53" s="108">
        <f t="shared" si="38"/>
        <v>93.552503560000005</v>
      </c>
      <c r="T53" s="108">
        <f t="shared" si="38"/>
        <v>60.950036269999998</v>
      </c>
      <c r="U53" s="108">
        <f t="shared" si="38"/>
        <v>135.62688835999998</v>
      </c>
      <c r="V53" s="108">
        <f t="shared" si="38"/>
        <v>69.529437699999988</v>
      </c>
      <c r="W53" s="108">
        <f t="shared" si="38"/>
        <v>619.07601485999999</v>
      </c>
      <c r="X53" s="108">
        <f t="shared" si="38"/>
        <v>148.24913463000004</v>
      </c>
      <c r="Y53" s="108">
        <f t="shared" si="38"/>
        <v>-207.02689581999999</v>
      </c>
      <c r="Z53" s="108">
        <f t="shared" si="38"/>
        <v>-239.26256528999997</v>
      </c>
      <c r="AA53" s="108">
        <f t="shared" si="38"/>
        <v>0</v>
      </c>
      <c r="AB53" s="108">
        <f t="shared" si="38"/>
        <v>0</v>
      </c>
      <c r="AC53" s="108">
        <f t="shared" si="38"/>
        <v>0</v>
      </c>
      <c r="AD53" s="108">
        <f t="shared" si="38"/>
        <v>0</v>
      </c>
      <c r="AE53" s="108">
        <f t="shared" si="38"/>
        <v>680.69455427000014</v>
      </c>
    </row>
    <row r="54" spans="2:31" ht="13.5" customHeight="1">
      <c r="B54" s="142" t="str">
        <f>IF(Indice_index!$Z$1=1,"Consignação do IRC ao Fundo de Estabilização Financeira da Segurança Social (FEFSS)","Tax revenue (Corporate Income Tax) assigned to the Fund for the Financial Stability of the Social Security System (FEFSS)")</f>
        <v>Consignação do IRC ao Fundo de Estabilização Financeira da Segurança Social (FEFSS)</v>
      </c>
      <c r="C54" s="143" t="str">
        <f>IF(Indice_index!$Z$1=1,"Receita","Revenue")</f>
        <v>Receita</v>
      </c>
      <c r="D54" s="102" t="s">
        <v>17</v>
      </c>
      <c r="E54" s="287"/>
      <c r="F54" s="287"/>
      <c r="G54" s="288"/>
      <c r="H54" s="288"/>
      <c r="I54" s="288"/>
      <c r="J54" s="288"/>
      <c r="K54" s="288"/>
      <c r="L54" s="288"/>
      <c r="M54" s="288"/>
      <c r="N54" s="288">
        <v>586.00862285000005</v>
      </c>
      <c r="O54" s="288"/>
      <c r="P54" s="288"/>
      <c r="Q54" s="288">
        <f>SUM(E54:L54)</f>
        <v>0</v>
      </c>
      <c r="R54" s="288">
        <f>SUM(E54:P54)</f>
        <v>586.00862285000005</v>
      </c>
      <c r="S54" s="287"/>
      <c r="T54" s="287"/>
      <c r="U54" s="288"/>
      <c r="V54" s="288"/>
      <c r="W54" s="288"/>
      <c r="X54" s="288"/>
      <c r="Y54" s="288"/>
      <c r="Z54" s="288"/>
      <c r="AA54" s="288"/>
      <c r="AB54" s="288"/>
      <c r="AC54" s="288"/>
      <c r="AD54" s="288"/>
      <c r="AE54" s="288">
        <f>SUM(S54:AD54)</f>
        <v>0</v>
      </c>
    </row>
    <row r="55" spans="2:31" ht="14.1" customHeight="1">
      <c r="B55" s="142" t="str">
        <f>IF(Indice_index!$Z$1=1,"Contribuição extraordinária sobre o setor bancário - consignada ao Fundo de Resolução","Extraordinary contribution over the baking sector - Assigned to the to the Resolution Fund")</f>
        <v>Contribuição extraordinária sobre o setor bancário - consignada ao Fundo de Resolução</v>
      </c>
      <c r="C55" s="143" t="str">
        <f>IF(Indice_index!$Z$1=1,"Receita","Revenue")</f>
        <v>Receita</v>
      </c>
      <c r="D55" s="102" t="s">
        <v>17</v>
      </c>
      <c r="E55" s="287"/>
      <c r="F55" s="287"/>
      <c r="G55" s="288">
        <v>0.36648025000000001</v>
      </c>
      <c r="H55" s="288"/>
      <c r="I55" s="288">
        <v>0.99428638999999996</v>
      </c>
      <c r="J55" s="288">
        <v>187.57081162</v>
      </c>
      <c r="K55" s="288">
        <v>6.7777370000000003E-2</v>
      </c>
      <c r="L55" s="288">
        <v>-0.62938136</v>
      </c>
      <c r="M55" s="288"/>
      <c r="N55" s="288"/>
      <c r="O55" s="288"/>
      <c r="P55" s="288"/>
      <c r="Q55" s="288">
        <f t="shared" ref="Q55:Q85" si="39">SUM(E55:L55)</f>
        <v>188.36997427</v>
      </c>
      <c r="R55" s="288">
        <f t="shared" ref="R55" si="40">SUM(E55:P55)</f>
        <v>188.36997427</v>
      </c>
      <c r="S55" s="287"/>
      <c r="T55" s="287"/>
      <c r="U55" s="288"/>
      <c r="V55" s="288">
        <v>0.42140464999999999</v>
      </c>
      <c r="W55" s="288">
        <v>-6.8736619999999998E-2</v>
      </c>
      <c r="X55" s="288">
        <v>191.64427022000001</v>
      </c>
      <c r="Y55" s="288">
        <v>1.2702470299999999</v>
      </c>
      <c r="Z55" s="288"/>
      <c r="AA55" s="288"/>
      <c r="AB55" s="288"/>
      <c r="AC55" s="288"/>
      <c r="AD55" s="288"/>
      <c r="AE55" s="288">
        <f>SUM(S55:AD55)</f>
        <v>193.26718528000001</v>
      </c>
    </row>
    <row r="56" spans="2:31" ht="14.1" customHeight="1">
      <c r="B56" s="142" t="str">
        <f>IF(Indice_index!$Z$1=1,"Contribuição extraordinária sobre o setor energético - consignada ao Fundo Ambiental","Extraordinary contribution over the energy sector - Assigned to the to the Environmental Fund")</f>
        <v>Contribuição extraordinária sobre o setor energético - consignada ao Fundo Ambiental</v>
      </c>
      <c r="C56" s="143" t="str">
        <f>IF(Indice_index!$Z$1=1,"Receita","Revenue")</f>
        <v>Receita</v>
      </c>
      <c r="D56" s="102" t="s">
        <v>17</v>
      </c>
      <c r="E56" s="287">
        <v>0.52537933000000003</v>
      </c>
      <c r="F56" s="287">
        <v>-0.34765652000000002</v>
      </c>
      <c r="G56" s="288"/>
      <c r="H56" s="288">
        <v>-0.43179037999999997</v>
      </c>
      <c r="I56" s="288">
        <v>0.29464562</v>
      </c>
      <c r="J56" s="288">
        <v>0.84749121000000005</v>
      </c>
      <c r="K56" s="288">
        <v>0.19559972</v>
      </c>
      <c r="L56" s="288"/>
      <c r="M56" s="288">
        <v>6.0301979999999998E-2</v>
      </c>
      <c r="N56" s="288">
        <v>50.387072009999997</v>
      </c>
      <c r="O56" s="288">
        <v>4.1099700000000001E-3</v>
      </c>
      <c r="P56" s="288">
        <v>2.1154341900000002</v>
      </c>
      <c r="Q56" s="288">
        <f>SUM(E56:L56)</f>
        <v>1.0836689800000001</v>
      </c>
      <c r="R56" s="288">
        <f t="shared" ref="R56:R69" si="41">SUM(E56:P56)</f>
        <v>53.650587129999998</v>
      </c>
      <c r="S56" s="287">
        <v>-0.86642496999999996</v>
      </c>
      <c r="T56" s="287">
        <v>2.5368550700000001</v>
      </c>
      <c r="U56" s="288">
        <v>-0.31989685000000001</v>
      </c>
      <c r="V56" s="288"/>
      <c r="W56" s="288">
        <v>1.67776741</v>
      </c>
      <c r="X56" s="288">
        <v>0.58460486</v>
      </c>
      <c r="Y56" s="288">
        <v>0.50934849000000004</v>
      </c>
      <c r="Z56" s="294">
        <v>4.6878240000000002E-2</v>
      </c>
      <c r="AA56" s="288"/>
      <c r="AB56" s="288"/>
      <c r="AC56" s="288"/>
      <c r="AD56" s="288"/>
      <c r="AE56" s="288">
        <f t="shared" ref="AE56:AE84" si="42">SUM(S56:AD56)</f>
        <v>4.1691322499999997</v>
      </c>
    </row>
    <row r="57" spans="2:31" ht="13.5" customHeight="1">
      <c r="B57" s="142" t="str">
        <f>IF(Indice_index!$Z$1=1,"Consignação do ISP (Adicional sobre as emissões de CO2) ao Fundo Ambiental no âmbito do 'Incentiva +TP'","Tax revenue (Tax on oil and energy products (ISP) - Additional CO2 emissions) assigned to the Environmental Fund aimed at financing the ‘Incentiva +TP’")</f>
        <v>Consignação do ISP (Adicional sobre as emissões de CO2) ao Fundo Ambiental no âmbito do 'Incentiva +TP'</v>
      </c>
      <c r="C57" s="143" t="str">
        <f>IF(Indice_index!$Z$1=1,"Receita","Revenue")</f>
        <v>Receita</v>
      </c>
      <c r="D57" s="102" t="s">
        <v>18</v>
      </c>
      <c r="E57" s="287">
        <v>81.950739540000001</v>
      </c>
      <c r="F57" s="287">
        <v>91.373872520000006</v>
      </c>
      <c r="G57" s="288">
        <v>85.428676830000001</v>
      </c>
      <c r="H57" s="288">
        <v>92.073773360000004</v>
      </c>
      <c r="I57" s="288">
        <v>59.172937750000003</v>
      </c>
      <c r="J57" s="288"/>
      <c r="K57" s="288"/>
      <c r="L57" s="288"/>
      <c r="M57" s="288"/>
      <c r="N57" s="288"/>
      <c r="O57" s="288"/>
      <c r="P57" s="288"/>
      <c r="Q57" s="288">
        <f>SUM(E57:L57)</f>
        <v>410.00000000000006</v>
      </c>
      <c r="R57" s="288">
        <f t="shared" si="41"/>
        <v>410.00000000000006</v>
      </c>
      <c r="S57" s="287">
        <v>133.87176317999999</v>
      </c>
      <c r="T57" s="287">
        <v>114.25650141</v>
      </c>
      <c r="U57" s="288">
        <v>93.476025329999999</v>
      </c>
      <c r="V57" s="288">
        <v>68.395710080000001</v>
      </c>
      <c r="W57" s="288"/>
      <c r="X57" s="288"/>
      <c r="Y57" s="288"/>
      <c r="Z57" s="294"/>
      <c r="AA57" s="288"/>
      <c r="AB57" s="288"/>
      <c r="AC57" s="288"/>
      <c r="AD57" s="288"/>
      <c r="AE57" s="288">
        <f t="shared" si="42"/>
        <v>410</v>
      </c>
    </row>
    <row r="58" spans="2:31" ht="14.1" customHeight="1">
      <c r="B58" s="142" t="str">
        <f>IF(Indice_index!$Z$1=1,"Contribuição extraordinária sobre a indústria farmacêutica - consignada ao Serviço Nacional de Saúde","Extraordinary contribution over the pharmaceutical industry - assigned to the National Health Service")</f>
        <v>Contribuição extraordinária sobre a indústria farmacêutica - consignada ao Serviço Nacional de Saúde</v>
      </c>
      <c r="C58" s="143" t="str">
        <f>IF(Indice_index!$Z$1=1,"Receita","Revenue")</f>
        <v>Receita</v>
      </c>
      <c r="D58" s="102" t="s">
        <v>18</v>
      </c>
      <c r="E58" s="287">
        <v>4.6606744000000004</v>
      </c>
      <c r="F58" s="287">
        <v>4.0420379999999999E-2</v>
      </c>
      <c r="G58" s="288">
        <v>-1.0407599999999999E-3</v>
      </c>
      <c r="H58" s="288">
        <v>4.0900768100000002</v>
      </c>
      <c r="I58" s="288">
        <v>0.56733213999999998</v>
      </c>
      <c r="J58" s="288"/>
      <c r="K58" s="288">
        <v>5.1925220799999998</v>
      </c>
      <c r="L58" s="288">
        <v>2.4941660000000001E-2</v>
      </c>
      <c r="M58" s="288"/>
      <c r="N58" s="288">
        <v>5.6267422299999996</v>
      </c>
      <c r="O58" s="288">
        <v>9.9176899999999998E-2</v>
      </c>
      <c r="P58" s="288">
        <v>-1.0826779999999999E-2</v>
      </c>
      <c r="Q58" s="288">
        <f t="shared" si="39"/>
        <v>14.574926709999998</v>
      </c>
      <c r="R58" s="288">
        <f t="shared" si="41"/>
        <v>20.290019059999999</v>
      </c>
      <c r="S58" s="287">
        <v>6.3612598</v>
      </c>
      <c r="T58" s="287">
        <v>-0.13515537</v>
      </c>
      <c r="U58" s="288">
        <v>7.9672400000000004E-3</v>
      </c>
      <c r="V58" s="288">
        <v>5.2373260500000001</v>
      </c>
      <c r="W58" s="288">
        <v>6.9019120000000003E-2</v>
      </c>
      <c r="X58" s="288">
        <v>0.30146376000000003</v>
      </c>
      <c r="Y58" s="288">
        <v>6.6381707099999998</v>
      </c>
      <c r="Z58" s="294">
        <v>2.9151050000000001E-2</v>
      </c>
      <c r="AA58" s="288"/>
      <c r="AB58" s="288"/>
      <c r="AC58" s="288"/>
      <c r="AD58" s="288"/>
      <c r="AE58" s="288">
        <f t="shared" si="42"/>
        <v>18.50920236</v>
      </c>
    </row>
    <row r="59" spans="2:31" ht="14.1" customHeight="1">
      <c r="B59" s="142" t="str">
        <f>IF(Indice_index!$Z$1=1,"Contribuição extraordinária sobre os fornecedores da indústria de dispositivos médicos do SNS","Extraordinary contribution over the on suppliers of the industry - assigned to the National Health Service")</f>
        <v>Contribuição extraordinária sobre os fornecedores da indústria de dispositivos médicos do SNS</v>
      </c>
      <c r="C59" s="143" t="str">
        <f>IF(Indice_index!$Z$1=1,"Receita","Revenue")</f>
        <v>Receita</v>
      </c>
      <c r="D59" s="102" t="s">
        <v>18</v>
      </c>
      <c r="E59" s="287">
        <v>5.2071340700000004</v>
      </c>
      <c r="F59" s="287">
        <v>1.45375E-2</v>
      </c>
      <c r="G59" s="288">
        <v>6.6401409999999994E-2</v>
      </c>
      <c r="H59" s="288">
        <v>3.6542232499999998</v>
      </c>
      <c r="I59" s="288">
        <v>0.21671481000000001</v>
      </c>
      <c r="J59" s="288">
        <v>1.157509E-2</v>
      </c>
      <c r="K59" s="288">
        <v>4.54902096</v>
      </c>
      <c r="L59" s="288">
        <v>1.3577580000000001E-2</v>
      </c>
      <c r="M59" s="288">
        <v>6.8336750000000002E-2</v>
      </c>
      <c r="N59" s="288">
        <v>4.06924142</v>
      </c>
      <c r="O59" s="288">
        <v>-4.9993309999999999E-2</v>
      </c>
      <c r="P59" s="288"/>
      <c r="Q59" s="288">
        <f t="shared" si="39"/>
        <v>13.733184669999998</v>
      </c>
      <c r="R59" s="288">
        <f t="shared" si="41"/>
        <v>17.820769529999996</v>
      </c>
      <c r="S59" s="287">
        <v>6.0022168499999999</v>
      </c>
      <c r="T59" s="287">
        <v>7.4292159999999996E-2</v>
      </c>
      <c r="U59" s="288">
        <v>5.9208400000000001E-3</v>
      </c>
      <c r="V59" s="288">
        <v>5.0479146500000001</v>
      </c>
      <c r="W59" s="288">
        <v>0.12367327</v>
      </c>
      <c r="X59" s="288">
        <v>-0.20282765</v>
      </c>
      <c r="Y59" s="288">
        <v>5.49414552</v>
      </c>
      <c r="Z59" s="294">
        <v>0.66857900000000003</v>
      </c>
      <c r="AA59" s="288"/>
      <c r="AB59" s="288"/>
      <c r="AC59" s="288"/>
      <c r="AD59" s="288"/>
      <c r="AE59" s="288">
        <f t="shared" si="42"/>
        <v>17.213914639999999</v>
      </c>
    </row>
    <row r="60" spans="2:31" ht="14.1" hidden="1" customHeight="1">
      <c r="B60" s="142" t="str">
        <f>IF(Indice_index!$Z$1=1,"Contribuição sobre o audiovisual - consignada à RTP - Radio e Televisão Portuguesa, SGPS - Impostos indiretos","Contribution over the audiovisual industry - assigned to the RTP - Indirect taxes")</f>
        <v>Contribuição sobre o audiovisual - consignada à RTP - Radio e Televisão Portuguesa, SGPS - Impostos indiretos</v>
      </c>
      <c r="C60" s="143" t="str">
        <f>IF(Indice_index!$Z$1=1,"Receita","Revenue")</f>
        <v>Receita</v>
      </c>
      <c r="D60" s="102" t="s">
        <v>18</v>
      </c>
      <c r="E60" s="287"/>
      <c r="F60" s="287"/>
      <c r="G60" s="288"/>
      <c r="H60" s="288"/>
      <c r="I60" s="288"/>
      <c r="J60" s="288"/>
      <c r="K60" s="288"/>
      <c r="L60" s="288"/>
      <c r="M60" s="288"/>
      <c r="N60" s="288"/>
      <c r="O60" s="288"/>
      <c r="P60" s="288"/>
      <c r="Q60" s="288">
        <f t="shared" si="39"/>
        <v>0</v>
      </c>
      <c r="R60" s="288">
        <f t="shared" si="41"/>
        <v>0</v>
      </c>
      <c r="S60" s="287"/>
      <c r="T60" s="287"/>
      <c r="U60" s="288"/>
      <c r="V60" s="288"/>
      <c r="W60" s="288"/>
      <c r="X60" s="288"/>
      <c r="Y60" s="288"/>
      <c r="Z60" s="288"/>
      <c r="AA60" s="288"/>
      <c r="AB60" s="288"/>
      <c r="AC60" s="288"/>
      <c r="AD60" s="288"/>
      <c r="AE60" s="288">
        <f t="shared" si="42"/>
        <v>0</v>
      </c>
    </row>
    <row r="61" spans="2:31" ht="14.1" hidden="1" customHeight="1">
      <c r="B61" s="142" t="str">
        <f>IF(Indice_index!$Z$1=1,"Contribuição sobre o audiovisual - consignada à RTP - Radio e Televisão Portuguesa, SGPS - Taxas","Contribution over the audiovisual industry - assigned to the RTP - Fines and fees")</f>
        <v>Contribuição sobre o audiovisual - consignada à RTP - Radio e Televisão Portuguesa, SGPS - Taxas</v>
      </c>
      <c r="C61" s="143" t="str">
        <f>IF(Indice_index!$Z$1=1,"Receita","Revenue")</f>
        <v>Receita</v>
      </c>
      <c r="D61" s="102" t="s">
        <v>23</v>
      </c>
      <c r="E61" s="287"/>
      <c r="F61" s="287"/>
      <c r="G61" s="288"/>
      <c r="H61" s="288"/>
      <c r="I61" s="288"/>
      <c r="J61" s="288"/>
      <c r="K61" s="288"/>
      <c r="L61" s="288"/>
      <c r="M61" s="288"/>
      <c r="N61" s="288"/>
      <c r="O61" s="288"/>
      <c r="P61" s="288"/>
      <c r="Q61" s="288">
        <f t="shared" si="39"/>
        <v>0</v>
      </c>
      <c r="R61" s="288">
        <f t="shared" si="41"/>
        <v>0</v>
      </c>
      <c r="S61" s="287"/>
      <c r="T61" s="287"/>
      <c r="U61" s="288"/>
      <c r="V61" s="288"/>
      <c r="W61" s="288"/>
      <c r="X61" s="288"/>
      <c r="Y61" s="288"/>
      <c r="Z61" s="288"/>
      <c r="AA61" s="288"/>
      <c r="AB61" s="288"/>
      <c r="AC61" s="288"/>
      <c r="AD61" s="288"/>
      <c r="AE61" s="288">
        <f t="shared" si="42"/>
        <v>0</v>
      </c>
    </row>
    <row r="62" spans="2:31" ht="14.1" customHeight="1">
      <c r="B62" s="142" t="str">
        <f>IF(Indice_index!$Z$1=1,"Leilão no âmbito da 5.ª Geração de comunicações móveis (5G)"," Sale of the 5th generation mobile frequency use rights (5G)")</f>
        <v>Leilão no âmbito da 5.ª Geração de comunicações móveis (5G)</v>
      </c>
      <c r="C62" s="143" t="str">
        <f>IF(Indice_index!$Z$1=1,"Receita","Revenue")</f>
        <v>Receita</v>
      </c>
      <c r="D62" s="102" t="s">
        <v>23</v>
      </c>
      <c r="E62" s="287"/>
      <c r="F62" s="287"/>
      <c r="G62" s="288"/>
      <c r="H62" s="288"/>
      <c r="I62" s="288"/>
      <c r="J62" s="288"/>
      <c r="K62" s="288"/>
      <c r="L62" s="288"/>
      <c r="M62" s="288"/>
      <c r="N62" s="288"/>
      <c r="O62" s="288">
        <v>18.17664285</v>
      </c>
      <c r="P62" s="288"/>
      <c r="Q62" s="288">
        <f t="shared" si="39"/>
        <v>0</v>
      </c>
      <c r="R62" s="288">
        <f t="shared" si="41"/>
        <v>18.17664285</v>
      </c>
      <c r="S62" s="287"/>
      <c r="T62" s="287"/>
      <c r="U62" s="288"/>
      <c r="V62" s="288"/>
      <c r="W62" s="288"/>
      <c r="X62" s="288"/>
      <c r="Y62" s="288"/>
      <c r="Z62" s="288"/>
      <c r="AA62" s="288"/>
      <c r="AB62" s="288"/>
      <c r="AC62" s="288"/>
      <c r="AD62" s="288"/>
      <c r="AE62" s="288">
        <f t="shared" si="42"/>
        <v>0</v>
      </c>
    </row>
    <row r="63" spans="2:31" ht="14.1" hidden="1" customHeight="1">
      <c r="B63" s="289" t="str">
        <f>IF(Indice_index!$Z$1=1,"Dividendos do Banco de Portugal","Dividends from the Bank of Portugal")</f>
        <v>Dividendos do Banco de Portugal</v>
      </c>
      <c r="C63" s="143" t="str">
        <f>IF(Indice_index!$Z$1=1,"Receita","Revenue")</f>
        <v>Receita</v>
      </c>
      <c r="D63" s="102" t="s">
        <v>23</v>
      </c>
      <c r="E63" s="287"/>
      <c r="F63" s="287"/>
      <c r="G63" s="288"/>
      <c r="H63" s="288"/>
      <c r="I63" s="288"/>
      <c r="J63" s="288"/>
      <c r="K63" s="288"/>
      <c r="L63" s="288"/>
      <c r="M63" s="288"/>
      <c r="N63" s="288"/>
      <c r="O63" s="288"/>
      <c r="P63" s="288"/>
      <c r="Q63" s="288">
        <f t="shared" si="39"/>
        <v>0</v>
      </c>
      <c r="R63" s="288">
        <f t="shared" ref="R63" si="43">SUM(E63:P63)</f>
        <v>0</v>
      </c>
      <c r="S63" s="287"/>
      <c r="T63" s="287"/>
      <c r="U63" s="288"/>
      <c r="V63" s="288"/>
      <c r="W63" s="288"/>
      <c r="X63" s="288"/>
      <c r="Y63" s="288"/>
      <c r="Z63" s="288"/>
      <c r="AA63" s="288"/>
      <c r="AB63" s="288"/>
      <c r="AC63" s="288"/>
      <c r="AD63" s="288"/>
      <c r="AE63" s="288">
        <f t="shared" ref="AE63" si="44">SUM(S63:AD63)</f>
        <v>0</v>
      </c>
    </row>
    <row r="64" spans="2:31" ht="14.1" customHeight="1">
      <c r="B64" s="289" t="str">
        <f>IF(Indice_index!$Z$1=1,"Dividendos do Novo Banco","Dividends from the Novo Banco")</f>
        <v>Dividendos do Novo Banco</v>
      </c>
      <c r="C64" s="143" t="str">
        <f>IF(Indice_index!$Z$1=1,"Receita","Revenue")</f>
        <v>Receita</v>
      </c>
      <c r="D64" s="102" t="s">
        <v>23</v>
      </c>
      <c r="E64" s="287"/>
      <c r="F64" s="287"/>
      <c r="G64" s="288"/>
      <c r="H64" s="288"/>
      <c r="I64" s="288"/>
      <c r="J64" s="288"/>
      <c r="K64" s="288"/>
      <c r="L64" s="288"/>
      <c r="M64" s="288"/>
      <c r="N64" s="288"/>
      <c r="O64" s="288"/>
      <c r="P64" s="288"/>
      <c r="Q64" s="288">
        <f t="shared" si="39"/>
        <v>0</v>
      </c>
      <c r="R64" s="288">
        <f t="shared" si="41"/>
        <v>0</v>
      </c>
      <c r="S64" s="287"/>
      <c r="T64" s="287"/>
      <c r="U64" s="288"/>
      <c r="V64" s="288">
        <f>20.33231963+24.32047096</f>
        <v>44.652790590000002</v>
      </c>
      <c r="W64" s="288"/>
      <c r="X64" s="288"/>
      <c r="Y64" s="288"/>
      <c r="Z64" s="288"/>
      <c r="AA64" s="288"/>
      <c r="AB64" s="288"/>
      <c r="AC64" s="288"/>
      <c r="AD64" s="288"/>
      <c r="AE64" s="288">
        <f t="shared" si="42"/>
        <v>44.652790590000002</v>
      </c>
    </row>
    <row r="65" spans="2:31" ht="14.1" customHeight="1">
      <c r="B65" s="289" t="str">
        <f>IF(Indice_index!$Z$1=1,"Dividendos da Caixa Geral de Depósitos","Dividends from the public bank Caixa Geral de Depósitos")</f>
        <v>Dividendos da Caixa Geral de Depósitos</v>
      </c>
      <c r="C65" s="143" t="str">
        <f>IF(Indice_index!$Z$1=1,"Receita","Revenue")</f>
        <v>Receita</v>
      </c>
      <c r="D65" s="102" t="s">
        <v>23</v>
      </c>
      <c r="E65" s="287"/>
      <c r="F65" s="287"/>
      <c r="G65" s="288"/>
      <c r="H65" s="288"/>
      <c r="I65" s="288"/>
      <c r="J65" s="288">
        <v>414.53429524000001</v>
      </c>
      <c r="K65" s="288"/>
      <c r="L65" s="288">
        <v>237</v>
      </c>
      <c r="M65" s="288"/>
      <c r="N65" s="288"/>
      <c r="O65" s="288"/>
      <c r="P65" s="288"/>
      <c r="Q65" s="288">
        <f t="shared" si="39"/>
        <v>651.53429524000001</v>
      </c>
      <c r="R65" s="288">
        <f t="shared" si="41"/>
        <v>651.53429524000001</v>
      </c>
      <c r="S65" s="287"/>
      <c r="T65" s="287"/>
      <c r="V65" s="288"/>
      <c r="W65" s="288">
        <v>671.5</v>
      </c>
      <c r="X65" s="288"/>
      <c r="Y65" s="288"/>
      <c r="Z65" s="288"/>
      <c r="AA65" s="288"/>
      <c r="AB65" s="288"/>
      <c r="AC65" s="288"/>
      <c r="AD65" s="288"/>
      <c r="AE65" s="288">
        <f t="shared" si="42"/>
        <v>671.5</v>
      </c>
    </row>
    <row r="66" spans="2:31" ht="24.6" customHeight="1">
      <c r="B66" s="142" t="str">
        <f>IF(Indice_index!$Z$1=1,"Restituições da contribuição financeira da União Europeia (ano anterior) - consignadas ao pagamento da contribuição financeira (do ano)","Refund payments on European Union own resources")</f>
        <v>Restituições da contribuição financeira da União Europeia (ano anterior) - consignadas ao pagamento da contribuição financeira (do ano)</v>
      </c>
      <c r="C66" s="143" t="str">
        <f>IF(Indice_index!$Z$1=1,"Receita","Revenue")</f>
        <v>Receita</v>
      </c>
      <c r="D66" s="102" t="s">
        <v>23</v>
      </c>
      <c r="E66" s="287">
        <v>49.004178000000003</v>
      </c>
      <c r="F66" s="287"/>
      <c r="G66" s="288">
        <v>84.298078329999996</v>
      </c>
      <c r="H66" s="288"/>
      <c r="I66" s="288"/>
      <c r="J66" s="288">
        <v>15.679863320000001</v>
      </c>
      <c r="K66" s="288"/>
      <c r="L66" s="288"/>
      <c r="M66" s="288"/>
      <c r="N66" s="288"/>
      <c r="O66" s="288"/>
      <c r="P66" s="288"/>
      <c r="Q66" s="288">
        <f t="shared" si="39"/>
        <v>148.98211965000002</v>
      </c>
      <c r="R66" s="288">
        <f t="shared" si="41"/>
        <v>148.98211965000002</v>
      </c>
      <c r="S66" s="287"/>
      <c r="T66" s="287"/>
      <c r="U66" s="288">
        <v>96.682580119999997</v>
      </c>
      <c r="V66" s="288"/>
      <c r="W66" s="288"/>
      <c r="X66" s="288">
        <v>10.14733176</v>
      </c>
      <c r="Y66" s="288"/>
      <c r="Z66" s="288"/>
      <c r="AA66" s="288"/>
      <c r="AB66" s="288"/>
      <c r="AC66" s="288"/>
      <c r="AD66" s="288"/>
      <c r="AE66" s="288">
        <f t="shared" si="42"/>
        <v>106.82991188</v>
      </c>
    </row>
    <row r="67" spans="2:31" ht="14.1" customHeight="1">
      <c r="B67" s="142" t="str">
        <f>IF(Indice_index!$Z$1=1,"Devolução ao Estado pela REN (via Fundo Ambiental) de apoios às tarifas de gás","Return to the State by the National Energy Networks (REN, via the Environmental Fund) of support for gas fares")</f>
        <v>Devolução ao Estado pela REN (via Fundo Ambiental) de apoios às tarifas de gás</v>
      </c>
      <c r="C67" s="143" t="str">
        <f>IF(Indice_index!$Z$1=1,"Receita","Revenue")</f>
        <v>Receita</v>
      </c>
      <c r="D67" s="102" t="s">
        <v>23</v>
      </c>
      <c r="E67" s="287"/>
      <c r="F67" s="287"/>
      <c r="G67" s="288"/>
      <c r="H67" s="288"/>
      <c r="I67" s="288"/>
      <c r="J67" s="288"/>
      <c r="K67" s="288">
        <v>200</v>
      </c>
      <c r="L67" s="288">
        <v>8.3006661299999998</v>
      </c>
      <c r="M67" s="288"/>
      <c r="N67" s="288"/>
      <c r="O67" s="288"/>
      <c r="P67" s="288"/>
      <c r="Q67" s="288">
        <f t="shared" si="39"/>
        <v>208.30066613</v>
      </c>
      <c r="R67" s="288">
        <f t="shared" ref="R67" si="45">SUM(E67:P67)</f>
        <v>208.30066613</v>
      </c>
      <c r="S67" s="287"/>
      <c r="T67" s="287"/>
      <c r="U67" s="288"/>
      <c r="V67" s="288"/>
      <c r="W67" s="288"/>
      <c r="X67" s="288"/>
      <c r="Y67" s="288"/>
      <c r="Z67" s="288"/>
      <c r="AA67" s="288"/>
      <c r="AB67" s="288"/>
      <c r="AC67" s="288"/>
      <c r="AD67" s="288"/>
      <c r="AE67" s="288">
        <f t="shared" ref="AE67" si="46">SUM(S67:AD67)</f>
        <v>0</v>
      </c>
    </row>
    <row r="68" spans="2:31" ht="14.1" hidden="1" customHeight="1">
      <c r="B68" s="142" t="str">
        <f>IF(Indice_index!$Z$1=1,"Devolução ao Estado pela CGA do saldo da gerência de 2021 de receitas de impostos","Return to the State by CGA of the 2021 management balance of tax revenues")</f>
        <v>Devolução ao Estado pela CGA do saldo da gerência de 2021 de receitas de impostos</v>
      </c>
      <c r="C68" s="143" t="str">
        <f>IF(Indice_index!$Z$1=1,"Receita","Revenue")</f>
        <v>Receita</v>
      </c>
      <c r="D68" s="102" t="s">
        <v>23</v>
      </c>
      <c r="E68" s="287"/>
      <c r="F68" s="287"/>
      <c r="G68" s="288"/>
      <c r="H68" s="288"/>
      <c r="I68" s="288"/>
      <c r="J68" s="288"/>
      <c r="K68" s="288"/>
      <c r="L68" s="288"/>
      <c r="M68" s="288"/>
      <c r="N68" s="288"/>
      <c r="O68" s="288"/>
      <c r="P68" s="288"/>
      <c r="Q68" s="288">
        <f t="shared" si="39"/>
        <v>0</v>
      </c>
      <c r="R68" s="288">
        <f t="shared" si="41"/>
        <v>0</v>
      </c>
      <c r="S68" s="287"/>
      <c r="T68" s="287"/>
      <c r="U68" s="288"/>
      <c r="V68" s="288"/>
      <c r="W68" s="288"/>
      <c r="X68" s="288"/>
      <c r="Y68" s="288"/>
      <c r="Z68" s="288"/>
      <c r="AA68" s="288"/>
      <c r="AB68" s="288"/>
      <c r="AC68" s="288"/>
      <c r="AD68" s="288"/>
      <c r="AE68" s="288">
        <f t="shared" si="42"/>
        <v>0</v>
      </c>
    </row>
    <row r="69" spans="2:31" ht="13.5" customHeight="1">
      <c r="B69" s="142" t="str">
        <f>IF(Indice_index!$Z$1=1,"Princípio da onerosidade, receita relativa a rendas de anos anteriores","Principle of onerosity, revenue relating to rents from previous years")</f>
        <v>Princípio da onerosidade, receita relativa a rendas de anos anteriores</v>
      </c>
      <c r="C69" s="143" t="str">
        <f>IF(Indice_index!$Z$1=1,"Receita","Revenue")</f>
        <v>Receita</v>
      </c>
      <c r="D69" s="102" t="s">
        <v>23</v>
      </c>
      <c r="E69" s="287"/>
      <c r="F69" s="287"/>
      <c r="G69" s="288"/>
      <c r="H69" s="288"/>
      <c r="I69" s="288"/>
      <c r="J69" s="288"/>
      <c r="K69" s="288"/>
      <c r="L69" s="288"/>
      <c r="M69" s="288"/>
      <c r="N69" s="288"/>
      <c r="O69" s="288"/>
      <c r="P69" s="288">
        <v>189.30326170000001</v>
      </c>
      <c r="Q69" s="288">
        <f t="shared" si="39"/>
        <v>0</v>
      </c>
      <c r="R69" s="288">
        <f t="shared" si="41"/>
        <v>189.30326170000001</v>
      </c>
      <c r="S69" s="287">
        <v>0.85614570000000001</v>
      </c>
      <c r="T69" s="287"/>
      <c r="U69" s="288"/>
      <c r="V69" s="288"/>
      <c r="W69" s="288"/>
      <c r="X69" s="288"/>
      <c r="Y69" s="288"/>
      <c r="Z69" s="288"/>
      <c r="AA69" s="288"/>
      <c r="AB69" s="288"/>
      <c r="AC69" s="288"/>
      <c r="AD69" s="288"/>
      <c r="AE69" s="288">
        <f t="shared" si="42"/>
        <v>0.85614570000000001</v>
      </c>
    </row>
    <row r="70" spans="2:31" ht="14.1" customHeight="1">
      <c r="B70" s="142" t="str">
        <f>IF(Indice_index!$Z$1=1,"Alienação de aeronaves à República da Roménia","Aircraft sales to the Republic of Romenia")</f>
        <v>Alienação de aeronaves à República da Roménia</v>
      </c>
      <c r="C70" s="143" t="str">
        <f>IF(Indice_index!$Z$1=1,"Receita","Revenue")</f>
        <v>Receita</v>
      </c>
      <c r="D70" s="102" t="s">
        <v>24</v>
      </c>
      <c r="E70" s="287"/>
      <c r="F70" s="287"/>
      <c r="G70" s="288"/>
      <c r="H70" s="288">
        <v>2.9249999999999998</v>
      </c>
      <c r="I70" s="288"/>
      <c r="J70" s="288"/>
      <c r="K70" s="288"/>
      <c r="L70" s="288"/>
      <c r="M70" s="288"/>
      <c r="N70" s="288"/>
      <c r="O70" s="288"/>
      <c r="P70" s="288"/>
      <c r="Q70" s="288">
        <f t="shared" si="39"/>
        <v>2.9249999999999998</v>
      </c>
      <c r="R70" s="288">
        <f>SUM(E70:P70)</f>
        <v>2.9249999999999998</v>
      </c>
      <c r="S70" s="287"/>
      <c r="T70" s="287"/>
      <c r="U70" s="288"/>
      <c r="V70" s="288"/>
      <c r="W70" s="288"/>
      <c r="X70" s="288"/>
      <c r="Y70" s="288"/>
      <c r="Z70" s="288"/>
      <c r="AA70" s="288"/>
      <c r="AB70" s="288"/>
      <c r="AC70" s="288"/>
      <c r="AD70" s="288"/>
      <c r="AE70" s="288">
        <f>SUM(S70:AD70)</f>
        <v>0</v>
      </c>
    </row>
    <row r="71" spans="2:31" ht="14.1" hidden="1" customHeight="1">
      <c r="B71" s="142" t="str">
        <f>IF(Indice_index!$Z$1=1,"Transferência das responsabilidades detidas pelo Fundo de Pensões do Pessoal da CGD para a CGA","Transfer of responsibilities held by the CGD Staff Pension Fund to CGA")</f>
        <v>Transferência das responsabilidades detidas pelo Fundo de Pensões do Pessoal da CGD para a CGA</v>
      </c>
      <c r="C71" s="102" t="str">
        <f>IF(Indice_index!$Z$1=1,"Receita","Revenue")</f>
        <v>Receita</v>
      </c>
      <c r="D71" s="102" t="s">
        <v>27</v>
      </c>
      <c r="E71" s="287"/>
      <c r="F71" s="287"/>
      <c r="G71" s="288"/>
      <c r="H71" s="288"/>
      <c r="I71" s="288"/>
      <c r="J71" s="288"/>
      <c r="K71" s="288"/>
      <c r="L71" s="288"/>
      <c r="M71" s="288"/>
      <c r="N71" s="288"/>
      <c r="O71" s="288"/>
      <c r="P71" s="288"/>
      <c r="Q71" s="288">
        <f t="shared" si="39"/>
        <v>0</v>
      </c>
      <c r="R71" s="288">
        <f>SUM(E71:P71)</f>
        <v>0</v>
      </c>
      <c r="S71" s="287"/>
      <c r="T71" s="290"/>
      <c r="U71" s="290"/>
      <c r="V71" s="291"/>
      <c r="W71" s="291"/>
      <c r="X71" s="291"/>
      <c r="Y71" s="291"/>
      <c r="Z71" s="291"/>
      <c r="AA71" s="291"/>
      <c r="AB71" s="291"/>
      <c r="AC71" s="291"/>
      <c r="AD71" s="291"/>
      <c r="AE71" s="291">
        <f>SUM(S71:AD71)</f>
        <v>0</v>
      </c>
    </row>
    <row r="72" spans="2:31" ht="14.1" customHeight="1">
      <c r="B72" s="142" t="str">
        <f>IF(Indice_index!$Z$1=1,"Direito postestativo de aquisição de direito de conversão em ações - Novo Banco, S.A.","Potestative right to acquire the right to convert into shares - Novo Banco, S.A.")</f>
        <v>Direito postestativo de aquisição de direito de conversão em ações - Novo Banco, S.A.</v>
      </c>
      <c r="C72" s="143" t="str">
        <f>IF(Indice_index!$Z$1=1,"Receita","Revenue")</f>
        <v>Receita</v>
      </c>
      <c r="D72" s="102" t="s">
        <v>28</v>
      </c>
      <c r="E72" s="287"/>
      <c r="F72" s="287"/>
      <c r="G72" s="288"/>
      <c r="H72" s="288"/>
      <c r="I72" s="288"/>
      <c r="J72" s="288">
        <v>128.67271739</v>
      </c>
      <c r="K72" s="288"/>
      <c r="L72" s="288"/>
      <c r="M72" s="288"/>
      <c r="N72" s="288"/>
      <c r="O72" s="288"/>
      <c r="P72" s="288"/>
      <c r="Q72" s="288">
        <f t="shared" si="39"/>
        <v>128.67271739</v>
      </c>
      <c r="R72" s="288">
        <f>SUM(E72:P72)</f>
        <v>128.67271739</v>
      </c>
      <c r="S72" s="287"/>
      <c r="T72" s="287"/>
      <c r="U72" s="288"/>
      <c r="V72" s="288"/>
      <c r="W72" s="288"/>
      <c r="X72" s="288"/>
      <c r="Y72" s="288"/>
      <c r="Z72" s="288"/>
      <c r="AA72" s="288"/>
      <c r="AB72" s="288"/>
      <c r="AC72" s="288"/>
      <c r="AD72" s="288"/>
      <c r="AE72" s="288">
        <f>SUM(S72:AD72)</f>
        <v>0</v>
      </c>
    </row>
    <row r="73" spans="2:31" ht="14.1" customHeight="1">
      <c r="B73" s="292" t="str">
        <f>IF(Indice_index!$Z$1=1,"Direito postestativo de aquisição de direito de conversão em ações - Haitong Bank, S.A.","Potestative right to acquire the right to convert into shares - Haitong Bank, S.A.")</f>
        <v>Direito postestativo de aquisição de direito de conversão em ações - Haitong Bank, S.A.</v>
      </c>
      <c r="C73" s="293" t="str">
        <f>IF(Indice_index!$Z$1=1,"Receita","Revenue")</f>
        <v>Receita</v>
      </c>
      <c r="D73" s="293" t="s">
        <v>28</v>
      </c>
      <c r="E73" s="290"/>
      <c r="F73" s="290"/>
      <c r="G73" s="291"/>
      <c r="H73" s="291"/>
      <c r="I73" s="291"/>
      <c r="J73" s="291">
        <v>5.95550566</v>
      </c>
      <c r="K73" s="291"/>
      <c r="L73" s="291"/>
      <c r="M73" s="291"/>
      <c r="N73" s="291"/>
      <c r="O73" s="291"/>
      <c r="P73" s="291"/>
      <c r="Q73" s="291">
        <f t="shared" si="39"/>
        <v>5.95550566</v>
      </c>
      <c r="R73" s="291">
        <f>SUM(E73:P73)</f>
        <v>5.95550566</v>
      </c>
      <c r="S73" s="291"/>
      <c r="T73" s="291"/>
      <c r="U73" s="291"/>
      <c r="V73" s="291"/>
      <c r="W73" s="291"/>
      <c r="X73" s="291"/>
      <c r="Y73" s="291"/>
      <c r="Z73" s="291"/>
      <c r="AA73" s="291"/>
      <c r="AB73" s="291"/>
      <c r="AC73" s="291"/>
      <c r="AD73" s="291"/>
      <c r="AE73" s="291">
        <f>SUM(S73:AD73)</f>
        <v>0</v>
      </c>
    </row>
    <row r="74" spans="2:31" ht="24.6" customHeight="1">
      <c r="B74" s="142" t="str">
        <f>IF(Indice_index!$Z$1=1,"Pagamento de retroativos em janeiro de 2024 referentes à atribuição de um suplemento remuneratório na Polícia Judiciária em 2023","Payment of retroactive payments in January 2024 relating to the granting of a remuneration supplement to the Judiciary Police in 2023")</f>
        <v>Pagamento de retroativos em janeiro de 2024 referentes à atribuição de um suplemento remuneratório na Polícia Judiciária em 2023</v>
      </c>
      <c r="C74" s="143" t="str">
        <f>IF(Indice_index!$Z$1=1,"Despesa","Expenditure")</f>
        <v>Despesa</v>
      </c>
      <c r="D74" s="102" t="s">
        <v>29</v>
      </c>
      <c r="E74" s="287">
        <v>17.26070107</v>
      </c>
      <c r="F74" s="287"/>
      <c r="G74" s="288"/>
      <c r="H74" s="288"/>
      <c r="I74" s="288"/>
      <c r="J74" s="288"/>
      <c r="K74" s="288"/>
      <c r="L74" s="288"/>
      <c r="M74" s="288"/>
      <c r="N74" s="288"/>
      <c r="O74" s="288"/>
      <c r="P74" s="288"/>
      <c r="Q74" s="288">
        <f t="shared" si="39"/>
        <v>17.26070107</v>
      </c>
      <c r="R74" s="288">
        <f t="shared" ref="R74" si="47">SUM(E74:P74)</f>
        <v>17.26070107</v>
      </c>
      <c r="S74" s="287"/>
      <c r="T74" s="287"/>
      <c r="U74" s="288"/>
      <c r="V74" s="288"/>
      <c r="W74" s="288"/>
      <c r="X74" s="288"/>
      <c r="Y74" s="288"/>
      <c r="Z74" s="288"/>
      <c r="AA74" s="288"/>
      <c r="AB74" s="288"/>
      <c r="AC74" s="288"/>
      <c r="AD74" s="288"/>
      <c r="AE74" s="288">
        <f>SUM(S74:AD74)</f>
        <v>0</v>
      </c>
    </row>
    <row r="75" spans="2:31" ht="24.6" customHeight="1">
      <c r="B75" s="142" t="str">
        <f>IF(Indice_index!$Z$1=1,"Regularização de dívidas vencidas a fornecedores por parte de entidades do Serviço Nacional de Saúde, com contrapartida em reforços dos respetivos capitais pelo Estado (a)","Settlement of overdue debt to suppliers by National Health Service’s entities, with counterpart in increases in the respective capital by the State (a)")</f>
        <v>Regularização de dívidas vencidas a fornecedores por parte de entidades do Serviço Nacional de Saúde, com contrapartida em reforços dos respetivos capitais pelo Estado (a)</v>
      </c>
      <c r="C75" s="143" t="str">
        <f>IF(Indice_index!$Z$1=1,"Despesa","Expenditure")</f>
        <v>Despesa</v>
      </c>
      <c r="D75" s="102" t="s">
        <v>30</v>
      </c>
      <c r="E75" s="287"/>
      <c r="F75" s="287"/>
      <c r="G75" s="288"/>
      <c r="H75" s="288"/>
      <c r="I75" s="288"/>
      <c r="J75" s="288"/>
      <c r="K75" s="288"/>
      <c r="L75" s="288"/>
      <c r="M75" s="288"/>
      <c r="N75" s="288"/>
      <c r="O75" s="288"/>
      <c r="P75" s="288">
        <v>944.59861661000014</v>
      </c>
      <c r="Q75" s="288">
        <f t="shared" si="39"/>
        <v>0</v>
      </c>
      <c r="R75" s="288">
        <f t="shared" ref="R75:R85" si="48">SUM(E75:P75)</f>
        <v>944.59861661000014</v>
      </c>
      <c r="S75" s="287"/>
      <c r="T75" s="287"/>
      <c r="U75" s="288"/>
      <c r="V75" s="288"/>
      <c r="W75" s="288"/>
      <c r="X75" s="288"/>
      <c r="Y75" s="288">
        <f>166713099.25/10^6</f>
        <v>166.71309925</v>
      </c>
      <c r="Z75" s="288">
        <f>13407471.35/10^6</f>
        <v>13.40747135</v>
      </c>
      <c r="AA75" s="288"/>
      <c r="AB75" s="288"/>
      <c r="AC75" s="288"/>
      <c r="AD75" s="288"/>
      <c r="AE75" s="288">
        <f t="shared" si="42"/>
        <v>180.12057060000001</v>
      </c>
    </row>
    <row r="76" spans="2:31" ht="33.75" customHeight="1">
      <c r="B76" s="142" t="str">
        <f>IF(Indice_index!$Z$1=1,$B$130,$B$131)</f>
        <v>Pagamento relativo ao princípio da onerosidade realizado pela Direção-Geral de Recursos da Defesa Nacional em dezembro de 2024, mas que diz respeito ao ano de 2023 (o montante em causa foi expurgado da despesa de 2024 e considerado em 2023, por forma a não afetar a comparabilidade homóloga).</v>
      </c>
      <c r="C76" s="143" t="str">
        <f>IF(Indice_index!$Z$1=1,"Despesa","Expenditure")</f>
        <v>Despesa</v>
      </c>
      <c r="D76" s="102" t="s">
        <v>30</v>
      </c>
      <c r="E76" s="287"/>
      <c r="F76" s="287"/>
      <c r="G76" s="288"/>
      <c r="H76" s="288"/>
      <c r="I76" s="288"/>
      <c r="J76" s="288"/>
      <c r="K76" s="288"/>
      <c r="L76" s="288"/>
      <c r="M76" s="288"/>
      <c r="N76" s="288"/>
      <c r="O76" s="288"/>
      <c r="P76" s="288">
        <v>179.13954000000001</v>
      </c>
      <c r="Q76" s="288">
        <f t="shared" si="39"/>
        <v>0</v>
      </c>
      <c r="R76" s="288">
        <f t="shared" si="48"/>
        <v>179.13954000000001</v>
      </c>
      <c r="S76" s="287"/>
      <c r="T76" s="287"/>
      <c r="U76" s="288"/>
      <c r="V76" s="288"/>
      <c r="W76" s="288"/>
      <c r="X76" s="288"/>
      <c r="Y76" s="288"/>
      <c r="Z76" s="288"/>
      <c r="AA76" s="288"/>
      <c r="AB76" s="288"/>
      <c r="AC76" s="288"/>
      <c r="AD76" s="288"/>
      <c r="AE76" s="288">
        <f t="shared" ref="AE76" si="49">SUM(S76:AD76)</f>
        <v>0</v>
      </c>
    </row>
    <row r="77" spans="2:31" ht="33.75" customHeight="1">
      <c r="B77" s="142" t="str">
        <f>IF(Indice_index!$Z$1=1,B136,B137)</f>
        <v>Transferências correntes – excedente para compensar as freguesias dos montantes mínimos das transferências financeiras realizadas ao abrigo da Lei de Finanças Locais - artigo 38.º da Lei n.º 73/2013, de 3 de setembro, na redação atual</v>
      </c>
      <c r="C77" s="143" t="str">
        <f>IF(Indice_index!$Z$1=1,"Despesa","Expenditure")</f>
        <v>Despesa</v>
      </c>
      <c r="D77" s="31" t="s">
        <v>33</v>
      </c>
      <c r="E77" s="287">
        <v>9.3333879999999994</v>
      </c>
      <c r="F77" s="287">
        <v>9.3333879999999994</v>
      </c>
      <c r="G77" s="287">
        <v>9.3333879999999994</v>
      </c>
      <c r="H77" s="287">
        <v>9.3333879999999994</v>
      </c>
      <c r="I77" s="287">
        <v>9.3333879999999994</v>
      </c>
      <c r="J77" s="287">
        <v>9.3333879999999994</v>
      </c>
      <c r="K77" s="287">
        <v>9.3333879999999994</v>
      </c>
      <c r="L77" s="287">
        <v>9.3333879999999994</v>
      </c>
      <c r="M77" s="287">
        <v>9.3333879999999994</v>
      </c>
      <c r="N77" s="287">
        <v>9.3333879999999994</v>
      </c>
      <c r="O77" s="287">
        <v>9.3333880000000136</v>
      </c>
      <c r="P77" s="287">
        <v>9.3509169999999955</v>
      </c>
      <c r="Q77" s="288">
        <f t="shared" si="39"/>
        <v>74.667103999999995</v>
      </c>
      <c r="R77" s="288">
        <f t="shared" si="48"/>
        <v>112.018185</v>
      </c>
      <c r="S77" s="287">
        <v>12.362410000000001</v>
      </c>
      <c r="T77" s="287">
        <f>12362410/10^6</f>
        <v>12.362410000000001</v>
      </c>
      <c r="U77" s="288">
        <v>12.362410000000001</v>
      </c>
      <c r="V77" s="288">
        <f>12362410/10^6</f>
        <v>12.362410000000001</v>
      </c>
      <c r="W77" s="288">
        <f>12362410/10^6</f>
        <v>12.362410000000001</v>
      </c>
      <c r="X77" s="288">
        <f>12362410/10^6</f>
        <v>12.362410000000001</v>
      </c>
      <c r="Y77" s="288">
        <f>12362410/10^6</f>
        <v>12.362410000000001</v>
      </c>
      <c r="Z77" s="288">
        <f>12362410/10^6</f>
        <v>12.362410000000001</v>
      </c>
      <c r="AA77" s="288"/>
      <c r="AB77" s="288"/>
      <c r="AC77" s="288"/>
      <c r="AD77" s="288"/>
      <c r="AE77" s="288">
        <f t="shared" si="42"/>
        <v>98.89927999999999</v>
      </c>
    </row>
    <row r="78" spans="2:31" ht="24" customHeight="1">
      <c r="B78" s="142" t="str">
        <f>IF(Indice_index!$Z$1=1,"Transferências realizadas pelo Fundo Ambiental relativos à receita dos leilões CELE (Comércio Europeu de Licenças de Emissão)","Transfers made by the Environmental Fund relating to the revenue from the ETS (Emissions Trading System) auctions")</f>
        <v>Transferências realizadas pelo Fundo Ambiental relativos à receita dos leilões CELE (Comércio Europeu de Licenças de Emissão)</v>
      </c>
      <c r="C78" s="143" t="str">
        <f>IF(Indice_index!$Z$1=1,"Despesa","Expenditure")</f>
        <v>Despesa</v>
      </c>
      <c r="D78" s="31" t="s">
        <v>34</v>
      </c>
      <c r="E78" s="287"/>
      <c r="F78" s="287"/>
      <c r="G78" s="287"/>
      <c r="H78" s="287"/>
      <c r="I78" s="287"/>
      <c r="J78" s="287"/>
      <c r="K78" s="287"/>
      <c r="L78" s="287"/>
      <c r="M78" s="287"/>
      <c r="N78" s="287"/>
      <c r="O78" s="287"/>
      <c r="P78" s="287">
        <v>311.112234</v>
      </c>
      <c r="Q78" s="288">
        <f t="shared" si="39"/>
        <v>0</v>
      </c>
      <c r="R78" s="288">
        <f t="shared" si="48"/>
        <v>311.112234</v>
      </c>
      <c r="S78" s="287"/>
      <c r="T78" s="287"/>
      <c r="U78" s="288"/>
      <c r="V78" s="288"/>
      <c r="W78" s="288"/>
      <c r="X78" s="288"/>
      <c r="Y78" s="288"/>
      <c r="Z78" s="288">
        <f>172373993.91/10^6</f>
        <v>172.37399391</v>
      </c>
      <c r="AA78" s="288"/>
      <c r="AB78" s="288"/>
      <c r="AC78" s="288"/>
      <c r="AD78" s="288"/>
      <c r="AE78" s="288">
        <f t="shared" ref="AE78:AE83" si="50">SUM(S78:AD78)</f>
        <v>172.37399391</v>
      </c>
    </row>
    <row r="79" spans="2:31" ht="24" customHeight="1">
      <c r="B79" s="142" t="str">
        <f>IF(Indice_index!$Z$1=1,"Pagamento dos encargos relativos às retenções de IRS de dezembro de 2023 das pensões enquadradas no regime geral da Segurança Social em janeiro de 2024","Payment of charges relating to IRS withholdings from December 2023 on pensions covered by the general Social Security regime in January 2024")</f>
        <v>Pagamento dos encargos relativos às retenções de IRS de dezembro de 2023 das pensões enquadradas no regime geral da Segurança Social em janeiro de 2024</v>
      </c>
      <c r="C79" s="143" t="str">
        <f>IF(Indice_index!$Z$1=1,"Despesa","Expenditure")</f>
        <v>Despesa</v>
      </c>
      <c r="D79" s="31" t="s">
        <v>34</v>
      </c>
      <c r="E79" s="287">
        <v>165.2</v>
      </c>
      <c r="F79" s="287"/>
      <c r="G79" s="287"/>
      <c r="H79" s="287"/>
      <c r="I79" s="287"/>
      <c r="J79" s="287"/>
      <c r="K79" s="287"/>
      <c r="L79" s="287"/>
      <c r="M79" s="287"/>
      <c r="N79" s="287"/>
      <c r="O79" s="287"/>
      <c r="P79" s="287"/>
      <c r="Q79" s="288">
        <f t="shared" si="39"/>
        <v>165.2</v>
      </c>
      <c r="R79" s="288">
        <f t="shared" si="48"/>
        <v>165.2</v>
      </c>
      <c r="S79" s="287"/>
      <c r="T79" s="287"/>
      <c r="U79" s="288"/>
      <c r="V79" s="288"/>
      <c r="W79" s="288"/>
      <c r="X79" s="288"/>
      <c r="Y79" s="288"/>
      <c r="Z79" s="288"/>
      <c r="AA79" s="288"/>
      <c r="AB79" s="288"/>
      <c r="AC79" s="288"/>
      <c r="AD79" s="288"/>
      <c r="AE79" s="288">
        <f t="shared" si="50"/>
        <v>0</v>
      </c>
    </row>
    <row r="80" spans="2:31" ht="24" customHeight="1">
      <c r="B80" s="142" t="str">
        <f>IF(Indice_index!$Z$1=1,"Pagamento do acordo de transação extrajudicial de negociação entre o Estado e a EDP, S.A., no âmbito do processo do Aproveitamento Hidroelétrico (AH) do Fridão.","Payment of the out-of-court settlement agreement between the State and EDP,SA within the scope of the Fridão hydroelectric exploitation process")</f>
        <v>Pagamento do acordo de transação extrajudicial de negociação entre o Estado e a EDP, S.A., no âmbito do processo do Aproveitamento Hidroelétrico (AH) do Fridão.</v>
      </c>
      <c r="C80" s="143" t="str">
        <f>IF(Indice_index!$Z$1=1,"Despesa","Expenditure")</f>
        <v>Despesa</v>
      </c>
      <c r="D80" s="31" t="s">
        <v>34</v>
      </c>
      <c r="E80" s="287"/>
      <c r="F80" s="287"/>
      <c r="G80" s="287">
        <v>227.63172900000001</v>
      </c>
      <c r="H80" s="287"/>
      <c r="I80" s="287"/>
      <c r="J80" s="287"/>
      <c r="K80" s="287"/>
      <c r="L80" s="287"/>
      <c r="M80" s="287"/>
      <c r="N80" s="287"/>
      <c r="O80" s="287"/>
      <c r="P80" s="287"/>
      <c r="Q80" s="288">
        <f t="shared" si="39"/>
        <v>227.63172900000001</v>
      </c>
      <c r="R80" s="288">
        <f t="shared" si="48"/>
        <v>227.63172900000001</v>
      </c>
      <c r="S80" s="287"/>
      <c r="T80" s="287"/>
      <c r="U80" s="288"/>
      <c r="V80" s="288"/>
      <c r="W80" s="288"/>
      <c r="X80" s="288"/>
      <c r="Y80" s="288"/>
      <c r="Z80" s="288"/>
      <c r="AA80" s="288"/>
      <c r="AB80" s="288"/>
      <c r="AC80" s="288"/>
      <c r="AD80" s="288"/>
      <c r="AE80" s="288">
        <f t="shared" si="50"/>
        <v>0</v>
      </c>
    </row>
    <row r="81" spans="1:33" ht="33.75" customHeight="1">
      <c r="B81" s="142" t="s">
        <v>526</v>
      </c>
      <c r="C81" s="143" t="str">
        <f>IF(Indice_index!$Z$1=1,"Despesa","Expenditure")</f>
        <v>Despesa</v>
      </c>
      <c r="D81" s="31" t="s">
        <v>35</v>
      </c>
      <c r="E81" s="287"/>
      <c r="F81" s="287"/>
      <c r="G81" s="287">
        <v>44.875</v>
      </c>
      <c r="H81" s="287"/>
      <c r="I81" s="287"/>
      <c r="J81" s="287"/>
      <c r="K81" s="287">
        <v>-44.875</v>
      </c>
      <c r="L81" s="287"/>
      <c r="M81" s="287"/>
      <c r="N81" s="287"/>
      <c r="O81" s="287"/>
      <c r="P81" s="287"/>
      <c r="Q81" s="288">
        <f t="shared" si="39"/>
        <v>0</v>
      </c>
      <c r="R81" s="288">
        <f t="shared" si="48"/>
        <v>0</v>
      </c>
      <c r="S81" s="287"/>
      <c r="T81" s="287"/>
      <c r="U81" s="288"/>
      <c r="V81" s="288"/>
      <c r="W81" s="288"/>
      <c r="X81" s="288"/>
      <c r="Y81" s="288"/>
      <c r="Z81" s="288"/>
      <c r="AA81" s="288"/>
      <c r="AB81" s="288"/>
      <c r="AC81" s="288"/>
      <c r="AD81" s="288"/>
      <c r="AE81" s="288">
        <f t="shared" si="50"/>
        <v>0</v>
      </c>
    </row>
    <row r="82" spans="1:33" ht="14.1" customHeight="1">
      <c r="B82" s="142" t="str">
        <f>IF(Indice_index!$Z$1=1,"Pagamento de decisão judicial à concessionária RAL","Payment of court decision to the RAL concessionaire")</f>
        <v>Pagamento de decisão judicial à concessionária RAL</v>
      </c>
      <c r="C82" s="143" t="str">
        <f>IF(Indice_index!$Z$1=1,"Despesa","Expenditure")</f>
        <v>Despesa</v>
      </c>
      <c r="D82" s="31" t="s">
        <v>37</v>
      </c>
      <c r="E82" s="287"/>
      <c r="F82" s="287">
        <v>3.10650264</v>
      </c>
      <c r="G82" s="287">
        <v>1.55325132</v>
      </c>
      <c r="H82" s="287">
        <v>1.55325132</v>
      </c>
      <c r="I82" s="287">
        <v>3.1065026399999995</v>
      </c>
      <c r="J82" s="287"/>
      <c r="K82" s="287">
        <v>1.55325132</v>
      </c>
      <c r="L82" s="287">
        <v>1.5532513200000002</v>
      </c>
      <c r="M82" s="287">
        <v>1.5532513200000002</v>
      </c>
      <c r="N82" s="287">
        <v>1.5532513199999993</v>
      </c>
      <c r="O82" s="287">
        <v>1.5532513199999975</v>
      </c>
      <c r="P82" s="287">
        <v>1.5532513200000011</v>
      </c>
      <c r="Q82" s="288">
        <f t="shared" si="39"/>
        <v>12.426010559999998</v>
      </c>
      <c r="R82" s="288">
        <f t="shared" si="48"/>
        <v>18.639015839999999</v>
      </c>
      <c r="S82" s="287"/>
      <c r="T82" s="287">
        <v>3.11</v>
      </c>
      <c r="U82" s="287">
        <v>1.5532513199999998</v>
      </c>
      <c r="V82" s="287">
        <v>1.5532513200000002</v>
      </c>
      <c r="W82" s="287">
        <v>1.5532513200000002</v>
      </c>
      <c r="X82" s="288">
        <v>1.5532513200000002</v>
      </c>
      <c r="Y82" s="287">
        <v>1.5532513200000002</v>
      </c>
      <c r="Z82" s="288">
        <v>1.5532513200000002</v>
      </c>
      <c r="AA82" s="288"/>
      <c r="AB82" s="288"/>
      <c r="AC82" s="288"/>
      <c r="AD82" s="288"/>
      <c r="AE82" s="288">
        <f t="shared" si="50"/>
        <v>12.429507920000002</v>
      </c>
    </row>
    <row r="83" spans="1:33" ht="34.35" customHeight="1">
      <c r="B83" s="142" t="str">
        <f>IF(Indice_index!$Z$1=1,B146,B147)</f>
        <v>Transferências de capital - excedente para compensar os municípios dos montantes mínimos das transferências financeiras realizadas ao abrigo da Lei de Finanças Locais - artigo 35.º da Lei n.º 73/2013, de 3 de setembro, na redação atual</v>
      </c>
      <c r="C83" s="143" t="str">
        <f>IF(Indice_index!$Z$1=1,"Despesa","Expenditure")</f>
        <v>Despesa</v>
      </c>
      <c r="D83" s="31" t="s">
        <v>39</v>
      </c>
      <c r="E83" s="287">
        <v>26.839382000000001</v>
      </c>
      <c r="F83" s="287">
        <v>26.839382000000001</v>
      </c>
      <c r="G83" s="287">
        <v>26.794381999999999</v>
      </c>
      <c r="H83" s="287">
        <v>26.825882</v>
      </c>
      <c r="I83" s="287">
        <v>26.839382000000001</v>
      </c>
      <c r="J83" s="287">
        <v>26.839382000000001</v>
      </c>
      <c r="K83" s="287">
        <v>26.839382000000001</v>
      </c>
      <c r="L83" s="287">
        <v>26.839382000000001</v>
      </c>
      <c r="M83" s="287">
        <v>26.839382000000001</v>
      </c>
      <c r="N83" s="287">
        <v>26.839382000000029</v>
      </c>
      <c r="O83" s="287">
        <v>26.839382000000001</v>
      </c>
      <c r="P83" s="287">
        <v>26.899733999999967</v>
      </c>
      <c r="Q83" s="288">
        <f t="shared" si="39"/>
        <v>214.65655599999999</v>
      </c>
      <c r="R83" s="288">
        <f t="shared" si="48"/>
        <v>322.07443599999999</v>
      </c>
      <c r="S83" s="287">
        <v>40.310046999999997</v>
      </c>
      <c r="T83" s="287">
        <f>40310047/10^6</f>
        <v>40.310046999999997</v>
      </c>
      <c r="U83" s="288">
        <v>40.310046999999997</v>
      </c>
      <c r="V83" s="288">
        <f>40310047/10^6</f>
        <v>40.310046999999997</v>
      </c>
      <c r="W83" s="288">
        <v>40.310046999999997</v>
      </c>
      <c r="X83" s="288">
        <f>40310047/10^6</f>
        <v>40.310046999999997</v>
      </c>
      <c r="Y83" s="288">
        <f>40310047/10^6</f>
        <v>40.310046999999997</v>
      </c>
      <c r="Z83" s="288">
        <f>40310047/10^6</f>
        <v>40.310046999999997</v>
      </c>
      <c r="AA83" s="288"/>
      <c r="AB83" s="288"/>
      <c r="AC83" s="288"/>
      <c r="AD83" s="288"/>
      <c r="AE83" s="288">
        <f t="shared" si="50"/>
        <v>322.48037599999998</v>
      </c>
    </row>
    <row r="84" spans="1:33" ht="13.5" customHeight="1">
      <c r="B84" s="142" t="str">
        <f>IF(Indice_index!$Z$1=1,"Fundo Sustentabilidade Sistémica do Setor Energético - Redução dívida tarifária do Sistema Elétrico Nacional","Fund for the Systemic Sustainability of the Energetic Sector - Reduction in the National Electricity System’s tariffs debt")</f>
        <v>Fundo Sustentabilidade Sistémica do Setor Energético - Redução dívida tarifária do Sistema Elétrico Nacional</v>
      </c>
      <c r="C84" s="143" t="str">
        <f>IF(Indice_index!$Z$1=1,"Despesa","Expenditure")</f>
        <v>Despesa</v>
      </c>
      <c r="D84" s="31" t="s">
        <v>34</v>
      </c>
      <c r="E84" s="287"/>
      <c r="F84" s="287"/>
      <c r="G84" s="287"/>
      <c r="H84" s="287"/>
      <c r="I84" s="287"/>
      <c r="J84" s="287"/>
      <c r="K84" s="287"/>
      <c r="L84" s="287"/>
      <c r="M84" s="287"/>
      <c r="N84" s="287"/>
      <c r="O84" s="287"/>
      <c r="P84" s="287">
        <v>57.196159649999998</v>
      </c>
      <c r="Q84" s="288">
        <f t="shared" si="39"/>
        <v>0</v>
      </c>
      <c r="R84" s="288">
        <f t="shared" si="48"/>
        <v>57.196159649999998</v>
      </c>
      <c r="S84" s="287"/>
      <c r="T84" s="287"/>
      <c r="U84" s="288"/>
      <c r="V84" s="288"/>
      <c r="W84" s="288"/>
      <c r="X84" s="288"/>
      <c r="Y84" s="288"/>
      <c r="Z84" s="288"/>
      <c r="AA84" s="288"/>
      <c r="AB84" s="288"/>
      <c r="AC84" s="288"/>
      <c r="AD84" s="288"/>
      <c r="AE84" s="288">
        <f t="shared" si="42"/>
        <v>0</v>
      </c>
    </row>
    <row r="85" spans="1:33" ht="14.1" customHeight="1">
      <c r="B85" s="292" t="str">
        <f>IF(Indice_index!$Z$1=1,"Transferência da contribuição sobre o setor bancário para Fundo Único de Resolução","Transfer of the contribution on the banking sector to the Single Resolution Fund")</f>
        <v>Transferência da contribuição sobre o setor bancário para Fundo Único de Resolução</v>
      </c>
      <c r="C85" s="336" t="str">
        <f>IF(Indice_index!$Z$1=1,"Despesa","Expenditure")</f>
        <v>Despesa</v>
      </c>
      <c r="D85" s="337" t="s">
        <v>40</v>
      </c>
      <c r="E85" s="290"/>
      <c r="F85" s="290"/>
      <c r="G85" s="290"/>
      <c r="H85" s="290"/>
      <c r="I85" s="290"/>
      <c r="J85" s="290">
        <v>0.29130911999999998</v>
      </c>
      <c r="K85" s="290"/>
      <c r="L85" s="290"/>
      <c r="M85" s="290"/>
      <c r="N85" s="290"/>
      <c r="O85" s="290"/>
      <c r="P85" s="290"/>
      <c r="Q85" s="290">
        <f t="shared" si="39"/>
        <v>0.29130911999999998</v>
      </c>
      <c r="R85" s="291">
        <f t="shared" si="48"/>
        <v>0.29130911999999998</v>
      </c>
      <c r="S85" s="290"/>
      <c r="T85" s="290"/>
      <c r="U85" s="290"/>
      <c r="V85" s="291"/>
      <c r="W85" s="291"/>
      <c r="X85" s="291"/>
      <c r="Y85" s="291"/>
      <c r="Z85" s="291"/>
      <c r="AA85" s="291"/>
      <c r="AB85" s="291"/>
      <c r="AC85" s="291"/>
      <c r="AD85" s="291"/>
      <c r="AE85" s="291">
        <f>SUM(S85:AD85)</f>
        <v>0</v>
      </c>
    </row>
    <row r="86" spans="1:33" ht="6.6" customHeight="1">
      <c r="B86" s="142"/>
      <c r="C86" s="143"/>
      <c r="D86" s="31"/>
      <c r="E86" s="31"/>
      <c r="F86" s="31"/>
      <c r="G86" s="31"/>
      <c r="H86" s="31"/>
      <c r="I86" s="31"/>
      <c r="J86" s="31"/>
      <c r="K86" s="31"/>
      <c r="L86" s="31"/>
      <c r="M86" s="31"/>
      <c r="N86" s="31"/>
      <c r="O86" s="31"/>
      <c r="P86" s="31"/>
      <c r="S86" s="31"/>
      <c r="T86" s="31"/>
    </row>
    <row r="87" spans="1:33" ht="24" customHeight="1">
      <c r="B87" s="458" t="str">
        <f>IF(Indice_index!$Z$1=1,B152,B153)</f>
        <v>(a) Os valores identificados neste item correspondem aos que foram registados pelas entidades nos sistemas de informação de suporte ao acompanhamento da execução orçamental. Valores mensais negativos resultam do registo, pelas entidades, de valores acumulados inferiores aos do mês precedente.</v>
      </c>
      <c r="C87" s="458"/>
      <c r="D87" s="458"/>
      <c r="E87" s="458"/>
      <c r="F87" s="458"/>
      <c r="G87" s="458"/>
      <c r="H87" s="458"/>
      <c r="I87" s="458"/>
      <c r="J87" s="458"/>
      <c r="K87" s="458"/>
      <c r="L87" s="458"/>
      <c r="M87" s="458"/>
      <c r="N87" s="458"/>
      <c r="O87" s="458"/>
      <c r="P87" s="458"/>
      <c r="Q87" s="458"/>
      <c r="R87" s="458"/>
      <c r="S87" s="458"/>
      <c r="T87" s="458"/>
      <c r="U87" s="458"/>
      <c r="V87" s="458"/>
      <c r="W87" s="458"/>
      <c r="X87" s="458"/>
      <c r="Y87" s="458"/>
      <c r="Z87" s="458"/>
      <c r="AA87" s="458"/>
      <c r="AB87" s="458"/>
      <c r="AC87" s="458"/>
      <c r="AD87" s="458"/>
      <c r="AE87" s="458"/>
    </row>
    <row r="88" spans="1:33" ht="15">
      <c r="B88" s="257" t="str">
        <f>IF(Indice_index!$Z$1=1,"Notas:","Notes:")</f>
        <v>Notas:</v>
      </c>
      <c r="C88" s="257"/>
      <c r="D88" s="258"/>
      <c r="E88" s="257"/>
      <c r="F88" s="257"/>
      <c r="G88" s="110"/>
      <c r="H88" s="110"/>
      <c r="I88" s="110"/>
      <c r="J88" s="110"/>
      <c r="K88" s="110"/>
      <c r="L88" s="110"/>
      <c r="M88" s="110"/>
      <c r="N88" s="110"/>
      <c r="O88" s="110"/>
      <c r="P88" s="110"/>
      <c r="Q88" s="110"/>
      <c r="R88" s="110"/>
      <c r="S88" s="257"/>
      <c r="T88" s="257"/>
      <c r="U88" s="110"/>
      <c r="V88" s="110"/>
      <c r="W88" s="110"/>
      <c r="X88" s="110"/>
      <c r="Y88" s="110"/>
      <c r="Z88" s="110"/>
      <c r="AA88" s="110"/>
      <c r="AB88" s="110"/>
      <c r="AC88" s="110"/>
      <c r="AD88" s="110"/>
      <c r="AE88" s="110"/>
    </row>
    <row r="89" spans="1:33" ht="15">
      <c r="B89" s="257" t="str">
        <f>IF(Indice_index!$Z$1=1,"O sinal evidencia o efeito que cada facto teve na receita ou na despesa, no âmbito da Conta da Administração Central e Segurança Social. Assim:","The signal shows the effect that each fact had in revenue or in expenditure, within the Central Government and Social Security Account. Therefore:")</f>
        <v>O sinal evidencia o efeito que cada facto teve na receita ou na despesa, no âmbito da Conta da Administração Central e Segurança Social. Assim:</v>
      </c>
      <c r="C89" s="110"/>
      <c r="D89" s="144"/>
      <c r="E89" s="110"/>
      <c r="F89" s="110"/>
      <c r="G89" s="110"/>
      <c r="I89" s="110"/>
      <c r="J89" s="110"/>
      <c r="K89" s="110"/>
      <c r="L89" s="110"/>
      <c r="M89" s="110"/>
      <c r="N89" s="110"/>
      <c r="O89" s="110"/>
      <c r="P89" s="110"/>
      <c r="R89" s="110"/>
      <c r="S89" s="110"/>
      <c r="T89" s="110"/>
      <c r="U89" s="110"/>
      <c r="W89" s="110"/>
      <c r="X89" s="110"/>
      <c r="Y89" s="110"/>
      <c r="Z89" s="110"/>
      <c r="AA89" s="110"/>
      <c r="AB89" s="110"/>
      <c r="AC89" s="110"/>
      <c r="AD89" s="110"/>
      <c r="AE89" s="110"/>
    </row>
    <row r="90" spans="1:33" ht="15">
      <c r="B90" s="259" t="str">
        <f>IF(Indice_index!$Z$1=1,"- Aumentos excecionais de receita são evidenciados com sinal positivo (+) -  têm efeito positivo no saldo;","- Exceptional revenue increases are shown with a positive signal (+) -  they have a positive effect in balance;")</f>
        <v>- Aumentos excecionais de receita são evidenciados com sinal positivo (+) -  têm efeito positivo no saldo;</v>
      </c>
      <c r="C90" s="110"/>
      <c r="D90" s="144"/>
      <c r="E90" s="110"/>
      <c r="F90" s="110"/>
      <c r="G90" s="110"/>
      <c r="H90" s="110"/>
      <c r="I90" s="110"/>
      <c r="J90" s="110"/>
      <c r="K90" s="110"/>
      <c r="L90" s="110"/>
      <c r="M90" s="110"/>
      <c r="O90" s="110"/>
      <c r="P90" s="110"/>
      <c r="R90" s="260"/>
      <c r="S90" s="110"/>
      <c r="T90" s="110"/>
      <c r="U90" s="110"/>
      <c r="V90" s="110"/>
      <c r="W90" s="110"/>
      <c r="X90" s="110"/>
      <c r="Y90" s="261"/>
      <c r="Z90" s="261"/>
      <c r="AA90" s="261"/>
      <c r="AB90" s="261"/>
      <c r="AC90" s="261"/>
      <c r="AD90" s="261"/>
      <c r="AE90" s="261"/>
    </row>
    <row r="91" spans="1:33" ht="15">
      <c r="B91" s="259" t="str">
        <f>IF(Indice_index!$Z$1=1,"- Aumentos excecionais de despesa são evidenciados com sinal positivo (+) - têm efeito negativo no saldo pela fórmula de apuramento do saldo.","- Exceptional expenditure increases are shown with a positive signal (+) -  they have a negative effect in balance due to the calculation of balance itself.")</f>
        <v>- Aumentos excecionais de despesa são evidenciados com sinal positivo (+) - têm efeito negativo no saldo pela fórmula de apuramento do saldo.</v>
      </c>
      <c r="C91" s="110"/>
      <c r="D91" s="144"/>
      <c r="E91" s="110"/>
      <c r="F91" s="110"/>
      <c r="G91" s="110"/>
      <c r="H91" s="110"/>
      <c r="I91" s="110"/>
      <c r="J91" s="110"/>
      <c r="K91" s="110"/>
      <c r="L91" s="110"/>
      <c r="M91" s="110"/>
      <c r="N91" s="110"/>
      <c r="O91" s="110"/>
      <c r="P91" s="110"/>
      <c r="Q91" s="110"/>
      <c r="R91" s="110"/>
      <c r="S91" s="110"/>
      <c r="T91" s="110"/>
      <c r="U91" s="110"/>
      <c r="V91" s="110"/>
      <c r="W91" s="110"/>
      <c r="X91" s="110"/>
      <c r="Y91" s="110"/>
      <c r="Z91" s="110"/>
      <c r="AA91" s="110"/>
      <c r="AB91" s="110"/>
      <c r="AC91" s="110"/>
      <c r="AE91" s="110"/>
    </row>
    <row r="92" spans="1:33" ht="15">
      <c r="B92" s="135" t="str">
        <f>IF(Indice_index!$Z$1=1,"Fonte: Entidade Orçamental.","Source: Budgetary Entity.")</f>
        <v>Fonte: Entidade Orçamental.</v>
      </c>
      <c r="C92" s="110"/>
      <c r="D92" s="144"/>
      <c r="E92" s="110"/>
      <c r="F92" s="110"/>
      <c r="G92" s="110"/>
      <c r="I92" s="110"/>
      <c r="J92" s="110"/>
      <c r="K92" s="110"/>
      <c r="L92" s="110"/>
      <c r="M92" s="110"/>
      <c r="N92" s="110"/>
      <c r="O92" s="110"/>
      <c r="P92" s="110"/>
      <c r="Q92" s="110"/>
      <c r="R92" s="110"/>
      <c r="S92" s="110"/>
      <c r="T92" s="110"/>
      <c r="U92" s="110"/>
      <c r="V92" s="110"/>
      <c r="W92" s="110"/>
      <c r="X92" s="110"/>
      <c r="Y92" s="110"/>
      <c r="Z92" s="110"/>
      <c r="AA92" s="110"/>
      <c r="AB92" s="110"/>
      <c r="AC92" s="110"/>
      <c r="AD92" s="110"/>
      <c r="AE92" s="110"/>
    </row>
    <row r="93" spans="1:33" s="221" customFormat="1" ht="15">
      <c r="A93" s="52"/>
      <c r="B93" s="215"/>
      <c r="C93" s="216"/>
      <c r="D93" s="217"/>
      <c r="E93" s="218"/>
      <c r="F93" s="218"/>
      <c r="G93" s="218"/>
      <c r="H93" s="218"/>
      <c r="I93" s="218"/>
      <c r="J93" s="218"/>
      <c r="K93" s="218"/>
      <c r="L93" s="218"/>
      <c r="M93" s="218"/>
      <c r="N93" s="218"/>
      <c r="O93" s="218"/>
      <c r="P93" s="218"/>
      <c r="Q93" s="218"/>
      <c r="R93" s="218"/>
      <c r="S93" s="218"/>
      <c r="T93" s="218"/>
      <c r="U93" s="218"/>
      <c r="V93" s="218"/>
      <c r="W93" s="218"/>
      <c r="X93" s="218"/>
      <c r="Y93" s="218"/>
      <c r="Z93" s="218"/>
      <c r="AA93" s="218"/>
      <c r="AB93" s="218"/>
      <c r="AC93" s="218"/>
      <c r="AD93" s="218"/>
      <c r="AE93" s="218"/>
      <c r="AF93" s="219"/>
      <c r="AG93" s="220"/>
    </row>
    <row r="94" spans="1:33" s="228" customFormat="1" ht="15" hidden="1">
      <c r="A94" s="222"/>
      <c r="B94" s="223"/>
      <c r="C94" s="224"/>
      <c r="D94" s="225"/>
      <c r="E94" s="226">
        <f t="shared" ref="E94:M94" si="51">+E43-E53</f>
        <v>0</v>
      </c>
      <c r="F94" s="226">
        <f t="shared" si="51"/>
        <v>0</v>
      </c>
      <c r="G94" s="226">
        <f t="shared" si="51"/>
        <v>0</v>
      </c>
      <c r="H94" s="226">
        <f t="shared" si="51"/>
        <v>0</v>
      </c>
      <c r="I94" s="226">
        <f t="shared" si="51"/>
        <v>0</v>
      </c>
      <c r="J94" s="226">
        <f t="shared" si="51"/>
        <v>0</v>
      </c>
      <c r="K94" s="226">
        <f t="shared" si="51"/>
        <v>0</v>
      </c>
      <c r="L94" s="226">
        <f t="shared" si="51"/>
        <v>0</v>
      </c>
      <c r="M94" s="226">
        <f t="shared" si="51"/>
        <v>0</v>
      </c>
      <c r="N94" s="226"/>
      <c r="O94" s="226"/>
      <c r="P94" s="226"/>
      <c r="Q94" s="226"/>
      <c r="R94" s="226"/>
      <c r="S94" s="226"/>
      <c r="T94" s="226"/>
      <c r="U94" s="226"/>
      <c r="V94" s="226"/>
      <c r="W94" s="226"/>
      <c r="X94" s="226"/>
      <c r="Y94" s="226"/>
      <c r="Z94" s="226"/>
      <c r="AA94" s="226"/>
      <c r="AB94" s="226"/>
      <c r="AC94" s="226"/>
      <c r="AD94" s="226"/>
      <c r="AE94" s="226"/>
      <c r="AF94" s="227"/>
      <c r="AG94" s="223"/>
    </row>
    <row r="95" spans="1:33" s="228" customFormat="1" ht="15" hidden="1">
      <c r="A95" s="222"/>
      <c r="B95" s="223"/>
      <c r="C95" s="223"/>
      <c r="D95" s="229"/>
      <c r="E95" s="223">
        <f t="shared" ref="E95:M95" si="52">SUM(E54:E73)-SUM(E75:E84)-E43</f>
        <v>17.26070107000001</v>
      </c>
      <c r="F95" s="223">
        <f t="shared" si="52"/>
        <v>0</v>
      </c>
      <c r="G95" s="223">
        <f t="shared" si="52"/>
        <v>0</v>
      </c>
      <c r="H95" s="223">
        <f t="shared" si="52"/>
        <v>0</v>
      </c>
      <c r="I95" s="223">
        <f t="shared" si="52"/>
        <v>0</v>
      </c>
      <c r="J95" s="223">
        <f t="shared" si="52"/>
        <v>0.29130911999993714</v>
      </c>
      <c r="K95" s="223">
        <f t="shared" si="52"/>
        <v>0</v>
      </c>
      <c r="L95" s="223">
        <f t="shared" si="52"/>
        <v>0</v>
      </c>
      <c r="M95" s="223">
        <f t="shared" si="52"/>
        <v>0</v>
      </c>
      <c r="N95" s="223"/>
      <c r="O95" s="223"/>
      <c r="P95" s="223"/>
      <c r="Q95" s="223"/>
      <c r="R95" s="223"/>
      <c r="S95" s="223"/>
      <c r="T95" s="223"/>
      <c r="U95" s="223"/>
      <c r="V95" s="223"/>
      <c r="W95" s="223"/>
      <c r="X95" s="223"/>
      <c r="Y95" s="223"/>
      <c r="Z95" s="223"/>
      <c r="AA95" s="223"/>
      <c r="AB95" s="223"/>
      <c r="AC95" s="223"/>
      <c r="AD95" s="223"/>
      <c r="AE95" s="223"/>
      <c r="AF95" s="227"/>
      <c r="AG95" s="223"/>
    </row>
    <row r="96" spans="1:33" s="228" customFormat="1" ht="15" hidden="1">
      <c r="A96" s="222"/>
      <c r="B96" s="230"/>
      <c r="C96" s="230"/>
      <c r="D96" s="231"/>
      <c r="E96" s="223">
        <f t="shared" ref="E96:M96" si="53">SUM(E54:E73)-E26</f>
        <v>0</v>
      </c>
      <c r="F96" s="223">
        <f t="shared" si="53"/>
        <v>0</v>
      </c>
      <c r="G96" s="223">
        <f t="shared" si="53"/>
        <v>0</v>
      </c>
      <c r="H96" s="223">
        <f t="shared" si="53"/>
        <v>0</v>
      </c>
      <c r="I96" s="223">
        <f t="shared" si="53"/>
        <v>0</v>
      </c>
      <c r="J96" s="223">
        <f t="shared" si="53"/>
        <v>0</v>
      </c>
      <c r="K96" s="223">
        <f t="shared" si="53"/>
        <v>0</v>
      </c>
      <c r="L96" s="223">
        <f t="shared" si="53"/>
        <v>0</v>
      </c>
      <c r="M96" s="223">
        <f t="shared" si="53"/>
        <v>0</v>
      </c>
      <c r="N96" s="223"/>
      <c r="O96" s="223"/>
      <c r="P96" s="223"/>
      <c r="Q96" s="223"/>
      <c r="R96" s="223"/>
      <c r="S96" s="223"/>
      <c r="T96" s="223"/>
      <c r="U96" s="223"/>
      <c r="V96" s="223"/>
      <c r="W96" s="223"/>
      <c r="X96" s="223"/>
      <c r="Y96" s="223"/>
      <c r="Z96" s="223"/>
      <c r="AA96" s="223"/>
      <c r="AB96" s="223"/>
      <c r="AC96" s="223"/>
      <c r="AD96" s="223"/>
      <c r="AE96" s="223"/>
      <c r="AF96" s="227"/>
      <c r="AG96" s="223"/>
    </row>
    <row r="97" spans="1:33" s="228" customFormat="1" ht="15" hidden="1">
      <c r="A97" s="222"/>
      <c r="B97" s="230"/>
      <c r="C97" s="230"/>
      <c r="D97" s="231"/>
      <c r="E97" s="223">
        <f t="shared" ref="E97:M97" si="54">SUM(E75:E84)-E42</f>
        <v>-17.26070107000001</v>
      </c>
      <c r="F97" s="223">
        <f t="shared" si="54"/>
        <v>0</v>
      </c>
      <c r="G97" s="223">
        <f t="shared" si="54"/>
        <v>0</v>
      </c>
      <c r="H97" s="223">
        <f t="shared" si="54"/>
        <v>0</v>
      </c>
      <c r="I97" s="223">
        <f t="shared" si="54"/>
        <v>0</v>
      </c>
      <c r="J97" s="223">
        <f t="shared" si="54"/>
        <v>-0.29130912000000109</v>
      </c>
      <c r="K97" s="223">
        <f t="shared" si="54"/>
        <v>0</v>
      </c>
      <c r="L97" s="223">
        <f t="shared" si="54"/>
        <v>0</v>
      </c>
      <c r="M97" s="223">
        <f t="shared" si="54"/>
        <v>0</v>
      </c>
      <c r="N97" s="223"/>
      <c r="O97" s="223"/>
      <c r="P97" s="223"/>
      <c r="Q97" s="223"/>
      <c r="R97" s="223"/>
      <c r="S97" s="223"/>
      <c r="T97" s="223"/>
      <c r="U97" s="223"/>
      <c r="V97" s="223"/>
      <c r="W97" s="223"/>
      <c r="X97" s="223"/>
      <c r="Y97" s="223"/>
      <c r="Z97" s="223"/>
      <c r="AA97" s="223"/>
      <c r="AB97" s="223"/>
      <c r="AC97" s="223"/>
      <c r="AD97" s="223"/>
      <c r="AE97" s="223"/>
      <c r="AF97" s="227"/>
      <c r="AG97" s="223"/>
    </row>
    <row r="98" spans="1:33" s="228" customFormat="1" ht="15" hidden="1">
      <c r="A98" s="222"/>
      <c r="B98" s="227"/>
      <c r="C98" s="232"/>
      <c r="D98" s="231"/>
      <c r="E98" s="233"/>
      <c r="F98" s="233"/>
      <c r="G98" s="233"/>
      <c r="H98" s="233"/>
      <c r="I98" s="233"/>
      <c r="J98" s="233"/>
      <c r="K98" s="233"/>
      <c r="L98" s="233"/>
      <c r="M98" s="233"/>
      <c r="N98" s="233"/>
      <c r="O98" s="233"/>
      <c r="P98" s="233"/>
      <c r="Q98" s="233"/>
      <c r="R98" s="233"/>
      <c r="S98" s="233"/>
      <c r="T98" s="233"/>
      <c r="U98" s="233"/>
      <c r="V98" s="233"/>
      <c r="W98" s="233"/>
      <c r="X98" s="233"/>
      <c r="Y98" s="233"/>
      <c r="Z98" s="233"/>
      <c r="AA98" s="233"/>
      <c r="AB98" s="233"/>
      <c r="AC98" s="233"/>
      <c r="AD98" s="233"/>
      <c r="AE98" s="233"/>
      <c r="AF98" s="227"/>
      <c r="AG98" s="223"/>
    </row>
    <row r="99" spans="1:33" s="228" customFormat="1" ht="15" hidden="1">
      <c r="A99" s="222"/>
      <c r="B99" s="234"/>
      <c r="C99" s="232"/>
      <c r="D99" s="233"/>
      <c r="E99" s="233"/>
      <c r="F99" s="233"/>
      <c r="G99" s="233"/>
      <c r="H99" s="233"/>
      <c r="I99" s="233"/>
      <c r="J99" s="233"/>
      <c r="K99" s="233"/>
      <c r="L99" s="233"/>
      <c r="M99" s="233"/>
      <c r="N99" s="233"/>
      <c r="O99" s="233"/>
      <c r="P99" s="233"/>
      <c r="Q99" s="233"/>
      <c r="R99" s="233"/>
      <c r="S99" s="233"/>
      <c r="T99" s="233"/>
      <c r="U99" s="233"/>
      <c r="V99" s="233"/>
      <c r="W99" s="233"/>
      <c r="X99" s="233"/>
      <c r="Y99" s="233"/>
      <c r="Z99" s="233"/>
      <c r="AA99" s="233"/>
      <c r="AB99" s="233"/>
      <c r="AC99" s="233"/>
      <c r="AD99" s="233"/>
      <c r="AE99" s="233"/>
      <c r="AF99" s="227"/>
      <c r="AG99" s="223"/>
    </row>
    <row r="100" spans="1:33" s="228" customFormat="1" ht="15" hidden="1">
      <c r="A100" s="222"/>
      <c r="B100" s="227" t="s">
        <v>17</v>
      </c>
      <c r="C100" s="232"/>
      <c r="D100" s="233"/>
      <c r="E100" s="233"/>
      <c r="F100" s="233"/>
      <c r="G100" s="233"/>
      <c r="H100" s="233"/>
      <c r="I100" s="233"/>
      <c r="J100" s="233"/>
      <c r="K100" s="233"/>
      <c r="L100" s="233"/>
      <c r="M100" s="233"/>
      <c r="N100" s="233"/>
      <c r="O100" s="233"/>
      <c r="P100" s="233"/>
      <c r="Q100" s="233"/>
      <c r="R100" s="233"/>
      <c r="S100" s="233"/>
      <c r="T100" s="233"/>
      <c r="U100" s="233"/>
      <c r="V100" s="233"/>
      <c r="W100" s="233"/>
      <c r="X100" s="233"/>
      <c r="Y100" s="233"/>
      <c r="Z100" s="233"/>
      <c r="AA100" s="233"/>
      <c r="AB100" s="233"/>
      <c r="AC100" s="233"/>
      <c r="AD100" s="233"/>
      <c r="AE100" s="233"/>
      <c r="AF100" s="227"/>
      <c r="AG100" s="223"/>
    </row>
    <row r="101" spans="1:33" s="228" customFormat="1" ht="15" hidden="1">
      <c r="A101" s="222"/>
      <c r="B101" s="227" t="s">
        <v>18</v>
      </c>
      <c r="C101" s="227"/>
      <c r="D101" s="235"/>
      <c r="E101" s="227"/>
      <c r="F101" s="227"/>
      <c r="G101" s="227"/>
      <c r="H101" s="227"/>
      <c r="I101" s="227"/>
      <c r="J101" s="227"/>
      <c r="K101" s="227"/>
      <c r="L101" s="227"/>
      <c r="M101" s="227"/>
      <c r="N101" s="227"/>
      <c r="O101" s="227"/>
      <c r="P101" s="227"/>
      <c r="Q101" s="227"/>
      <c r="R101" s="227"/>
      <c r="S101" s="227"/>
      <c r="T101" s="227"/>
      <c r="U101" s="227"/>
      <c r="V101" s="227"/>
      <c r="W101" s="227"/>
      <c r="X101" s="227"/>
      <c r="Y101" s="227"/>
      <c r="Z101" s="227"/>
      <c r="AA101" s="227"/>
      <c r="AB101" s="227"/>
      <c r="AC101" s="227"/>
      <c r="AD101" s="227"/>
      <c r="AE101" s="227"/>
      <c r="AF101" s="227"/>
      <c r="AG101" s="223"/>
    </row>
    <row r="102" spans="1:33" s="228" customFormat="1" ht="15" hidden="1">
      <c r="A102" s="222"/>
      <c r="B102" s="227" t="s">
        <v>19</v>
      </c>
      <c r="C102" s="227"/>
      <c r="D102" s="235"/>
      <c r="E102" s="227"/>
      <c r="F102" s="227"/>
      <c r="G102" s="227"/>
      <c r="H102" s="227"/>
      <c r="I102" s="227"/>
      <c r="J102" s="227"/>
      <c r="K102" s="227"/>
      <c r="L102" s="227"/>
      <c r="M102" s="227"/>
      <c r="N102" s="227"/>
      <c r="O102" s="227"/>
      <c r="P102" s="227"/>
      <c r="Q102" s="227"/>
      <c r="R102" s="227"/>
      <c r="S102" s="227"/>
      <c r="T102" s="227"/>
      <c r="U102" s="227"/>
      <c r="V102" s="227"/>
      <c r="W102" s="227"/>
      <c r="X102" s="227"/>
      <c r="Y102" s="227"/>
      <c r="Z102" s="227"/>
      <c r="AA102" s="227"/>
      <c r="AB102" s="227"/>
      <c r="AC102" s="227"/>
      <c r="AD102" s="227"/>
      <c r="AE102" s="227"/>
      <c r="AF102" s="227"/>
      <c r="AG102" s="223"/>
    </row>
    <row r="103" spans="1:33" s="228" customFormat="1" ht="15" hidden="1">
      <c r="A103" s="222"/>
      <c r="B103" s="227" t="s">
        <v>20</v>
      </c>
      <c r="C103" s="227"/>
      <c r="D103" s="235"/>
      <c r="E103" s="227"/>
      <c r="F103" s="227"/>
      <c r="G103" s="227"/>
      <c r="H103" s="227"/>
      <c r="I103" s="227"/>
      <c r="J103" s="227"/>
      <c r="K103" s="227"/>
      <c r="L103" s="227"/>
      <c r="M103" s="227"/>
      <c r="N103" s="227"/>
      <c r="O103" s="227"/>
      <c r="P103" s="227"/>
      <c r="Q103" s="227"/>
      <c r="R103" s="227"/>
      <c r="S103" s="227"/>
      <c r="T103" s="227"/>
      <c r="U103" s="227"/>
      <c r="V103" s="227"/>
      <c r="W103" s="227"/>
      <c r="X103" s="227"/>
      <c r="Y103" s="227"/>
      <c r="Z103" s="227"/>
      <c r="AA103" s="227"/>
      <c r="AB103" s="227"/>
      <c r="AC103" s="227"/>
      <c r="AD103" s="227"/>
      <c r="AE103" s="227"/>
      <c r="AF103" s="227"/>
      <c r="AG103" s="223"/>
    </row>
    <row r="104" spans="1:33" s="228" customFormat="1" ht="15" hidden="1">
      <c r="A104" s="222"/>
      <c r="B104" s="227" t="s">
        <v>21</v>
      </c>
      <c r="C104" s="227"/>
      <c r="D104" s="235"/>
      <c r="E104" s="227"/>
      <c r="F104" s="227"/>
      <c r="G104" s="227"/>
      <c r="H104" s="227"/>
      <c r="I104" s="227"/>
      <c r="J104" s="227"/>
      <c r="K104" s="227"/>
      <c r="L104" s="227"/>
      <c r="M104" s="227"/>
      <c r="N104" s="227"/>
      <c r="O104" s="227"/>
      <c r="P104" s="227"/>
      <c r="Q104" s="227"/>
      <c r="R104" s="227"/>
      <c r="S104" s="227"/>
      <c r="T104" s="227"/>
      <c r="U104" s="227"/>
      <c r="V104" s="227"/>
      <c r="W104" s="227"/>
      <c r="X104" s="227"/>
      <c r="Y104" s="227"/>
      <c r="Z104" s="227"/>
      <c r="AA104" s="227"/>
      <c r="AB104" s="227"/>
      <c r="AC104" s="227"/>
      <c r="AD104" s="227"/>
      <c r="AE104" s="227"/>
      <c r="AF104" s="227"/>
      <c r="AG104" s="223"/>
    </row>
    <row r="105" spans="1:33" s="228" customFormat="1" ht="15" hidden="1">
      <c r="A105" s="222"/>
      <c r="B105" s="227" t="s">
        <v>22</v>
      </c>
      <c r="C105" s="227"/>
      <c r="D105" s="235"/>
      <c r="E105" s="227"/>
      <c r="F105" s="227"/>
      <c r="G105" s="227"/>
      <c r="H105" s="227"/>
      <c r="I105" s="227"/>
      <c r="J105" s="227"/>
      <c r="K105" s="227"/>
      <c r="L105" s="227"/>
      <c r="M105" s="227"/>
      <c r="N105" s="227"/>
      <c r="O105" s="227"/>
      <c r="P105" s="227"/>
      <c r="Q105" s="227"/>
      <c r="R105" s="227"/>
      <c r="S105" s="227"/>
      <c r="T105" s="227"/>
      <c r="U105" s="227"/>
      <c r="V105" s="227"/>
      <c r="W105" s="227"/>
      <c r="X105" s="227"/>
      <c r="Y105" s="227"/>
      <c r="Z105" s="227"/>
      <c r="AA105" s="227"/>
      <c r="AB105" s="227"/>
      <c r="AC105" s="227"/>
      <c r="AD105" s="227"/>
      <c r="AE105" s="227"/>
      <c r="AF105" s="227"/>
      <c r="AG105" s="223"/>
    </row>
    <row r="106" spans="1:33" s="228" customFormat="1" ht="15" hidden="1">
      <c r="A106" s="222"/>
      <c r="B106" s="227" t="s">
        <v>23</v>
      </c>
      <c r="C106" s="227"/>
      <c r="D106" s="235"/>
      <c r="E106" s="227"/>
      <c r="F106" s="227"/>
      <c r="G106" s="227"/>
      <c r="H106" s="227"/>
      <c r="I106" s="227"/>
      <c r="J106" s="227"/>
      <c r="K106" s="227"/>
      <c r="L106" s="227"/>
      <c r="M106" s="227"/>
      <c r="N106" s="227"/>
      <c r="O106" s="227"/>
      <c r="P106" s="227"/>
      <c r="Q106" s="227"/>
      <c r="R106" s="227"/>
      <c r="S106" s="227"/>
      <c r="T106" s="227"/>
      <c r="U106" s="227"/>
      <c r="V106" s="227"/>
      <c r="W106" s="227"/>
      <c r="X106" s="227"/>
      <c r="Y106" s="227"/>
      <c r="Z106" s="227"/>
      <c r="AA106" s="227"/>
      <c r="AB106" s="227"/>
      <c r="AC106" s="227"/>
      <c r="AD106" s="227"/>
      <c r="AE106" s="227"/>
      <c r="AF106" s="227"/>
      <c r="AG106" s="223"/>
    </row>
    <row r="107" spans="1:33" s="228" customFormat="1" ht="15" hidden="1">
      <c r="A107" s="222"/>
      <c r="B107" s="227" t="s">
        <v>24</v>
      </c>
      <c r="C107" s="227"/>
      <c r="D107" s="235"/>
      <c r="E107" s="227"/>
      <c r="F107" s="227"/>
      <c r="G107" s="227"/>
      <c r="H107" s="227"/>
      <c r="I107" s="227"/>
      <c r="J107" s="227"/>
      <c r="K107" s="227"/>
      <c r="L107" s="227"/>
      <c r="M107" s="227"/>
      <c r="N107" s="227"/>
      <c r="O107" s="227"/>
      <c r="P107" s="227"/>
      <c r="Q107" s="227"/>
      <c r="R107" s="227"/>
      <c r="S107" s="227"/>
      <c r="T107" s="227"/>
      <c r="U107" s="227"/>
      <c r="V107" s="227"/>
      <c r="W107" s="227"/>
      <c r="X107" s="227"/>
      <c r="Y107" s="227"/>
      <c r="Z107" s="227"/>
      <c r="AA107" s="227"/>
      <c r="AB107" s="227"/>
      <c r="AC107" s="227"/>
      <c r="AD107" s="227"/>
      <c r="AE107" s="227"/>
      <c r="AF107" s="227"/>
      <c r="AG107" s="223"/>
    </row>
    <row r="108" spans="1:33" s="228" customFormat="1" ht="15" hidden="1">
      <c r="A108" s="222"/>
      <c r="B108" s="227" t="s">
        <v>25</v>
      </c>
      <c r="C108" s="227"/>
      <c r="D108" s="235"/>
      <c r="E108" s="227"/>
      <c r="F108" s="227"/>
      <c r="G108" s="227"/>
      <c r="H108" s="227"/>
      <c r="I108" s="227"/>
      <c r="J108" s="227"/>
      <c r="K108" s="227"/>
      <c r="L108" s="227"/>
      <c r="M108" s="227"/>
      <c r="N108" s="227"/>
      <c r="O108" s="227"/>
      <c r="P108" s="227"/>
      <c r="Q108" s="227"/>
      <c r="R108" s="227"/>
      <c r="S108" s="227"/>
      <c r="T108" s="227"/>
      <c r="U108" s="227"/>
      <c r="V108" s="227"/>
      <c r="W108" s="227"/>
      <c r="X108" s="227"/>
      <c r="Y108" s="227"/>
      <c r="Z108" s="227"/>
      <c r="AA108" s="227"/>
      <c r="AB108" s="227"/>
      <c r="AC108" s="227"/>
      <c r="AD108" s="227"/>
      <c r="AE108" s="227"/>
      <c r="AF108" s="227"/>
      <c r="AG108" s="223"/>
    </row>
    <row r="109" spans="1:33" s="228" customFormat="1" ht="15" hidden="1">
      <c r="A109" s="222"/>
      <c r="B109" s="227" t="s">
        <v>26</v>
      </c>
      <c r="C109" s="227"/>
      <c r="D109" s="235"/>
      <c r="E109" s="227"/>
      <c r="F109" s="227"/>
      <c r="G109" s="227"/>
      <c r="H109" s="227"/>
      <c r="I109" s="227"/>
      <c r="J109" s="227"/>
      <c r="K109" s="227"/>
      <c r="L109" s="227"/>
      <c r="M109" s="227"/>
      <c r="N109" s="227"/>
      <c r="O109" s="227"/>
      <c r="P109" s="227"/>
      <c r="Q109" s="227"/>
      <c r="R109" s="227"/>
      <c r="S109" s="227"/>
      <c r="T109" s="227"/>
      <c r="U109" s="227"/>
      <c r="V109" s="227"/>
      <c r="W109" s="227"/>
      <c r="X109" s="227"/>
      <c r="Y109" s="227"/>
      <c r="Z109" s="227"/>
      <c r="AA109" s="227"/>
      <c r="AB109" s="227"/>
      <c r="AC109" s="227"/>
      <c r="AD109" s="227"/>
      <c r="AE109" s="227"/>
      <c r="AF109" s="227"/>
      <c r="AG109" s="223"/>
    </row>
    <row r="110" spans="1:33" s="228" customFormat="1" ht="15" hidden="1">
      <c r="A110" s="222"/>
      <c r="B110" s="227" t="s">
        <v>27</v>
      </c>
      <c r="C110" s="227"/>
      <c r="D110" s="235"/>
      <c r="E110" s="227"/>
      <c r="F110" s="227"/>
      <c r="G110" s="227"/>
      <c r="H110" s="227"/>
      <c r="I110" s="227"/>
      <c r="J110" s="227"/>
      <c r="K110" s="227"/>
      <c r="L110" s="227"/>
      <c r="M110" s="227"/>
      <c r="N110" s="227"/>
      <c r="O110" s="227"/>
      <c r="P110" s="227"/>
      <c r="Q110" s="227"/>
      <c r="R110" s="227"/>
      <c r="S110" s="227"/>
      <c r="T110" s="227"/>
      <c r="U110" s="227"/>
      <c r="V110" s="227"/>
      <c r="W110" s="227"/>
      <c r="X110" s="227"/>
      <c r="Y110" s="227"/>
      <c r="Z110" s="227"/>
      <c r="AA110" s="227"/>
      <c r="AB110" s="227"/>
      <c r="AC110" s="227"/>
      <c r="AD110" s="227"/>
      <c r="AE110" s="227"/>
      <c r="AF110" s="227"/>
      <c r="AG110" s="223"/>
    </row>
    <row r="111" spans="1:33" s="228" customFormat="1" ht="15" hidden="1">
      <c r="A111" s="222"/>
      <c r="B111" s="227" t="s">
        <v>28</v>
      </c>
      <c r="C111" s="227"/>
      <c r="D111" s="235"/>
      <c r="E111" s="227"/>
      <c r="F111" s="227"/>
      <c r="G111" s="227"/>
      <c r="H111" s="227"/>
      <c r="I111" s="227"/>
      <c r="J111" s="227"/>
      <c r="K111" s="227"/>
      <c r="L111" s="227"/>
      <c r="M111" s="227"/>
      <c r="N111" s="227"/>
      <c r="O111" s="227"/>
      <c r="P111" s="227"/>
      <c r="Q111" s="227"/>
      <c r="R111" s="227"/>
      <c r="S111" s="227"/>
      <c r="T111" s="227"/>
      <c r="U111" s="227"/>
      <c r="V111" s="227"/>
      <c r="W111" s="227"/>
      <c r="X111" s="227"/>
      <c r="Y111" s="227"/>
      <c r="Z111" s="227"/>
      <c r="AA111" s="227"/>
      <c r="AB111" s="227"/>
      <c r="AC111" s="227"/>
      <c r="AD111" s="227"/>
      <c r="AE111" s="227"/>
      <c r="AF111" s="227"/>
      <c r="AG111" s="223"/>
    </row>
    <row r="112" spans="1:33" s="228" customFormat="1" ht="15" hidden="1">
      <c r="A112" s="222"/>
      <c r="B112" s="227" t="s">
        <v>29</v>
      </c>
      <c r="C112" s="227"/>
      <c r="D112" s="235"/>
      <c r="E112" s="227"/>
      <c r="F112" s="227"/>
      <c r="G112" s="227"/>
      <c r="H112" s="227"/>
      <c r="I112" s="227"/>
      <c r="J112" s="227"/>
      <c r="K112" s="227"/>
      <c r="L112" s="227"/>
      <c r="M112" s="227"/>
      <c r="N112" s="227"/>
      <c r="O112" s="227"/>
      <c r="P112" s="227"/>
      <c r="Q112" s="227"/>
      <c r="R112" s="227"/>
      <c r="S112" s="227"/>
      <c r="T112" s="227"/>
      <c r="U112" s="227"/>
      <c r="V112" s="227"/>
      <c r="W112" s="227"/>
      <c r="X112" s="227"/>
      <c r="Y112" s="227"/>
      <c r="Z112" s="227"/>
      <c r="AA112" s="227"/>
      <c r="AB112" s="227"/>
      <c r="AC112" s="227"/>
      <c r="AD112" s="227"/>
      <c r="AE112" s="227"/>
      <c r="AF112" s="227"/>
      <c r="AG112" s="223"/>
    </row>
    <row r="113" spans="1:33" s="228" customFormat="1" ht="15" hidden="1">
      <c r="A113" s="222"/>
      <c r="B113" s="227" t="s">
        <v>30</v>
      </c>
      <c r="C113" s="227"/>
      <c r="D113" s="235"/>
      <c r="E113" s="227"/>
      <c r="F113" s="227"/>
      <c r="G113" s="227"/>
      <c r="H113" s="227"/>
      <c r="I113" s="227"/>
      <c r="J113" s="227"/>
      <c r="K113" s="227"/>
      <c r="L113" s="227"/>
      <c r="M113" s="227"/>
      <c r="N113" s="227"/>
      <c r="O113" s="227"/>
      <c r="P113" s="227"/>
      <c r="Q113" s="227"/>
      <c r="R113" s="227"/>
      <c r="S113" s="227"/>
      <c r="T113" s="227"/>
      <c r="U113" s="227"/>
      <c r="V113" s="227"/>
      <c r="W113" s="227"/>
      <c r="X113" s="227"/>
      <c r="Y113" s="227"/>
      <c r="Z113" s="227"/>
      <c r="AA113" s="227"/>
      <c r="AB113" s="227"/>
      <c r="AC113" s="227"/>
      <c r="AD113" s="227"/>
      <c r="AE113" s="227"/>
      <c r="AF113" s="227"/>
      <c r="AG113" s="223"/>
    </row>
    <row r="114" spans="1:33" s="228" customFormat="1" ht="15" hidden="1">
      <c r="A114" s="222"/>
      <c r="B114" s="227" t="s">
        <v>31</v>
      </c>
      <c r="C114" s="227"/>
      <c r="D114" s="235"/>
      <c r="E114" s="227"/>
      <c r="F114" s="227"/>
      <c r="G114" s="227"/>
      <c r="H114" s="227"/>
      <c r="I114" s="227"/>
      <c r="J114" s="227"/>
      <c r="K114" s="227"/>
      <c r="L114" s="227"/>
      <c r="M114" s="227"/>
      <c r="N114" s="227"/>
      <c r="O114" s="227"/>
      <c r="P114" s="227"/>
      <c r="Q114" s="227"/>
      <c r="R114" s="227"/>
      <c r="S114" s="227"/>
      <c r="T114" s="227"/>
      <c r="U114" s="227"/>
      <c r="V114" s="227"/>
      <c r="W114" s="227"/>
      <c r="X114" s="227"/>
      <c r="Y114" s="227"/>
      <c r="Z114" s="227"/>
      <c r="AA114" s="227"/>
      <c r="AB114" s="227"/>
      <c r="AC114" s="227"/>
      <c r="AD114" s="227"/>
      <c r="AE114" s="227"/>
      <c r="AF114" s="227"/>
      <c r="AG114" s="223"/>
    </row>
    <row r="115" spans="1:33" s="228" customFormat="1" ht="15" hidden="1">
      <c r="A115" s="222"/>
      <c r="B115" s="227" t="s">
        <v>32</v>
      </c>
      <c r="C115" s="227"/>
      <c r="D115" s="235"/>
      <c r="E115" s="227"/>
      <c r="F115" s="227"/>
      <c r="G115" s="227"/>
      <c r="H115" s="227"/>
      <c r="I115" s="227"/>
      <c r="J115" s="227"/>
      <c r="K115" s="227"/>
      <c r="L115" s="227"/>
      <c r="M115" s="227"/>
      <c r="N115" s="227"/>
      <c r="O115" s="227"/>
      <c r="P115" s="227"/>
      <c r="Q115" s="227"/>
      <c r="R115" s="227"/>
      <c r="S115" s="227"/>
      <c r="T115" s="227"/>
      <c r="U115" s="227"/>
      <c r="V115" s="227"/>
      <c r="W115" s="227"/>
      <c r="X115" s="227"/>
      <c r="Y115" s="227"/>
      <c r="Z115" s="227"/>
      <c r="AA115" s="227"/>
      <c r="AB115" s="227"/>
      <c r="AC115" s="227"/>
      <c r="AD115" s="227"/>
      <c r="AE115" s="227"/>
      <c r="AF115" s="227"/>
      <c r="AG115" s="223"/>
    </row>
    <row r="116" spans="1:33" s="228" customFormat="1" ht="15" hidden="1">
      <c r="A116" s="222"/>
      <c r="B116" s="227" t="s">
        <v>33</v>
      </c>
      <c r="C116" s="227"/>
      <c r="D116" s="235"/>
      <c r="E116" s="227"/>
      <c r="F116" s="227"/>
      <c r="G116" s="227"/>
      <c r="H116" s="227"/>
      <c r="I116" s="227"/>
      <c r="J116" s="227"/>
      <c r="K116" s="227"/>
      <c r="L116" s="227"/>
      <c r="M116" s="227"/>
      <c r="N116" s="227"/>
      <c r="O116" s="227"/>
      <c r="P116" s="227"/>
      <c r="Q116" s="227"/>
      <c r="R116" s="227"/>
      <c r="S116" s="227"/>
      <c r="T116" s="227"/>
      <c r="U116" s="227"/>
      <c r="V116" s="227"/>
      <c r="W116" s="227"/>
      <c r="X116" s="227"/>
      <c r="Y116" s="227"/>
      <c r="Z116" s="227"/>
      <c r="AA116" s="227"/>
      <c r="AB116" s="227"/>
      <c r="AC116" s="227"/>
      <c r="AD116" s="227"/>
      <c r="AE116" s="227"/>
      <c r="AF116" s="227"/>
      <c r="AG116" s="223"/>
    </row>
    <row r="117" spans="1:33" s="228" customFormat="1" ht="15" hidden="1">
      <c r="A117" s="222"/>
      <c r="B117" s="227" t="s">
        <v>34</v>
      </c>
      <c r="C117" s="227"/>
      <c r="D117" s="235"/>
      <c r="E117" s="227"/>
      <c r="F117" s="227"/>
      <c r="G117" s="227"/>
      <c r="H117" s="227"/>
      <c r="I117" s="227"/>
      <c r="J117" s="227"/>
      <c r="K117" s="227"/>
      <c r="L117" s="227"/>
      <c r="M117" s="227"/>
      <c r="N117" s="227"/>
      <c r="O117" s="227"/>
      <c r="P117" s="227"/>
      <c r="Q117" s="227"/>
      <c r="R117" s="227"/>
      <c r="S117" s="227"/>
      <c r="T117" s="227"/>
      <c r="U117" s="227"/>
      <c r="V117" s="227"/>
      <c r="W117" s="227"/>
      <c r="X117" s="227"/>
      <c r="Y117" s="227"/>
      <c r="Z117" s="227"/>
      <c r="AA117" s="227"/>
      <c r="AB117" s="227"/>
      <c r="AC117" s="227"/>
      <c r="AD117" s="227"/>
      <c r="AE117" s="227"/>
      <c r="AF117" s="227"/>
      <c r="AG117" s="223"/>
    </row>
    <row r="118" spans="1:33" s="228" customFormat="1" ht="15" hidden="1">
      <c r="A118" s="222"/>
      <c r="B118" s="227" t="s">
        <v>35</v>
      </c>
      <c r="C118" s="227"/>
      <c r="D118" s="235"/>
      <c r="E118" s="227"/>
      <c r="F118" s="227"/>
      <c r="G118" s="227"/>
      <c r="H118" s="227"/>
      <c r="I118" s="227"/>
      <c r="J118" s="227"/>
      <c r="K118" s="227"/>
      <c r="L118" s="227"/>
      <c r="M118" s="227"/>
      <c r="N118" s="227"/>
      <c r="O118" s="227"/>
      <c r="P118" s="227"/>
      <c r="Q118" s="227"/>
      <c r="R118" s="227"/>
      <c r="S118" s="227"/>
      <c r="T118" s="227"/>
      <c r="U118" s="227"/>
      <c r="V118" s="227"/>
      <c r="W118" s="227"/>
      <c r="X118" s="227"/>
      <c r="Y118" s="227"/>
      <c r="Z118" s="227"/>
      <c r="AA118" s="227"/>
      <c r="AB118" s="227"/>
      <c r="AC118" s="227"/>
      <c r="AD118" s="227"/>
      <c r="AE118" s="227"/>
      <c r="AF118" s="227"/>
      <c r="AG118" s="223"/>
    </row>
    <row r="119" spans="1:33" s="228" customFormat="1" ht="15" hidden="1">
      <c r="A119" s="222"/>
      <c r="B119" s="227" t="s">
        <v>36</v>
      </c>
      <c r="C119" s="227"/>
      <c r="D119" s="235"/>
      <c r="E119" s="227"/>
      <c r="F119" s="227"/>
      <c r="G119" s="227"/>
      <c r="H119" s="227"/>
      <c r="I119" s="227"/>
      <c r="J119" s="227"/>
      <c r="K119" s="227"/>
      <c r="L119" s="227"/>
      <c r="M119" s="227"/>
      <c r="N119" s="227"/>
      <c r="O119" s="227"/>
      <c r="P119" s="227"/>
      <c r="Q119" s="227"/>
      <c r="R119" s="227"/>
      <c r="S119" s="227"/>
      <c r="T119" s="227"/>
      <c r="U119" s="227"/>
      <c r="V119" s="227"/>
      <c r="W119" s="227"/>
      <c r="X119" s="227"/>
      <c r="Y119" s="227"/>
      <c r="Z119" s="227"/>
      <c r="AA119" s="227"/>
      <c r="AB119" s="227"/>
      <c r="AC119" s="227"/>
      <c r="AD119" s="227"/>
      <c r="AE119" s="227"/>
      <c r="AF119" s="227"/>
      <c r="AG119" s="223"/>
    </row>
    <row r="120" spans="1:33" s="228" customFormat="1" ht="15" hidden="1">
      <c r="A120" s="222"/>
      <c r="B120" s="227" t="s">
        <v>37</v>
      </c>
      <c r="C120" s="227"/>
      <c r="D120" s="235"/>
      <c r="E120" s="227"/>
      <c r="F120" s="227"/>
      <c r="G120" s="227"/>
      <c r="H120" s="227"/>
      <c r="I120" s="227"/>
      <c r="J120" s="227"/>
      <c r="K120" s="227"/>
      <c r="L120" s="227"/>
      <c r="M120" s="227"/>
      <c r="N120" s="227"/>
      <c r="O120" s="227"/>
      <c r="P120" s="227"/>
      <c r="Q120" s="227"/>
      <c r="R120" s="227"/>
      <c r="S120" s="227"/>
      <c r="T120" s="227"/>
      <c r="U120" s="227"/>
      <c r="V120" s="227"/>
      <c r="W120" s="227"/>
      <c r="X120" s="227"/>
      <c r="Y120" s="227"/>
      <c r="Z120" s="227"/>
      <c r="AA120" s="227"/>
      <c r="AB120" s="227"/>
      <c r="AC120" s="227"/>
      <c r="AD120" s="227"/>
      <c r="AE120" s="227"/>
      <c r="AF120" s="227"/>
      <c r="AG120" s="223"/>
    </row>
    <row r="121" spans="1:33" s="228" customFormat="1" ht="15" hidden="1">
      <c r="A121" s="222"/>
      <c r="B121" s="227" t="s">
        <v>38</v>
      </c>
      <c r="C121" s="227"/>
      <c r="D121" s="235"/>
      <c r="E121" s="227"/>
      <c r="F121" s="227"/>
      <c r="G121" s="227"/>
      <c r="H121" s="227"/>
      <c r="I121" s="227"/>
      <c r="J121" s="227"/>
      <c r="K121" s="227"/>
      <c r="L121" s="227"/>
      <c r="M121" s="227"/>
      <c r="N121" s="227"/>
      <c r="O121" s="227"/>
      <c r="P121" s="227"/>
      <c r="Q121" s="227"/>
      <c r="R121" s="227"/>
      <c r="S121" s="227"/>
      <c r="T121" s="227"/>
      <c r="U121" s="227"/>
      <c r="V121" s="227"/>
      <c r="W121" s="227"/>
      <c r="X121" s="227"/>
      <c r="Y121" s="227"/>
      <c r="Z121" s="227"/>
      <c r="AA121" s="227"/>
      <c r="AB121" s="227"/>
      <c r="AC121" s="227"/>
      <c r="AD121" s="227"/>
      <c r="AE121" s="227"/>
      <c r="AF121" s="227"/>
      <c r="AG121" s="223"/>
    </row>
    <row r="122" spans="1:33" s="228" customFormat="1" ht="15" hidden="1">
      <c r="A122" s="222"/>
      <c r="B122" s="227" t="s">
        <v>39</v>
      </c>
      <c r="C122" s="227"/>
      <c r="D122" s="235"/>
      <c r="E122" s="227"/>
      <c r="F122" s="227"/>
      <c r="G122" s="227"/>
      <c r="H122" s="227"/>
      <c r="I122" s="227"/>
      <c r="J122" s="227"/>
      <c r="K122" s="227"/>
      <c r="L122" s="227"/>
      <c r="M122" s="227"/>
      <c r="N122" s="227"/>
      <c r="O122" s="227"/>
      <c r="P122" s="227"/>
      <c r="Q122" s="227"/>
      <c r="R122" s="227"/>
      <c r="S122" s="227"/>
      <c r="T122" s="227"/>
      <c r="U122" s="227"/>
      <c r="V122" s="227"/>
      <c r="W122" s="227"/>
      <c r="X122" s="227"/>
      <c r="Y122" s="227"/>
      <c r="Z122" s="227"/>
      <c r="AA122" s="227"/>
      <c r="AB122" s="227"/>
      <c r="AC122" s="227"/>
      <c r="AD122" s="227"/>
      <c r="AE122" s="227"/>
      <c r="AF122" s="227"/>
      <c r="AG122" s="223"/>
    </row>
    <row r="123" spans="1:33" s="228" customFormat="1" ht="15" hidden="1">
      <c r="A123" s="222"/>
      <c r="B123" s="227" t="s">
        <v>40</v>
      </c>
      <c r="C123" s="227"/>
      <c r="D123" s="235"/>
      <c r="E123" s="227"/>
      <c r="F123" s="227"/>
      <c r="G123" s="227"/>
      <c r="H123" s="227"/>
      <c r="I123" s="227"/>
      <c r="J123" s="227"/>
      <c r="K123" s="227"/>
      <c r="L123" s="227"/>
      <c r="M123" s="227"/>
      <c r="N123" s="227"/>
      <c r="O123" s="227"/>
      <c r="P123" s="227"/>
      <c r="Q123" s="227"/>
      <c r="R123" s="227"/>
      <c r="S123" s="227"/>
      <c r="T123" s="227"/>
      <c r="U123" s="227"/>
      <c r="V123" s="227"/>
      <c r="W123" s="227"/>
      <c r="X123" s="227"/>
      <c r="Y123" s="227"/>
      <c r="Z123" s="227"/>
      <c r="AA123" s="227"/>
      <c r="AB123" s="227"/>
      <c r="AC123" s="227"/>
      <c r="AD123" s="227"/>
      <c r="AE123" s="227"/>
      <c r="AF123" s="227"/>
      <c r="AG123" s="223"/>
    </row>
    <row r="124" spans="1:33" s="228" customFormat="1" ht="15" hidden="1">
      <c r="A124" s="222"/>
      <c r="B124" s="227" t="s">
        <v>41</v>
      </c>
      <c r="C124" s="227"/>
      <c r="D124" s="235"/>
      <c r="E124" s="227"/>
      <c r="F124" s="227"/>
      <c r="G124" s="227"/>
      <c r="H124" s="227"/>
      <c r="I124" s="227"/>
      <c r="J124" s="227"/>
      <c r="K124" s="227"/>
      <c r="L124" s="227"/>
      <c r="M124" s="227"/>
      <c r="N124" s="227"/>
      <c r="O124" s="227"/>
      <c r="P124" s="227"/>
      <c r="Q124" s="227"/>
      <c r="R124" s="227"/>
      <c r="S124" s="227"/>
      <c r="T124" s="227"/>
      <c r="U124" s="227"/>
      <c r="V124" s="227"/>
      <c r="W124" s="227"/>
      <c r="X124" s="227"/>
      <c r="Y124" s="227"/>
      <c r="Z124" s="227"/>
      <c r="AA124" s="227"/>
      <c r="AB124" s="227"/>
      <c r="AC124" s="227"/>
      <c r="AD124" s="227"/>
      <c r="AE124" s="227"/>
      <c r="AF124" s="227"/>
      <c r="AG124" s="223"/>
    </row>
    <row r="125" spans="1:33" s="228" customFormat="1" ht="15" hidden="1">
      <c r="A125" s="222"/>
      <c r="B125" s="234"/>
      <c r="C125" s="227"/>
      <c r="D125" s="235"/>
      <c r="E125" s="227"/>
      <c r="F125" s="227"/>
      <c r="G125" s="227"/>
      <c r="H125" s="227"/>
      <c r="I125" s="227"/>
      <c r="J125" s="227"/>
      <c r="K125" s="227"/>
      <c r="L125" s="227"/>
      <c r="M125" s="227"/>
      <c r="N125" s="227"/>
      <c r="O125" s="227"/>
      <c r="P125" s="227"/>
      <c r="Q125" s="227"/>
      <c r="R125" s="227"/>
      <c r="S125" s="227"/>
      <c r="T125" s="227"/>
      <c r="U125" s="227"/>
      <c r="V125" s="227"/>
      <c r="W125" s="227"/>
      <c r="X125" s="227"/>
      <c r="Y125" s="227"/>
      <c r="Z125" s="227"/>
      <c r="AA125" s="227"/>
      <c r="AB125" s="227"/>
      <c r="AC125" s="227"/>
      <c r="AD125" s="227"/>
      <c r="AE125" s="227"/>
      <c r="AF125" s="227"/>
      <c r="AG125" s="223"/>
    </row>
    <row r="126" spans="1:33" s="228" customFormat="1" ht="15" hidden="1">
      <c r="A126" s="222"/>
      <c r="B126" s="234"/>
      <c r="C126" s="227"/>
      <c r="D126" s="235"/>
      <c r="E126" s="227"/>
      <c r="F126" s="227"/>
      <c r="G126" s="227"/>
      <c r="H126" s="227"/>
      <c r="I126" s="227"/>
      <c r="J126" s="227"/>
      <c r="K126" s="227"/>
      <c r="L126" s="227"/>
      <c r="M126" s="227"/>
      <c r="N126" s="227"/>
      <c r="O126" s="227"/>
      <c r="P126" s="227"/>
      <c r="Q126" s="227"/>
      <c r="R126" s="227"/>
      <c r="S126" s="227"/>
      <c r="T126" s="227"/>
      <c r="U126" s="227"/>
      <c r="V126" s="227"/>
      <c r="W126" s="227"/>
      <c r="X126" s="227"/>
      <c r="Y126" s="227"/>
      <c r="Z126" s="227"/>
      <c r="AA126" s="227"/>
      <c r="AB126" s="227"/>
      <c r="AC126" s="227"/>
      <c r="AD126" s="227"/>
      <c r="AE126" s="227"/>
      <c r="AF126" s="227"/>
      <c r="AG126" s="223"/>
    </row>
    <row r="127" spans="1:33" s="228" customFormat="1" ht="15" hidden="1">
      <c r="A127" s="222"/>
      <c r="B127" s="227" t="s">
        <v>43</v>
      </c>
      <c r="C127" s="227"/>
      <c r="D127" s="235"/>
      <c r="E127" s="227"/>
      <c r="F127" s="227"/>
      <c r="G127" s="227"/>
      <c r="H127" s="227"/>
      <c r="I127" s="227"/>
      <c r="J127" s="227"/>
      <c r="K127" s="227"/>
      <c r="L127" s="227"/>
      <c r="M127" s="227"/>
      <c r="N127" s="227"/>
      <c r="O127" s="227"/>
      <c r="P127" s="227"/>
      <c r="Q127" s="227"/>
      <c r="R127" s="227"/>
      <c r="S127" s="227"/>
      <c r="T127" s="227"/>
      <c r="U127" s="227"/>
      <c r="V127" s="227"/>
      <c r="W127" s="227"/>
      <c r="X127" s="227"/>
      <c r="Y127" s="227"/>
      <c r="Z127" s="227"/>
      <c r="AA127" s="227"/>
      <c r="AB127" s="227"/>
      <c r="AC127" s="227"/>
      <c r="AD127" s="227"/>
      <c r="AE127" s="227"/>
      <c r="AF127" s="227"/>
      <c r="AG127" s="223"/>
    </row>
    <row r="128" spans="1:33" s="228" customFormat="1" ht="15" hidden="1">
      <c r="A128" s="222"/>
      <c r="B128" s="227" t="s">
        <v>44</v>
      </c>
      <c r="C128" s="227"/>
      <c r="D128" s="235"/>
      <c r="E128" s="227"/>
      <c r="F128" s="227"/>
      <c r="G128" s="227"/>
      <c r="H128" s="227"/>
      <c r="I128" s="227"/>
      <c r="J128" s="227"/>
      <c r="K128" s="227"/>
      <c r="L128" s="227"/>
      <c r="M128" s="227"/>
      <c r="N128" s="227"/>
      <c r="O128" s="227"/>
      <c r="P128" s="227"/>
      <c r="Q128" s="227"/>
      <c r="R128" s="227"/>
      <c r="S128" s="227"/>
      <c r="T128" s="227"/>
      <c r="U128" s="227"/>
      <c r="V128" s="227"/>
      <c r="W128" s="227"/>
      <c r="X128" s="227"/>
      <c r="Y128" s="227"/>
      <c r="Z128" s="227"/>
      <c r="AA128" s="227"/>
      <c r="AB128" s="227"/>
      <c r="AC128" s="227"/>
      <c r="AD128" s="227"/>
      <c r="AE128" s="227"/>
      <c r="AF128" s="227"/>
      <c r="AG128" s="223"/>
    </row>
    <row r="129" spans="1:33" s="228" customFormat="1" ht="15" hidden="1">
      <c r="A129" s="222"/>
      <c r="B129" s="234"/>
      <c r="C129" s="227"/>
      <c r="D129" s="235"/>
      <c r="E129" s="227"/>
      <c r="F129" s="227"/>
      <c r="G129" s="227"/>
      <c r="H129" s="227"/>
      <c r="I129" s="227"/>
      <c r="J129" s="227"/>
      <c r="K129" s="227"/>
      <c r="L129" s="227"/>
      <c r="M129" s="227"/>
      <c r="N129" s="227"/>
      <c r="O129" s="227"/>
      <c r="P129" s="227"/>
      <c r="Q129" s="227"/>
      <c r="R129" s="227"/>
      <c r="S129" s="227"/>
      <c r="T129" s="227"/>
      <c r="U129" s="227"/>
      <c r="V129" s="227"/>
      <c r="W129" s="227"/>
      <c r="X129" s="227"/>
      <c r="Y129" s="227"/>
      <c r="Z129" s="227"/>
      <c r="AA129" s="227"/>
      <c r="AB129" s="227"/>
      <c r="AC129" s="227"/>
      <c r="AD129" s="227"/>
      <c r="AE129" s="227"/>
      <c r="AF129" s="227"/>
      <c r="AG129" s="223"/>
    </row>
    <row r="130" spans="1:33" s="228" customFormat="1" ht="15" hidden="1">
      <c r="A130" s="222"/>
      <c r="B130" s="227" t="s">
        <v>527</v>
      </c>
      <c r="C130" s="227"/>
      <c r="D130" s="235"/>
      <c r="E130" s="227"/>
      <c r="F130" s="227"/>
      <c r="G130" s="227"/>
      <c r="H130" s="227"/>
      <c r="I130" s="227"/>
      <c r="J130" s="227"/>
      <c r="K130" s="227"/>
      <c r="L130" s="227"/>
      <c r="M130" s="227"/>
      <c r="N130" s="227"/>
      <c r="O130" s="227"/>
      <c r="P130" s="227"/>
      <c r="Q130" s="227"/>
      <c r="R130" s="227"/>
      <c r="S130" s="227"/>
      <c r="T130" s="227"/>
      <c r="U130" s="227"/>
      <c r="V130" s="227"/>
      <c r="W130" s="227"/>
      <c r="X130" s="227"/>
      <c r="Y130" s="227"/>
      <c r="Z130" s="227"/>
      <c r="AA130" s="227"/>
      <c r="AB130" s="227"/>
      <c r="AC130" s="227"/>
      <c r="AD130" s="227"/>
      <c r="AE130" s="227"/>
      <c r="AF130" s="227"/>
      <c r="AG130" s="223"/>
    </row>
    <row r="131" spans="1:33" s="228" customFormat="1" ht="15" hidden="1">
      <c r="A131" s="222"/>
      <c r="B131" s="227" t="s">
        <v>528</v>
      </c>
      <c r="C131" s="227"/>
      <c r="D131" s="235"/>
      <c r="E131" s="227"/>
      <c r="F131" s="227"/>
      <c r="G131" s="227"/>
      <c r="H131" s="227"/>
      <c r="I131" s="227"/>
      <c r="J131" s="227"/>
      <c r="K131" s="227"/>
      <c r="L131" s="227"/>
      <c r="M131" s="227"/>
      <c r="N131" s="227"/>
      <c r="O131" s="227"/>
      <c r="P131" s="227"/>
      <c r="Q131" s="227"/>
      <c r="R131" s="227"/>
      <c r="S131" s="227"/>
      <c r="T131" s="227"/>
      <c r="U131" s="227"/>
      <c r="V131" s="227"/>
      <c r="W131" s="227"/>
      <c r="X131" s="227"/>
      <c r="Y131" s="227"/>
      <c r="Z131" s="227"/>
      <c r="AA131" s="227"/>
      <c r="AB131" s="227"/>
      <c r="AC131" s="227"/>
      <c r="AD131" s="227"/>
      <c r="AE131" s="227"/>
      <c r="AF131" s="227"/>
      <c r="AG131" s="223"/>
    </row>
    <row r="132" spans="1:33" s="228" customFormat="1" ht="14.85" hidden="1" customHeight="1">
      <c r="A132" s="222"/>
      <c r="B132" s="227"/>
      <c r="C132" s="227"/>
      <c r="D132" s="235"/>
      <c r="E132" s="227"/>
      <c r="F132" s="227"/>
      <c r="G132" s="227"/>
      <c r="H132" s="227"/>
      <c r="I132" s="227"/>
      <c r="J132" s="227"/>
      <c r="K132" s="227"/>
      <c r="L132" s="227"/>
      <c r="M132" s="227"/>
      <c r="N132" s="227"/>
      <c r="O132" s="227"/>
      <c r="P132" s="227"/>
      <c r="Q132" s="227"/>
      <c r="R132" s="227"/>
      <c r="S132" s="227"/>
      <c r="T132" s="227"/>
      <c r="U132" s="227"/>
      <c r="V132" s="227"/>
      <c r="W132" s="227"/>
      <c r="X132" s="227"/>
      <c r="Y132" s="227"/>
      <c r="Z132" s="227"/>
      <c r="AA132" s="227"/>
      <c r="AB132" s="227"/>
      <c r="AC132" s="227"/>
      <c r="AD132" s="227"/>
      <c r="AE132" s="227"/>
      <c r="AF132" s="227"/>
      <c r="AG132" s="223"/>
    </row>
    <row r="133" spans="1:33" s="228" customFormat="1" ht="15" hidden="1">
      <c r="A133" s="222"/>
      <c r="B133" s="234" t="s">
        <v>45</v>
      </c>
      <c r="C133" s="227"/>
      <c r="D133" s="235"/>
      <c r="E133" s="227"/>
      <c r="F133" s="227"/>
      <c r="G133" s="227"/>
      <c r="H133" s="227"/>
      <c r="I133" s="227"/>
      <c r="J133" s="227"/>
      <c r="K133" s="227"/>
      <c r="L133" s="227"/>
      <c r="M133" s="227"/>
      <c r="N133" s="227"/>
      <c r="O133" s="227"/>
      <c r="P133" s="227"/>
      <c r="Q133" s="227"/>
      <c r="R133" s="227"/>
      <c r="S133" s="227"/>
      <c r="T133" s="227"/>
      <c r="U133" s="227"/>
      <c r="V133" s="227"/>
      <c r="W133" s="227"/>
      <c r="X133" s="227"/>
      <c r="Y133" s="227"/>
      <c r="Z133" s="227"/>
      <c r="AA133" s="227"/>
      <c r="AB133" s="227"/>
      <c r="AC133" s="227"/>
      <c r="AD133" s="227"/>
      <c r="AE133" s="227"/>
      <c r="AF133" s="227"/>
      <c r="AG133" s="223"/>
    </row>
    <row r="134" spans="1:33" s="228" customFormat="1" ht="15" hidden="1">
      <c r="A134" s="222"/>
      <c r="B134" s="227" t="s">
        <v>46</v>
      </c>
      <c r="C134" s="227"/>
      <c r="D134" s="235"/>
      <c r="E134" s="227"/>
      <c r="F134" s="227"/>
      <c r="G134" s="227"/>
      <c r="H134" s="227"/>
      <c r="I134" s="227"/>
      <c r="J134" s="227"/>
      <c r="K134" s="227"/>
      <c r="L134" s="227"/>
      <c r="M134" s="227"/>
      <c r="N134" s="227"/>
      <c r="O134" s="227"/>
      <c r="P134" s="227"/>
      <c r="Q134" s="227"/>
      <c r="R134" s="227"/>
      <c r="S134" s="227"/>
      <c r="T134" s="227"/>
      <c r="U134" s="227"/>
      <c r="V134" s="227"/>
      <c r="W134" s="227"/>
      <c r="X134" s="227"/>
      <c r="Y134" s="227"/>
      <c r="Z134" s="227"/>
      <c r="AA134" s="227"/>
      <c r="AB134" s="227"/>
      <c r="AC134" s="227"/>
      <c r="AD134" s="227"/>
      <c r="AE134" s="227"/>
      <c r="AF134" s="227"/>
      <c r="AG134" s="223"/>
    </row>
    <row r="135" spans="1:33" s="228" customFormat="1" ht="15" hidden="1">
      <c r="A135" s="222"/>
      <c r="B135" s="234"/>
      <c r="C135" s="227"/>
      <c r="D135" s="235"/>
      <c r="E135" s="227"/>
      <c r="F135" s="227"/>
      <c r="G135" s="227"/>
      <c r="H135" s="227"/>
      <c r="I135" s="227"/>
      <c r="J135" s="227"/>
      <c r="K135" s="227"/>
      <c r="L135" s="227"/>
      <c r="M135" s="227"/>
      <c r="N135" s="227"/>
      <c r="O135" s="227"/>
      <c r="P135" s="227"/>
      <c r="Q135" s="227"/>
      <c r="R135" s="227"/>
      <c r="S135" s="227"/>
      <c r="T135" s="227"/>
      <c r="U135" s="227"/>
      <c r="V135" s="227"/>
      <c r="W135" s="227"/>
      <c r="X135" s="227"/>
      <c r="Y135" s="227"/>
      <c r="Z135" s="227"/>
      <c r="AA135" s="227"/>
      <c r="AB135" s="227"/>
      <c r="AC135" s="227"/>
      <c r="AD135" s="227"/>
      <c r="AE135" s="227"/>
      <c r="AF135" s="227"/>
      <c r="AG135" s="223"/>
    </row>
    <row r="136" spans="1:33" s="228" customFormat="1" ht="15" hidden="1">
      <c r="A136" s="222"/>
      <c r="B136" s="227" t="s">
        <v>491</v>
      </c>
      <c r="C136" s="227"/>
      <c r="D136" s="235"/>
      <c r="E136" s="227"/>
      <c r="F136" s="227"/>
      <c r="G136" s="227"/>
      <c r="H136" s="227"/>
      <c r="I136" s="227"/>
      <c r="J136" s="227"/>
      <c r="K136" s="227"/>
      <c r="L136" s="227"/>
      <c r="M136" s="227"/>
      <c r="N136" s="227"/>
      <c r="O136" s="227"/>
      <c r="P136" s="227"/>
      <c r="Q136" s="227"/>
      <c r="R136" s="227"/>
      <c r="S136" s="227"/>
      <c r="T136" s="227"/>
      <c r="U136" s="227"/>
      <c r="V136" s="227"/>
      <c r="W136" s="227"/>
      <c r="X136" s="227"/>
      <c r="Y136" s="227"/>
      <c r="Z136" s="227"/>
      <c r="AA136" s="227"/>
      <c r="AB136" s="227"/>
      <c r="AC136" s="227"/>
      <c r="AD136" s="227"/>
      <c r="AE136" s="227"/>
      <c r="AF136" s="227"/>
      <c r="AG136" s="223"/>
    </row>
    <row r="137" spans="1:33" s="228" customFormat="1" ht="15" hidden="1">
      <c r="A137" s="222"/>
      <c r="B137" s="227" t="s">
        <v>492</v>
      </c>
      <c r="C137" s="227"/>
      <c r="D137" s="235"/>
      <c r="E137" s="227"/>
      <c r="F137" s="227"/>
      <c r="G137" s="227"/>
      <c r="H137" s="227"/>
      <c r="I137" s="227"/>
      <c r="J137" s="227"/>
      <c r="K137" s="227"/>
      <c r="L137" s="227"/>
      <c r="M137" s="227"/>
      <c r="N137" s="227"/>
      <c r="O137" s="227"/>
      <c r="P137" s="227"/>
      <c r="Q137" s="227"/>
      <c r="R137" s="227"/>
      <c r="S137" s="227"/>
      <c r="T137" s="227"/>
      <c r="U137" s="227"/>
      <c r="V137" s="227"/>
      <c r="W137" s="227"/>
      <c r="X137" s="227"/>
      <c r="Y137" s="227"/>
      <c r="Z137" s="227"/>
      <c r="AA137" s="227"/>
      <c r="AB137" s="227"/>
      <c r="AC137" s="227"/>
      <c r="AD137" s="227"/>
      <c r="AE137" s="227"/>
      <c r="AF137" s="227"/>
      <c r="AG137" s="223"/>
    </row>
    <row r="138" spans="1:33" s="228" customFormat="1" ht="15" hidden="1">
      <c r="A138" s="222"/>
      <c r="B138" s="234"/>
      <c r="C138" s="227"/>
      <c r="D138" s="235"/>
      <c r="E138" s="227"/>
      <c r="F138" s="227"/>
      <c r="G138" s="227"/>
      <c r="H138" s="227"/>
      <c r="I138" s="227"/>
      <c r="J138" s="227"/>
      <c r="K138" s="227"/>
      <c r="L138" s="227"/>
      <c r="M138" s="227"/>
      <c r="N138" s="227"/>
      <c r="O138" s="227"/>
      <c r="P138" s="227"/>
      <c r="Q138" s="227"/>
      <c r="R138" s="227"/>
      <c r="S138" s="227"/>
      <c r="T138" s="227"/>
      <c r="U138" s="227"/>
      <c r="V138" s="227"/>
      <c r="W138" s="227"/>
      <c r="X138" s="227"/>
      <c r="Y138" s="227"/>
      <c r="Z138" s="227"/>
      <c r="AA138" s="227"/>
      <c r="AB138" s="227"/>
      <c r="AC138" s="227"/>
      <c r="AD138" s="227"/>
      <c r="AE138" s="227"/>
      <c r="AF138" s="227"/>
      <c r="AG138" s="223"/>
    </row>
    <row r="139" spans="1:33" s="228" customFormat="1" ht="15" hidden="1">
      <c r="A139" s="222"/>
      <c r="B139" s="227" t="s">
        <v>493</v>
      </c>
      <c r="C139" s="227"/>
      <c r="D139" s="235"/>
      <c r="E139" s="227"/>
      <c r="F139" s="227"/>
      <c r="G139" s="227"/>
      <c r="H139" s="227"/>
      <c r="I139" s="227"/>
      <c r="J139" s="227"/>
      <c r="K139" s="227"/>
      <c r="L139" s="227"/>
      <c r="M139" s="227"/>
      <c r="N139" s="227"/>
      <c r="O139" s="227"/>
      <c r="P139" s="227"/>
      <c r="Q139" s="227"/>
      <c r="R139" s="227"/>
      <c r="S139" s="227"/>
      <c r="T139" s="227"/>
      <c r="U139" s="227"/>
      <c r="V139" s="227"/>
      <c r="W139" s="227"/>
      <c r="X139" s="227"/>
      <c r="Y139" s="227"/>
      <c r="Z139" s="227"/>
      <c r="AA139" s="227"/>
      <c r="AB139" s="227"/>
      <c r="AC139" s="227"/>
      <c r="AD139" s="227"/>
      <c r="AE139" s="227"/>
      <c r="AF139" s="227"/>
      <c r="AG139" s="223"/>
    </row>
    <row r="140" spans="1:33" s="228" customFormat="1" ht="15" hidden="1">
      <c r="A140" s="222"/>
      <c r="B140" s="227" t="s">
        <v>494</v>
      </c>
      <c r="C140" s="227"/>
      <c r="D140" s="235"/>
      <c r="E140" s="227"/>
      <c r="F140" s="227"/>
      <c r="G140" s="227"/>
      <c r="H140" s="227"/>
      <c r="I140" s="227"/>
      <c r="J140" s="227"/>
      <c r="K140" s="227"/>
      <c r="L140" s="227"/>
      <c r="M140" s="227"/>
      <c r="N140" s="227"/>
      <c r="O140" s="227"/>
      <c r="P140" s="227"/>
      <c r="Q140" s="227"/>
      <c r="R140" s="227"/>
      <c r="S140" s="227"/>
      <c r="T140" s="227"/>
      <c r="U140" s="227"/>
      <c r="V140" s="227"/>
      <c r="W140" s="227"/>
      <c r="X140" s="227"/>
      <c r="Y140" s="227"/>
      <c r="Z140" s="227"/>
      <c r="AA140" s="227"/>
      <c r="AB140" s="227"/>
      <c r="AC140" s="227"/>
      <c r="AD140" s="227"/>
      <c r="AE140" s="227"/>
      <c r="AF140" s="227"/>
      <c r="AG140" s="223"/>
    </row>
    <row r="141" spans="1:33" s="228" customFormat="1" ht="15" hidden="1">
      <c r="A141" s="222"/>
      <c r="B141" s="234"/>
      <c r="C141" s="227"/>
      <c r="D141" s="235"/>
      <c r="E141" s="227"/>
      <c r="F141" s="227"/>
      <c r="G141" s="227"/>
      <c r="H141" s="227"/>
      <c r="I141" s="227"/>
      <c r="J141" s="227"/>
      <c r="K141" s="227"/>
      <c r="L141" s="227"/>
      <c r="M141" s="227"/>
      <c r="N141" s="227"/>
      <c r="O141" s="227"/>
      <c r="P141" s="227"/>
      <c r="Q141" s="227"/>
      <c r="R141" s="227"/>
      <c r="S141" s="227"/>
      <c r="T141" s="227"/>
      <c r="U141" s="227"/>
      <c r="V141" s="227"/>
      <c r="W141" s="227"/>
      <c r="X141" s="227"/>
      <c r="Y141" s="227"/>
      <c r="Z141" s="227"/>
      <c r="AA141" s="227"/>
      <c r="AB141" s="227"/>
      <c r="AC141" s="227"/>
      <c r="AD141" s="227"/>
      <c r="AE141" s="227"/>
      <c r="AF141" s="227"/>
      <c r="AG141" s="223"/>
    </row>
    <row r="142" spans="1:33" s="228" customFormat="1" ht="15" hidden="1">
      <c r="A142" s="222"/>
      <c r="B142" s="234"/>
      <c r="C142" s="227"/>
      <c r="D142" s="235"/>
      <c r="E142" s="227"/>
      <c r="F142" s="227"/>
      <c r="G142" s="227"/>
      <c r="H142" s="227"/>
      <c r="I142" s="227"/>
      <c r="J142" s="227"/>
      <c r="K142" s="227"/>
      <c r="L142" s="227"/>
      <c r="M142" s="227"/>
      <c r="N142" s="227"/>
      <c r="O142" s="227"/>
      <c r="P142" s="227"/>
      <c r="Q142" s="227"/>
      <c r="R142" s="227"/>
      <c r="S142" s="227"/>
      <c r="T142" s="227"/>
      <c r="U142" s="227"/>
      <c r="V142" s="227"/>
      <c r="W142" s="227"/>
      <c r="X142" s="227"/>
      <c r="Y142" s="227"/>
      <c r="Z142" s="227"/>
      <c r="AA142" s="227"/>
      <c r="AB142" s="227"/>
      <c r="AC142" s="227"/>
      <c r="AD142" s="227"/>
      <c r="AE142" s="227"/>
      <c r="AF142" s="227"/>
      <c r="AG142" s="223"/>
    </row>
    <row r="143" spans="1:33" s="228" customFormat="1" ht="15" hidden="1">
      <c r="A143" s="222"/>
      <c r="B143" s="227" t="s">
        <v>495</v>
      </c>
      <c r="C143" s="227"/>
      <c r="D143" s="235"/>
      <c r="E143" s="227"/>
      <c r="F143" s="227"/>
      <c r="G143" s="227"/>
      <c r="H143" s="227"/>
      <c r="I143" s="227"/>
      <c r="J143" s="227"/>
      <c r="K143" s="227"/>
      <c r="L143" s="227"/>
      <c r="M143" s="227"/>
      <c r="N143" s="227"/>
      <c r="O143" s="227"/>
      <c r="P143" s="227"/>
      <c r="Q143" s="227"/>
      <c r="R143" s="227"/>
      <c r="S143" s="227"/>
      <c r="T143" s="227"/>
      <c r="U143" s="227"/>
      <c r="V143" s="227"/>
      <c r="W143" s="227"/>
      <c r="X143" s="227"/>
      <c r="Y143" s="227"/>
      <c r="Z143" s="227"/>
      <c r="AA143" s="227"/>
      <c r="AB143" s="227"/>
      <c r="AC143" s="227"/>
      <c r="AD143" s="227"/>
      <c r="AE143" s="227"/>
      <c r="AF143" s="227"/>
      <c r="AG143" s="223"/>
    </row>
    <row r="144" spans="1:33" s="228" customFormat="1" ht="15" hidden="1">
      <c r="A144" s="222"/>
      <c r="B144" s="227" t="s">
        <v>496</v>
      </c>
      <c r="C144" s="227"/>
      <c r="D144" s="235"/>
      <c r="E144" s="227"/>
      <c r="F144" s="227"/>
      <c r="G144" s="227"/>
      <c r="H144" s="227"/>
      <c r="I144" s="227"/>
      <c r="J144" s="227"/>
      <c r="K144" s="227"/>
      <c r="L144" s="227"/>
      <c r="M144" s="227"/>
      <c r="N144" s="227"/>
      <c r="O144" s="227"/>
      <c r="P144" s="227"/>
      <c r="Q144" s="227"/>
      <c r="R144" s="227"/>
      <c r="S144" s="227"/>
      <c r="T144" s="227"/>
      <c r="U144" s="227"/>
      <c r="V144" s="227"/>
      <c r="W144" s="227"/>
      <c r="X144" s="227"/>
      <c r="Y144" s="227"/>
      <c r="Z144" s="227"/>
      <c r="AA144" s="227"/>
      <c r="AB144" s="227"/>
      <c r="AC144" s="227"/>
      <c r="AD144" s="227"/>
      <c r="AE144" s="227"/>
      <c r="AF144" s="227"/>
      <c r="AG144" s="223"/>
    </row>
    <row r="145" spans="1:33" s="228" customFormat="1" ht="15" hidden="1">
      <c r="A145" s="222"/>
      <c r="B145" s="234"/>
      <c r="C145" s="227"/>
      <c r="D145" s="235"/>
      <c r="E145" s="227"/>
      <c r="F145" s="227"/>
      <c r="G145" s="227"/>
      <c r="H145" s="227"/>
      <c r="I145" s="227"/>
      <c r="J145" s="227"/>
      <c r="K145" s="227"/>
      <c r="L145" s="227"/>
      <c r="M145" s="227"/>
      <c r="N145" s="227"/>
      <c r="O145" s="227"/>
      <c r="P145" s="227"/>
      <c r="Q145" s="227"/>
      <c r="R145" s="227"/>
      <c r="S145" s="227"/>
      <c r="T145" s="227"/>
      <c r="U145" s="227"/>
      <c r="V145" s="227"/>
      <c r="W145" s="227"/>
      <c r="X145" s="227"/>
      <c r="Y145" s="227"/>
      <c r="Z145" s="227"/>
      <c r="AA145" s="227"/>
      <c r="AB145" s="227"/>
      <c r="AC145" s="227"/>
      <c r="AD145" s="227"/>
      <c r="AE145" s="227"/>
      <c r="AF145" s="227"/>
      <c r="AG145" s="223"/>
    </row>
    <row r="146" spans="1:33" s="228" customFormat="1" ht="15" hidden="1">
      <c r="A146" s="222"/>
      <c r="B146" s="234" t="s">
        <v>499</v>
      </c>
      <c r="C146" s="227"/>
      <c r="D146" s="235"/>
      <c r="E146" s="227"/>
      <c r="F146" s="227"/>
      <c r="G146" s="227"/>
      <c r="H146" s="227"/>
      <c r="I146" s="227"/>
      <c r="J146" s="227"/>
      <c r="K146" s="227"/>
      <c r="L146" s="227"/>
      <c r="M146" s="227"/>
      <c r="N146" s="227"/>
      <c r="O146" s="227"/>
      <c r="P146" s="227"/>
      <c r="Q146" s="227"/>
      <c r="R146" s="227"/>
      <c r="S146" s="227"/>
      <c r="T146" s="227"/>
      <c r="U146" s="227"/>
      <c r="V146" s="227"/>
      <c r="W146" s="227"/>
      <c r="X146" s="227"/>
      <c r="Y146" s="227"/>
      <c r="Z146" s="227"/>
      <c r="AA146" s="227"/>
      <c r="AB146" s="227"/>
      <c r="AC146" s="227"/>
      <c r="AD146" s="227"/>
      <c r="AE146" s="227"/>
      <c r="AF146" s="227"/>
      <c r="AG146" s="223"/>
    </row>
    <row r="147" spans="1:33" s="228" customFormat="1" ht="15" hidden="1">
      <c r="A147" s="222"/>
      <c r="B147" s="227" t="s">
        <v>500</v>
      </c>
      <c r="C147" s="227"/>
      <c r="D147" s="235"/>
      <c r="E147" s="227"/>
      <c r="F147" s="227"/>
      <c r="G147" s="227"/>
      <c r="H147" s="227"/>
      <c r="I147" s="227"/>
      <c r="J147" s="227"/>
      <c r="K147" s="227"/>
      <c r="L147" s="227"/>
      <c r="M147" s="227"/>
      <c r="N147" s="227"/>
      <c r="O147" s="227"/>
      <c r="P147" s="227"/>
      <c r="Q147" s="227"/>
      <c r="R147" s="227"/>
      <c r="S147" s="227"/>
      <c r="T147" s="227"/>
      <c r="U147" s="227"/>
      <c r="V147" s="227"/>
      <c r="W147" s="227"/>
      <c r="X147" s="227"/>
      <c r="Y147" s="227"/>
      <c r="Z147" s="227"/>
      <c r="AA147" s="227"/>
      <c r="AB147" s="227"/>
      <c r="AC147" s="227"/>
      <c r="AD147" s="227"/>
      <c r="AE147" s="227"/>
      <c r="AF147" s="227"/>
      <c r="AG147" s="223"/>
    </row>
    <row r="148" spans="1:33" s="228" customFormat="1" ht="14.85" hidden="1" customHeight="1">
      <c r="A148" s="222"/>
      <c r="B148" s="227"/>
      <c r="C148" s="227"/>
      <c r="D148" s="235"/>
      <c r="E148" s="227"/>
      <c r="F148" s="227"/>
      <c r="G148" s="227"/>
      <c r="H148" s="227"/>
      <c r="I148" s="227"/>
      <c r="J148" s="227"/>
      <c r="K148" s="227"/>
      <c r="L148" s="227"/>
      <c r="M148" s="227"/>
      <c r="N148" s="227"/>
      <c r="O148" s="227"/>
      <c r="P148" s="227"/>
      <c r="Q148" s="227"/>
      <c r="R148" s="227"/>
      <c r="S148" s="227"/>
      <c r="T148" s="227"/>
      <c r="U148" s="227"/>
      <c r="V148" s="227"/>
      <c r="W148" s="227"/>
      <c r="X148" s="227"/>
      <c r="Y148" s="227"/>
      <c r="Z148" s="227"/>
      <c r="AA148" s="227"/>
      <c r="AB148" s="227"/>
      <c r="AC148" s="227"/>
      <c r="AD148" s="227"/>
      <c r="AE148" s="227"/>
      <c r="AF148" s="227"/>
      <c r="AG148" s="223"/>
    </row>
    <row r="149" spans="1:33" s="228" customFormat="1" ht="15" hidden="1">
      <c r="A149" s="222"/>
      <c r="B149" s="234" t="s">
        <v>497</v>
      </c>
      <c r="C149" s="227"/>
      <c r="D149" s="235"/>
      <c r="E149" s="227"/>
      <c r="F149" s="227"/>
      <c r="G149" s="227"/>
      <c r="H149" s="227"/>
      <c r="I149" s="227"/>
      <c r="J149" s="227"/>
      <c r="K149" s="227"/>
      <c r="L149" s="227"/>
      <c r="M149" s="227"/>
      <c r="N149" s="227"/>
      <c r="O149" s="227"/>
      <c r="P149" s="227"/>
      <c r="Q149" s="227"/>
      <c r="R149" s="227"/>
      <c r="S149" s="227"/>
      <c r="T149" s="227"/>
      <c r="U149" s="227"/>
      <c r="V149" s="227"/>
      <c r="W149" s="227"/>
      <c r="X149" s="227"/>
      <c r="Y149" s="227"/>
      <c r="Z149" s="227"/>
      <c r="AA149" s="227"/>
      <c r="AB149" s="227"/>
      <c r="AC149" s="227"/>
      <c r="AD149" s="227"/>
      <c r="AE149" s="227"/>
      <c r="AF149" s="227"/>
      <c r="AG149" s="223"/>
    </row>
    <row r="150" spans="1:33" s="228" customFormat="1" ht="15" hidden="1">
      <c r="A150" s="222"/>
      <c r="B150" s="227" t="s">
        <v>498</v>
      </c>
      <c r="C150" s="227"/>
      <c r="D150" s="235"/>
      <c r="E150" s="227"/>
      <c r="F150" s="227"/>
      <c r="G150" s="227"/>
      <c r="H150" s="227"/>
      <c r="I150" s="227"/>
      <c r="J150" s="227"/>
      <c r="K150" s="227"/>
      <c r="L150" s="227"/>
      <c r="M150" s="227"/>
      <c r="N150" s="227"/>
      <c r="O150" s="227"/>
      <c r="P150" s="227"/>
      <c r="Q150" s="227"/>
      <c r="R150" s="227"/>
      <c r="S150" s="227"/>
      <c r="T150" s="227"/>
      <c r="U150" s="227"/>
      <c r="V150" s="227"/>
      <c r="W150" s="227"/>
      <c r="X150" s="227"/>
      <c r="Y150" s="227"/>
      <c r="Z150" s="227"/>
      <c r="AA150" s="227"/>
      <c r="AB150" s="227"/>
      <c r="AC150" s="227"/>
      <c r="AD150" s="227"/>
      <c r="AE150" s="227"/>
      <c r="AF150" s="227"/>
      <c r="AG150" s="223"/>
    </row>
    <row r="151" spans="1:33" s="228" customFormat="1" ht="15" hidden="1">
      <c r="A151" s="222"/>
      <c r="B151" s="234"/>
      <c r="C151" s="227"/>
      <c r="D151" s="235"/>
      <c r="E151" s="227"/>
      <c r="F151" s="227"/>
      <c r="G151" s="227"/>
      <c r="H151" s="227"/>
      <c r="I151" s="227"/>
      <c r="J151" s="227"/>
      <c r="K151" s="227"/>
      <c r="L151" s="227"/>
      <c r="M151" s="227"/>
      <c r="N151" s="227"/>
      <c r="O151" s="227"/>
      <c r="P151" s="227"/>
      <c r="Q151" s="227"/>
      <c r="R151" s="227"/>
      <c r="S151" s="227"/>
      <c r="T151" s="227"/>
      <c r="U151" s="227"/>
      <c r="V151" s="227"/>
      <c r="W151" s="227"/>
      <c r="X151" s="227"/>
      <c r="Y151" s="227"/>
      <c r="Z151" s="227"/>
      <c r="AA151" s="227"/>
      <c r="AB151" s="227"/>
      <c r="AC151" s="227"/>
      <c r="AD151" s="227"/>
      <c r="AE151" s="227"/>
      <c r="AF151" s="227"/>
      <c r="AG151" s="223"/>
    </row>
    <row r="152" spans="1:33" s="228" customFormat="1" ht="15" hidden="1">
      <c r="A152" s="222"/>
      <c r="B152" s="236" t="s">
        <v>47</v>
      </c>
      <c r="C152" s="227"/>
      <c r="D152" s="235"/>
      <c r="E152" s="227"/>
      <c r="F152" s="227"/>
      <c r="G152" s="227"/>
      <c r="H152" s="227"/>
      <c r="I152" s="227"/>
      <c r="J152" s="227"/>
      <c r="K152" s="227"/>
      <c r="L152" s="227"/>
      <c r="M152" s="227"/>
      <c r="N152" s="227"/>
      <c r="O152" s="227"/>
      <c r="P152" s="227"/>
      <c r="Q152" s="227"/>
      <c r="R152" s="227"/>
      <c r="S152" s="227"/>
      <c r="T152" s="227"/>
      <c r="U152" s="227"/>
      <c r="V152" s="227"/>
      <c r="W152" s="227"/>
      <c r="X152" s="227"/>
      <c r="Y152" s="227"/>
      <c r="Z152" s="227"/>
      <c r="AA152" s="227"/>
      <c r="AB152" s="227"/>
      <c r="AC152" s="227"/>
      <c r="AD152" s="227"/>
      <c r="AE152" s="227"/>
      <c r="AF152" s="227"/>
      <c r="AG152" s="223"/>
    </row>
    <row r="153" spans="1:33" s="228" customFormat="1" ht="15" hidden="1">
      <c r="A153" s="222"/>
      <c r="B153" s="236" t="s">
        <v>48</v>
      </c>
      <c r="C153" s="227"/>
      <c r="D153" s="235"/>
      <c r="E153" s="227"/>
      <c r="F153" s="227"/>
      <c r="G153" s="227"/>
      <c r="H153" s="227"/>
      <c r="I153" s="227"/>
      <c r="J153" s="227"/>
      <c r="K153" s="227"/>
      <c r="L153" s="227"/>
      <c r="M153" s="227"/>
      <c r="N153" s="227"/>
      <c r="O153" s="227"/>
      <c r="P153" s="227"/>
      <c r="Q153" s="227"/>
      <c r="R153" s="227"/>
      <c r="S153" s="227"/>
      <c r="T153" s="227"/>
      <c r="U153" s="227"/>
      <c r="V153" s="227"/>
      <c r="W153" s="227"/>
      <c r="X153" s="227"/>
      <c r="Y153" s="227"/>
      <c r="Z153" s="227"/>
      <c r="AA153" s="227"/>
      <c r="AB153" s="227"/>
      <c r="AC153" s="227"/>
      <c r="AD153" s="227"/>
      <c r="AE153" s="227"/>
      <c r="AF153" s="227"/>
      <c r="AG153" s="223"/>
    </row>
    <row r="154" spans="1:33" s="228" customFormat="1" ht="15" hidden="1">
      <c r="A154" s="222"/>
      <c r="B154" s="236"/>
      <c r="C154" s="227"/>
      <c r="D154" s="235"/>
      <c r="E154" s="227"/>
      <c r="F154" s="227"/>
      <c r="G154" s="227"/>
      <c r="H154" s="227"/>
      <c r="I154" s="227"/>
      <c r="J154" s="227"/>
      <c r="K154" s="227"/>
      <c r="L154" s="227"/>
      <c r="M154" s="227"/>
      <c r="N154" s="227"/>
      <c r="O154" s="227"/>
      <c r="P154" s="227"/>
      <c r="Q154" s="227"/>
      <c r="R154" s="227"/>
      <c r="S154" s="227"/>
      <c r="T154" s="227"/>
      <c r="U154" s="227"/>
      <c r="V154" s="227"/>
      <c r="W154" s="227"/>
      <c r="X154" s="227"/>
      <c r="Y154" s="227"/>
      <c r="Z154" s="227"/>
      <c r="AA154" s="227"/>
      <c r="AB154" s="227"/>
      <c r="AC154" s="227"/>
      <c r="AD154" s="227"/>
      <c r="AE154" s="227"/>
      <c r="AF154" s="227"/>
      <c r="AG154" s="223"/>
    </row>
    <row r="155" spans="1:33" ht="15" hidden="1">
      <c r="B155" s="112" t="s">
        <v>49</v>
      </c>
    </row>
    <row r="156" spans="1:33" ht="15" hidden="1">
      <c r="B156" s="112" t="s">
        <v>50</v>
      </c>
    </row>
  </sheetData>
  <mergeCells count="46">
    <mergeCell ref="D10:D11"/>
    <mergeCell ref="E10:R10"/>
    <mergeCell ref="S10:AE10"/>
    <mergeCell ref="B12:C12"/>
    <mergeCell ref="B13:C13"/>
    <mergeCell ref="B10:C11"/>
    <mergeCell ref="B29:C29"/>
    <mergeCell ref="B30:C30"/>
    <mergeCell ref="B19:C19"/>
    <mergeCell ref="B15:C15"/>
    <mergeCell ref="B16:C16"/>
    <mergeCell ref="B17:C17"/>
    <mergeCell ref="B18:C18"/>
    <mergeCell ref="B25:C25"/>
    <mergeCell ref="B26:C26"/>
    <mergeCell ref="B14:C14"/>
    <mergeCell ref="B27:C27"/>
    <mergeCell ref="B28:C28"/>
    <mergeCell ref="B20:C20"/>
    <mergeCell ref="B21:C21"/>
    <mergeCell ref="B22:C22"/>
    <mergeCell ref="B23:C23"/>
    <mergeCell ref="B24:C24"/>
    <mergeCell ref="B43:C43"/>
    <mergeCell ref="B31:C31"/>
    <mergeCell ref="B33:C33"/>
    <mergeCell ref="B34:C34"/>
    <mergeCell ref="B35:C35"/>
    <mergeCell ref="B36:C36"/>
    <mergeCell ref="B37:C37"/>
    <mergeCell ref="B38:C38"/>
    <mergeCell ref="B39:C39"/>
    <mergeCell ref="B40:C40"/>
    <mergeCell ref="B41:C41"/>
    <mergeCell ref="B42:C42"/>
    <mergeCell ref="B53:C53"/>
    <mergeCell ref="B44:C44"/>
    <mergeCell ref="B87:AE87"/>
    <mergeCell ref="B45:C45"/>
    <mergeCell ref="B46:C46"/>
    <mergeCell ref="B47:C47"/>
    <mergeCell ref="B48:C48"/>
    <mergeCell ref="B50:AE50"/>
    <mergeCell ref="B51:C52"/>
    <mergeCell ref="E51:R51"/>
    <mergeCell ref="S51:AE51"/>
  </mergeCells>
  <conditionalFormatting sqref="D20">
    <cfRule type="cellIs" dxfId="14" priority="516" operator="equal">
      <formula>0</formula>
    </cfRule>
  </conditionalFormatting>
  <conditionalFormatting sqref="D27">
    <cfRule type="cellIs" dxfId="13" priority="517" operator="equal">
      <formula>0</formula>
    </cfRule>
  </conditionalFormatting>
  <conditionalFormatting sqref="D36">
    <cfRule type="cellIs" dxfId="12" priority="518" operator="equal">
      <formula>0</formula>
    </cfRule>
  </conditionalFormatting>
  <conditionalFormatting sqref="D46:D47">
    <cfRule type="cellIs" dxfId="11" priority="515" operator="equal">
      <formula>0</formula>
    </cfRule>
  </conditionalFormatting>
  <conditionalFormatting sqref="E12:AE25">
    <cfRule type="cellIs" dxfId="10" priority="13" operator="equal">
      <formula>0</formula>
    </cfRule>
  </conditionalFormatting>
  <conditionalFormatting sqref="E27:AE41">
    <cfRule type="cellIs" dxfId="9" priority="3" operator="equal">
      <formula>0</formula>
    </cfRule>
  </conditionalFormatting>
  <conditionalFormatting sqref="E44:AE48">
    <cfRule type="cellIs" dxfId="8" priority="1" operator="equal">
      <formula>0</formula>
    </cfRule>
  </conditionalFormatting>
  <dataValidations count="1">
    <dataValidation type="list" allowBlank="1" showInputMessage="1" showErrorMessage="1" sqref="B100:B124 D37:D41 D13:D19 D21:D25 D28:D35 D54:D86" xr:uid="{00000000-0002-0000-1700-000000000000}">
      <formula1>$B$100:$B$124</formula1>
    </dataValidation>
  </dataValidations>
  <pageMargins left="0.70866141732283472" right="0.70866141732283472" top="0.74803149606299213" bottom="0.74803149606299213" header="0.31496062992125984" footer="0.31496062992125984"/>
  <pageSetup paperSize="9" scale="56" fitToHeight="2" orientation="portrait" r:id="rId1"/>
  <rowBreaks count="1" manualBreakCount="1">
    <brk id="49" min="1" max="30" man="1"/>
  </rowBreaks>
  <ignoredErrors>
    <ignoredError sqref="E16:AE16 R67 AE67 R74 AE84 AE76:AE77 E22:AE22 E20:AE20 E27:Q27 E31:AE31 E36:AE36 E38:AE38 E42:AE48 E26:O26 Q26:AE26 S27:AE27" formula="1"/>
    <ignoredError sqref="Q56:Q85" formulaRange="1"/>
  </ignoredErrors>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codeName="Folha25">
    <pageSetUpPr fitToPage="1"/>
  </sheetPr>
  <dimension ref="A1:O124"/>
  <sheetViews>
    <sheetView showGridLines="0" zoomScaleNormal="100" workbookViewId="0"/>
  </sheetViews>
  <sheetFormatPr defaultColWidth="0" defaultRowHeight="14.85" customHeight="1" zeroHeight="1"/>
  <cols>
    <col min="1" max="1" width="8.5703125" style="93" customWidth="1"/>
    <col min="2" max="2" width="42.42578125" style="113" customWidth="1"/>
    <col min="3" max="15" width="15.5703125" style="113" customWidth="1"/>
    <col min="16" max="16384" width="9.42578125" hidden="1"/>
  </cols>
  <sheetData>
    <row r="1" spans="1:15" ht="14.85" customHeight="1"/>
    <row r="2" spans="1:15" ht="15"/>
    <row r="3" spans="1:15" ht="15"/>
    <row r="4" spans="1:15" ht="15"/>
    <row r="5" spans="1:15" ht="18" customHeight="1">
      <c r="A5"/>
      <c r="B5" s="270" t="str">
        <f>IF(Indice_index!$Z$1=1,"ANEXOS ESTATÍSTICOS","STATISTICAL ANNEXES")</f>
        <v>ANEXOS ESTATÍSTICOS</v>
      </c>
      <c r="C5" s="270"/>
      <c r="D5" s="270"/>
      <c r="E5"/>
      <c r="F5"/>
      <c r="G5"/>
      <c r="H5"/>
      <c r="I5"/>
      <c r="J5"/>
      <c r="K5"/>
      <c r="L5"/>
      <c r="M5"/>
      <c r="N5"/>
      <c r="O5"/>
    </row>
    <row r="6" spans="1:15" ht="18" customHeight="1">
      <c r="A6"/>
      <c r="B6" s="271" t="str">
        <f>IF(Indice_index!$Z$1=1,"Agosto de 2025","August 2025")</f>
        <v>Agosto de 2025</v>
      </c>
      <c r="C6" s="271"/>
      <c r="D6" s="271"/>
      <c r="E6"/>
      <c r="F6"/>
      <c r="G6"/>
      <c r="H6"/>
      <c r="I6"/>
      <c r="J6"/>
      <c r="K6"/>
      <c r="L6"/>
      <c r="M6"/>
      <c r="N6"/>
      <c r="O6"/>
    </row>
    <row r="7" spans="1:15" ht="50.1" customHeight="1">
      <c r="B7" s="12"/>
      <c r="C7" s="12"/>
      <c r="D7" s="12"/>
      <c r="E7" s="13"/>
      <c r="F7" s="11"/>
      <c r="G7" s="11"/>
      <c r="H7" s="11"/>
      <c r="I7" s="11"/>
      <c r="J7" s="11"/>
      <c r="K7" s="11"/>
      <c r="L7" s="11"/>
      <c r="M7" s="11"/>
      <c r="N7" s="11"/>
      <c r="O7" s="11"/>
    </row>
    <row r="8" spans="1:15" ht="15.75">
      <c r="B8" s="1" t="str">
        <f>IF(Indice_index!$Z$1=1,"Quadro 22 - Estimativas de execução consideradas na conta da Administração Central","22 - Estimated amounts in Central Government Account")</f>
        <v>Quadro 22 - Estimativas de execução consideradas na conta da Administração Central</v>
      </c>
      <c r="C8" s="1"/>
      <c r="D8" s="1"/>
      <c r="E8" s="2"/>
      <c r="F8" s="2"/>
      <c r="G8" s="2"/>
      <c r="H8" s="2"/>
      <c r="I8" s="2"/>
      <c r="J8" s="2"/>
      <c r="K8" s="2"/>
      <c r="L8" s="117"/>
      <c r="M8" s="117"/>
      <c r="N8" s="117"/>
      <c r="O8" s="2"/>
    </row>
    <row r="9" spans="1:15" ht="15">
      <c r="B9" s="3" t="str">
        <f>+'3 - Conta AC + SS'!B9</f>
        <v>Período: janeiro a agosto</v>
      </c>
      <c r="C9" s="3"/>
      <c r="D9" s="3"/>
      <c r="E9" s="3"/>
      <c r="F9" s="3"/>
      <c r="G9" s="3"/>
      <c r="H9" s="3"/>
      <c r="I9" s="3" t="str">
        <f>IF(Indice_index!$Z$1=1,"€ Milhões","€ Millions")</f>
        <v>€ Milhões</v>
      </c>
      <c r="J9" s="3"/>
      <c r="K9" s="180"/>
    </row>
    <row r="10" spans="1:15" ht="75.599999999999994" customHeight="1">
      <c r="B10" s="22"/>
      <c r="C10" s="22" t="s">
        <v>636</v>
      </c>
      <c r="D10" s="22" t="s">
        <v>629</v>
      </c>
      <c r="E10" s="22" t="s">
        <v>572</v>
      </c>
      <c r="F10" s="22" t="s">
        <v>622</v>
      </c>
      <c r="G10" s="22" t="s">
        <v>166</v>
      </c>
      <c r="H10" s="22" t="s">
        <v>630</v>
      </c>
      <c r="I10" s="22" t="s">
        <v>488</v>
      </c>
      <c r="N10"/>
      <c r="O10"/>
    </row>
    <row r="11" spans="1:15" ht="14.1" customHeight="1">
      <c r="B11" s="278" t="str">
        <f>IF(Indice_index!$Z$1=1,"Receita corrente","Current revenue")</f>
        <v>Receita corrente</v>
      </c>
      <c r="C11" s="335">
        <v>0.83384049999999998</v>
      </c>
      <c r="D11" s="335">
        <v>0</v>
      </c>
      <c r="E11" s="335">
        <v>4.3520000000000003E-2</v>
      </c>
      <c r="F11" s="335">
        <v>1.1876207700000001</v>
      </c>
      <c r="G11" s="335">
        <v>0</v>
      </c>
      <c r="H11" s="335">
        <v>8.8000000000000005E-3</v>
      </c>
      <c r="I11" s="335">
        <v>1.10176864</v>
      </c>
      <c r="N11"/>
      <c r="O11"/>
    </row>
    <row r="12" spans="1:15" ht="14.1" customHeight="1">
      <c r="B12" s="125" t="str">
        <f>IF(Indice_index!$Z$1=1,"Receita fiscal","Tax")</f>
        <v>Receita fiscal</v>
      </c>
      <c r="C12" s="4">
        <v>0</v>
      </c>
      <c r="D12" s="4">
        <v>0</v>
      </c>
      <c r="E12" s="4">
        <v>0</v>
      </c>
      <c r="F12" s="4">
        <v>6.4080990000000004E-2</v>
      </c>
      <c r="G12" s="4">
        <v>0</v>
      </c>
      <c r="H12" s="4">
        <v>0</v>
      </c>
      <c r="I12" s="4">
        <v>0</v>
      </c>
      <c r="N12"/>
      <c r="O12"/>
    </row>
    <row r="13" spans="1:15" ht="14.1" customHeight="1">
      <c r="B13" s="125" t="str">
        <f>IF(Indice_index!$Z$1=1,"Contribuições para Segurança Social, CGA e ADSE","Social security, CGA and ADSE contributions")</f>
        <v>Contribuições para Segurança Social, CGA e ADSE</v>
      </c>
      <c r="C13" s="4">
        <v>0</v>
      </c>
      <c r="D13" s="4">
        <v>0</v>
      </c>
      <c r="E13" s="4">
        <v>0</v>
      </c>
      <c r="F13" s="4">
        <v>0</v>
      </c>
      <c r="G13" s="4">
        <v>0</v>
      </c>
      <c r="H13" s="4">
        <v>0</v>
      </c>
      <c r="I13" s="4">
        <v>0</v>
      </c>
      <c r="N13"/>
      <c r="O13"/>
    </row>
    <row r="14" spans="1:15" ht="14.1" customHeight="1">
      <c r="B14" s="125" t="str">
        <f>IF(Indice_index!$Z$1=1,"Transferências correntes","Current transfers")</f>
        <v>Transferências correntes</v>
      </c>
      <c r="C14" s="4">
        <v>0.33284049999999998</v>
      </c>
      <c r="D14" s="4">
        <v>0</v>
      </c>
      <c r="E14" s="4">
        <v>0.04</v>
      </c>
      <c r="F14" s="4">
        <v>1.11439602</v>
      </c>
      <c r="G14" s="4">
        <v>0</v>
      </c>
      <c r="H14" s="4">
        <v>0</v>
      </c>
      <c r="I14" s="4">
        <v>1.06524328</v>
      </c>
      <c r="N14"/>
      <c r="O14"/>
    </row>
    <row r="15" spans="1:15" ht="14.1" customHeight="1">
      <c r="B15" s="297" t="str">
        <f>IF(Indice_index!$Z$1=1,"das quais: Administração Central","of which: Central Administration")</f>
        <v>das quais: Administração Central</v>
      </c>
      <c r="C15" s="4">
        <v>0.33284049999999998</v>
      </c>
      <c r="D15" s="4">
        <v>0</v>
      </c>
      <c r="E15" s="4">
        <v>0</v>
      </c>
      <c r="F15" s="4">
        <v>1.1141460000000001</v>
      </c>
      <c r="G15" s="4">
        <v>0</v>
      </c>
      <c r="H15" s="4">
        <v>0</v>
      </c>
      <c r="I15" s="4">
        <v>0</v>
      </c>
      <c r="N15"/>
      <c r="O15"/>
    </row>
    <row r="16" spans="1:15" ht="14.1" customHeight="1">
      <c r="B16" s="125" t="str">
        <f>IF(Indice_index!$Z$1=1,"Outras receitas correntes","Other current revenue")</f>
        <v>Outras receitas correntes</v>
      </c>
      <c r="C16" s="4">
        <v>0.501</v>
      </c>
      <c r="D16" s="4">
        <v>0</v>
      </c>
      <c r="E16" s="4">
        <v>3.5200000000000001E-3</v>
      </c>
      <c r="F16" s="4">
        <v>9.1437600000000008E-3</v>
      </c>
      <c r="G16" s="4">
        <v>0</v>
      </c>
      <c r="H16" s="4">
        <v>8.8000000000000005E-3</v>
      </c>
      <c r="I16" s="4">
        <v>3.652536E-2</v>
      </c>
      <c r="N16"/>
      <c r="O16"/>
    </row>
    <row r="17" spans="2:15" ht="14.1" customHeight="1">
      <c r="B17" s="297" t="str">
        <f>IF(Indice_index!$Z$1=1,"das quais: Administração Central","of which: Central Administration")</f>
        <v>das quais: Administração Central</v>
      </c>
      <c r="C17" s="4">
        <v>0</v>
      </c>
      <c r="D17" s="4">
        <v>0</v>
      </c>
      <c r="E17" s="4">
        <v>0</v>
      </c>
      <c r="F17" s="4">
        <v>0</v>
      </c>
      <c r="G17" s="4">
        <v>0</v>
      </c>
      <c r="H17" s="4">
        <v>0</v>
      </c>
      <c r="I17" s="4">
        <v>0</v>
      </c>
      <c r="N17"/>
      <c r="O17"/>
    </row>
    <row r="18" spans="2:15" ht="14.1" customHeight="1">
      <c r="B18" s="297" t="str">
        <f>IF(Indice_index!$Z$1=1,"das quais: das quais: Vendas de bens e serviços / Saúde","of which: Sales of goods and services / Health sector")</f>
        <v>das quais: das quais: Vendas de bens e serviços / Saúde</v>
      </c>
      <c r="C18" s="4">
        <v>0</v>
      </c>
      <c r="D18" s="4">
        <v>0</v>
      </c>
      <c r="E18" s="4">
        <v>0</v>
      </c>
      <c r="F18" s="4">
        <v>0</v>
      </c>
      <c r="G18" s="4">
        <v>0</v>
      </c>
      <c r="H18" s="4">
        <v>0</v>
      </c>
      <c r="I18" s="4">
        <v>0</v>
      </c>
      <c r="N18"/>
      <c r="O18"/>
    </row>
    <row r="19" spans="2:15" ht="14.1" customHeight="1">
      <c r="B19" s="278" t="str">
        <f>IF(Indice_index!$Z$1=1,"Receita de capital","Capital revenue")</f>
        <v>Receita de capital</v>
      </c>
      <c r="C19" s="335">
        <v>0</v>
      </c>
      <c r="D19" s="335">
        <v>0.12166666</v>
      </c>
      <c r="E19" s="335">
        <v>0</v>
      </c>
      <c r="F19" s="335">
        <v>5.0000999999999995E-4</v>
      </c>
      <c r="G19" s="335">
        <v>0</v>
      </c>
      <c r="H19" s="335">
        <v>0</v>
      </c>
      <c r="I19" s="335">
        <v>0.32912535999999998</v>
      </c>
      <c r="N19"/>
      <c r="O19"/>
    </row>
    <row r="20" spans="2:15" ht="14.1" customHeight="1">
      <c r="B20" s="125" t="str">
        <f>IF(Indice_index!$Z$1=1,"Venda de bens de investimento","Sale of investment goods")</f>
        <v>Venda de bens de investimento</v>
      </c>
      <c r="C20" s="4">
        <v>0</v>
      </c>
      <c r="D20" s="4">
        <v>0</v>
      </c>
      <c r="E20" s="4">
        <v>0</v>
      </c>
      <c r="F20" s="4">
        <v>5.0000999999999995E-4</v>
      </c>
      <c r="G20" s="4">
        <v>0</v>
      </c>
      <c r="H20" s="4">
        <v>0</v>
      </c>
      <c r="I20" s="4">
        <v>0</v>
      </c>
      <c r="N20"/>
      <c r="O20"/>
    </row>
    <row r="21" spans="2:15" ht="14.1" customHeight="1">
      <c r="B21" s="125" t="str">
        <f>IF(Indice_index!$Z$1=1,"Transferências de capital","Capital transfers")</f>
        <v>Transferências de capital</v>
      </c>
      <c r="C21" s="4">
        <v>0</v>
      </c>
      <c r="D21" s="4">
        <v>0</v>
      </c>
      <c r="E21" s="4">
        <v>0</v>
      </c>
      <c r="F21" s="4">
        <v>0</v>
      </c>
      <c r="G21" s="4">
        <v>0</v>
      </c>
      <c r="H21" s="4">
        <v>0</v>
      </c>
      <c r="I21" s="4">
        <v>0.32912535999999998</v>
      </c>
      <c r="N21"/>
      <c r="O21"/>
    </row>
    <row r="22" spans="2:15" ht="14.1" customHeight="1">
      <c r="B22" s="297" t="str">
        <f>IF(Indice_index!$Z$1=1,"das quais: Administração Central","of which: Central Administration")</f>
        <v>das quais: Administração Central</v>
      </c>
      <c r="C22" s="4">
        <v>0</v>
      </c>
      <c r="D22" s="4">
        <v>0</v>
      </c>
      <c r="E22" s="4">
        <v>0</v>
      </c>
      <c r="F22" s="4">
        <v>0</v>
      </c>
      <c r="G22" s="4">
        <v>0</v>
      </c>
      <c r="H22" s="4">
        <v>0</v>
      </c>
      <c r="I22" s="4">
        <v>0.32912535999999998</v>
      </c>
      <c r="N22"/>
      <c r="O22"/>
    </row>
    <row r="23" spans="2:15" ht="14.1" customHeight="1">
      <c r="B23" s="125" t="str">
        <f>IF(Indice_index!$Z$1=1,"Outras receitas de capital","Other capital revenue")</f>
        <v>Outras receitas de capital</v>
      </c>
      <c r="C23" s="4">
        <v>0</v>
      </c>
      <c r="D23" s="4">
        <v>0.12166666</v>
      </c>
      <c r="E23" s="4">
        <v>0</v>
      </c>
      <c r="F23" s="4">
        <v>0</v>
      </c>
      <c r="G23" s="4">
        <v>0</v>
      </c>
      <c r="H23" s="4">
        <v>0</v>
      </c>
      <c r="I23" s="4">
        <v>0</v>
      </c>
      <c r="N23"/>
      <c r="O23"/>
    </row>
    <row r="24" spans="2:15" ht="14.1" customHeight="1">
      <c r="B24" s="17" t="str">
        <f>IF(Indice_index!$Z$1=1,"Receita efetiva","Effective revenue")</f>
        <v>Receita efetiva</v>
      </c>
      <c r="C24" s="18">
        <v>0.83384049999999998</v>
      </c>
      <c r="D24" s="18">
        <v>0.12166666</v>
      </c>
      <c r="E24" s="18">
        <v>4.3520000000000003E-2</v>
      </c>
      <c r="F24" s="18">
        <v>1.18812078</v>
      </c>
      <c r="G24" s="18">
        <v>0</v>
      </c>
      <c r="H24" s="18">
        <v>8.8000000000000005E-3</v>
      </c>
      <c r="I24" s="18">
        <v>1.4308940000000001</v>
      </c>
      <c r="N24"/>
      <c r="O24"/>
    </row>
    <row r="25" spans="2:15" ht="14.1" customHeight="1">
      <c r="B25" s="278" t="str">
        <f>IF(Indice_index!$Z$1=1,"Despesa corrente","Current expenditure")</f>
        <v>Despesa corrente</v>
      </c>
      <c r="C25" s="134">
        <v>0.76331899999999997</v>
      </c>
      <c r="D25" s="134">
        <v>1.3333340000000001E-2</v>
      </c>
      <c r="E25" s="134">
        <v>4.3520000000000003E-2</v>
      </c>
      <c r="F25" s="134">
        <v>0.87978473999999995</v>
      </c>
      <c r="G25" s="134">
        <v>0.66161336000000004</v>
      </c>
      <c r="H25" s="134">
        <v>6.2500000000000003E-3</v>
      </c>
      <c r="I25" s="134">
        <v>1.40757464</v>
      </c>
      <c r="N25"/>
      <c r="O25"/>
    </row>
    <row r="26" spans="2:15" ht="14.1" customHeight="1">
      <c r="B26" s="125" t="str">
        <f>IF(Indice_index!$Z$1=1,"Despesas com o pessoal","Employees")</f>
        <v>Despesas com o pessoal</v>
      </c>
      <c r="C26" s="4">
        <v>0.70296382999999996</v>
      </c>
      <c r="D26" s="4">
        <v>0</v>
      </c>
      <c r="E26" s="4">
        <v>0</v>
      </c>
      <c r="F26" s="4">
        <v>0.25462847999999999</v>
      </c>
      <c r="G26" s="4">
        <v>3.985872E-2</v>
      </c>
      <c r="H26" s="4">
        <v>0</v>
      </c>
      <c r="I26" s="4">
        <v>0.813218</v>
      </c>
      <c r="N26"/>
      <c r="O26"/>
    </row>
    <row r="27" spans="2:15" ht="14.1" customHeight="1">
      <c r="B27" s="125" t="str">
        <f>IF(Indice_index!$Z$1=1,"Aquisição de bens e serviços","Purchase of goods and services")</f>
        <v>Aquisição de bens e serviços</v>
      </c>
      <c r="C27" s="4">
        <v>5.7811840000000003E-2</v>
      </c>
      <c r="D27" s="4">
        <v>1.3333340000000001E-2</v>
      </c>
      <c r="E27" s="4">
        <v>1.602E-2</v>
      </c>
      <c r="F27" s="4">
        <v>5.6795999999999999E-2</v>
      </c>
      <c r="G27" s="4">
        <v>0.62175464000000003</v>
      </c>
      <c r="H27" s="4">
        <v>0</v>
      </c>
      <c r="I27" s="4">
        <v>0.25334728000000001</v>
      </c>
      <c r="N27"/>
      <c r="O27"/>
    </row>
    <row r="28" spans="2:15" ht="14.1" customHeight="1">
      <c r="B28" s="297" t="str">
        <f>IF(Indice_index!$Z$1=1,"das quais: das quais: Aquisição de bens e serviços / Saúde","of which: Purchase of goods and services / Health sector")</f>
        <v>das quais: das quais: Aquisição de bens e serviços / Saúde</v>
      </c>
      <c r="C28" s="4">
        <v>0</v>
      </c>
      <c r="D28" s="4">
        <v>0</v>
      </c>
      <c r="E28" s="4">
        <v>0</v>
      </c>
      <c r="F28" s="4">
        <v>0</v>
      </c>
      <c r="G28" s="4">
        <v>0</v>
      </c>
      <c r="H28" s="4">
        <v>0</v>
      </c>
      <c r="I28" s="4">
        <v>0</v>
      </c>
      <c r="N28"/>
      <c r="O28"/>
    </row>
    <row r="29" spans="2:15" ht="14.1" customHeight="1">
      <c r="B29" s="125" t="str">
        <f>IF(Indice_index!$Z$1=1,"Juros e outros encargos","Interests and other charges")</f>
        <v>Juros e outros encargos</v>
      </c>
      <c r="C29" s="4">
        <v>0</v>
      </c>
      <c r="D29" s="4">
        <v>0</v>
      </c>
      <c r="E29" s="4">
        <v>0</v>
      </c>
      <c r="F29" s="4">
        <v>0</v>
      </c>
      <c r="G29" s="4">
        <v>0</v>
      </c>
      <c r="H29" s="4">
        <v>0</v>
      </c>
      <c r="I29" s="4">
        <v>3.192E-3</v>
      </c>
      <c r="N29"/>
      <c r="O29"/>
    </row>
    <row r="30" spans="2:15" ht="14.1" customHeight="1">
      <c r="B30" s="297" t="str">
        <f>IF(Indice_index!$Z$1=1,"dos quais: Administração Central","of which: Central Administration")</f>
        <v>dos quais: Administração Central</v>
      </c>
      <c r="C30" s="4">
        <v>0</v>
      </c>
      <c r="D30" s="4">
        <v>0</v>
      </c>
      <c r="E30" s="4">
        <v>0</v>
      </c>
      <c r="F30" s="4">
        <v>0</v>
      </c>
      <c r="G30" s="4">
        <v>0</v>
      </c>
      <c r="H30" s="4">
        <v>0</v>
      </c>
      <c r="I30" s="4">
        <v>0</v>
      </c>
      <c r="N30"/>
      <c r="O30"/>
    </row>
    <row r="31" spans="2:15" ht="14.1" customHeight="1">
      <c r="B31" s="125" t="str">
        <f>IF(Indice_index!$Z$1=1,"Transferências correntes","Current transfers")</f>
        <v>Transferências correntes</v>
      </c>
      <c r="C31" s="4">
        <v>0</v>
      </c>
      <c r="D31" s="4">
        <v>0</v>
      </c>
      <c r="E31" s="4">
        <v>2.7333360000000001E-2</v>
      </c>
      <c r="F31" s="4">
        <v>0.56445725999999996</v>
      </c>
      <c r="G31" s="4">
        <v>0</v>
      </c>
      <c r="H31" s="4">
        <v>0</v>
      </c>
      <c r="I31" s="4">
        <v>0.334484</v>
      </c>
      <c r="N31"/>
      <c r="O31"/>
    </row>
    <row r="32" spans="2:15" ht="14.1" customHeight="1">
      <c r="B32" s="297" t="str">
        <f>IF(Indice_index!$Z$1=1,"das quais: Administração Central","of which: Central Administration")</f>
        <v>das quais: Administração Central</v>
      </c>
      <c r="C32" s="4">
        <v>0</v>
      </c>
      <c r="D32" s="4">
        <v>0</v>
      </c>
      <c r="E32" s="4">
        <v>0</v>
      </c>
      <c r="F32" s="4">
        <v>0</v>
      </c>
      <c r="G32" s="4">
        <v>0</v>
      </c>
      <c r="H32" s="4">
        <v>0</v>
      </c>
      <c r="I32" s="4">
        <v>0</v>
      </c>
      <c r="N32"/>
      <c r="O32"/>
    </row>
    <row r="33" spans="2:15" ht="14.1" customHeight="1">
      <c r="B33" s="125" t="str">
        <f>IF(Indice_index!$Z$1=1,"Subsídios","Subsidies")</f>
        <v>Subsídios</v>
      </c>
      <c r="C33" s="4">
        <v>0</v>
      </c>
      <c r="D33" s="4">
        <v>0</v>
      </c>
      <c r="E33" s="4">
        <v>0</v>
      </c>
      <c r="F33" s="4">
        <v>0</v>
      </c>
      <c r="G33" s="4">
        <v>0</v>
      </c>
      <c r="H33" s="4">
        <v>0</v>
      </c>
      <c r="I33" s="4">
        <v>0</v>
      </c>
      <c r="N33"/>
      <c r="O33"/>
    </row>
    <row r="34" spans="2:15" ht="14.1" customHeight="1">
      <c r="B34" s="172" t="str">
        <f>IF(Indice_index!$Z$1=1,"dos quais: Administração Central","of which: Central Administration")</f>
        <v>dos quais: Administração Central</v>
      </c>
      <c r="C34" s="4">
        <v>0</v>
      </c>
      <c r="D34" s="4">
        <v>0</v>
      </c>
      <c r="E34" s="4">
        <v>0</v>
      </c>
      <c r="F34" s="4">
        <v>0</v>
      </c>
      <c r="G34" s="4">
        <v>0</v>
      </c>
      <c r="H34" s="4">
        <v>0</v>
      </c>
      <c r="I34" s="4">
        <v>0</v>
      </c>
      <c r="N34"/>
      <c r="O34"/>
    </row>
    <row r="35" spans="2:15" ht="14.1" customHeight="1">
      <c r="B35" s="125" t="str">
        <f>IF(Indice_index!$Z$1=1,"Outras despesas correntes","Other current expenditure")</f>
        <v>Outras despesas correntes</v>
      </c>
      <c r="C35" s="4">
        <v>2.5433299999999999E-3</v>
      </c>
      <c r="D35" s="4">
        <v>0</v>
      </c>
      <c r="E35" s="4">
        <v>1.6663999999999999E-4</v>
      </c>
      <c r="F35" s="4">
        <v>3.9029999999999998E-3</v>
      </c>
      <c r="G35" s="4">
        <v>0</v>
      </c>
      <c r="H35" s="4">
        <v>6.2500000000000003E-3</v>
      </c>
      <c r="I35" s="4">
        <v>3.3333600000000001E-3</v>
      </c>
      <c r="N35"/>
      <c r="O35"/>
    </row>
    <row r="36" spans="2:15" ht="14.1" customHeight="1">
      <c r="B36" s="278" t="str">
        <f>IF(Indice_index!$Z$1=1,"Despesa de capital","Capital expenditure")</f>
        <v>Despesa de capital</v>
      </c>
      <c r="C36" s="134">
        <v>4.5833329999999999E-2</v>
      </c>
      <c r="D36" s="134">
        <v>0.10833334</v>
      </c>
      <c r="E36" s="134">
        <v>0</v>
      </c>
      <c r="F36" s="134">
        <v>2.0250000000000001E-2</v>
      </c>
      <c r="G36" s="134">
        <v>0</v>
      </c>
      <c r="H36" s="134">
        <v>0</v>
      </c>
      <c r="I36" s="134">
        <v>0</v>
      </c>
      <c r="N36"/>
      <c r="O36"/>
    </row>
    <row r="37" spans="2:15" ht="14.1" customHeight="1">
      <c r="B37" s="125" t="str">
        <f>IF(Indice_index!$Z$1=1,"Investimento","Investment")</f>
        <v>Investimento</v>
      </c>
      <c r="C37" s="4">
        <v>4.5833329999999999E-2</v>
      </c>
      <c r="D37" s="4">
        <v>0.10833334</v>
      </c>
      <c r="E37" s="4">
        <v>0</v>
      </c>
      <c r="F37" s="4">
        <v>2.0000009999999999E-2</v>
      </c>
      <c r="G37" s="4">
        <v>0</v>
      </c>
      <c r="H37" s="4">
        <v>0</v>
      </c>
      <c r="I37" s="4">
        <v>0</v>
      </c>
      <c r="N37"/>
      <c r="O37"/>
    </row>
    <row r="38" spans="2:15" ht="14.1" customHeight="1">
      <c r="B38" s="125" t="str">
        <f>IF(Indice_index!$Z$1=1,"Transferências de capital","Capital transfers")</f>
        <v>Transferências de capital</v>
      </c>
      <c r="C38" s="4">
        <v>0</v>
      </c>
      <c r="D38" s="4">
        <v>0</v>
      </c>
      <c r="E38" s="4">
        <v>0</v>
      </c>
      <c r="F38" s="4">
        <v>2.4999000000000001E-4</v>
      </c>
      <c r="G38" s="4">
        <v>0</v>
      </c>
      <c r="H38" s="4">
        <v>0</v>
      </c>
      <c r="I38" s="4">
        <v>0</v>
      </c>
      <c r="N38"/>
      <c r="O38"/>
    </row>
    <row r="39" spans="2:15" ht="14.1" customHeight="1">
      <c r="B39" s="297" t="str">
        <f>IF(Indice_index!$Z$1=1,"das quais: Administração Central","of which: Central Administration")</f>
        <v>das quais: Administração Central</v>
      </c>
      <c r="C39" s="4">
        <v>0</v>
      </c>
      <c r="D39" s="4">
        <v>0</v>
      </c>
      <c r="E39" s="4">
        <v>0</v>
      </c>
      <c r="F39" s="4">
        <v>0</v>
      </c>
      <c r="G39" s="4">
        <v>0</v>
      </c>
      <c r="H39" s="4">
        <v>0</v>
      </c>
      <c r="I39" s="4">
        <v>0</v>
      </c>
      <c r="N39"/>
      <c r="O39"/>
    </row>
    <row r="40" spans="2:15" ht="14.1" customHeight="1">
      <c r="B40" s="125" t="str">
        <f>IF(Indice_index!$Z$1=1,"Outras despesas de capital","Other capital expenditure")</f>
        <v>Outras despesas de capital</v>
      </c>
      <c r="C40" s="4">
        <v>0</v>
      </c>
      <c r="D40" s="4">
        <v>0</v>
      </c>
      <c r="E40" s="4">
        <v>0</v>
      </c>
      <c r="F40" s="4">
        <v>0</v>
      </c>
      <c r="G40" s="4">
        <v>0</v>
      </c>
      <c r="H40" s="4">
        <v>0</v>
      </c>
      <c r="I40" s="4">
        <v>0</v>
      </c>
      <c r="N40"/>
      <c r="O40"/>
    </row>
    <row r="41" spans="2:15" ht="14.1" customHeight="1">
      <c r="B41" s="17" t="str">
        <f>IF(Indice_index!$Z$1=1,"Despesa efetiva","Effective expenditure")</f>
        <v>Despesa efetiva</v>
      </c>
      <c r="C41" s="18">
        <v>0.80915232999999998</v>
      </c>
      <c r="D41" s="18">
        <v>0.12166668</v>
      </c>
      <c r="E41" s="18">
        <v>4.3520000000000003E-2</v>
      </c>
      <c r="F41" s="18">
        <v>0.90003474000000006</v>
      </c>
      <c r="G41" s="18">
        <v>0.66161336000000004</v>
      </c>
      <c r="H41" s="18">
        <v>6.2500000000000003E-3</v>
      </c>
      <c r="I41" s="18">
        <v>1.40757464</v>
      </c>
      <c r="N41"/>
      <c r="O41"/>
    </row>
    <row r="42" spans="2:15" ht="14.1" customHeight="1">
      <c r="B42" s="17" t="str">
        <f>IF(Indice_index!$Z$1=1,"Saldo global","Overall balance")</f>
        <v>Saldo global</v>
      </c>
      <c r="C42" s="18">
        <v>2.4688169999999999E-2</v>
      </c>
      <c r="D42" s="18">
        <v>-1.99999999894729E-8</v>
      </c>
      <c r="E42" s="18">
        <v>0</v>
      </c>
      <c r="F42" s="18">
        <v>0.28808603999999999</v>
      </c>
      <c r="G42" s="18">
        <v>-0.66161336000000004</v>
      </c>
      <c r="H42" s="18">
        <v>2.5500000000000002E-3</v>
      </c>
      <c r="I42" s="18">
        <v>2.3319359999999699E-2</v>
      </c>
      <c r="N42"/>
      <c r="O42"/>
    </row>
    <row r="43" spans="2:15" ht="60" customHeight="1">
      <c r="B43" s="26" t="str">
        <f>IF(Indice_index!$Z$1=1,"Períodos com ausência de reporte","Months without report")</f>
        <v>Períodos com ausência de reporte</v>
      </c>
      <c r="C43" s="133" t="s">
        <v>635</v>
      </c>
      <c r="D43" s="133" t="s">
        <v>638</v>
      </c>
      <c r="E43" s="133" t="s">
        <v>637</v>
      </c>
      <c r="F43" s="133" t="s">
        <v>639</v>
      </c>
      <c r="G43" s="133" t="s">
        <v>637</v>
      </c>
      <c r="H43" s="133" t="s">
        <v>638</v>
      </c>
      <c r="I43" s="133" t="s">
        <v>637</v>
      </c>
      <c r="N43"/>
      <c r="O43"/>
    </row>
    <row r="44" spans="2:15" ht="15">
      <c r="B44" s="115"/>
      <c r="C44" s="115"/>
      <c r="D44" s="115"/>
      <c r="E44" s="115"/>
      <c r="F44" s="115"/>
      <c r="G44" s="115"/>
      <c r="H44" s="115"/>
      <c r="I44" s="115"/>
      <c r="J44" s="115"/>
      <c r="K44" s="115"/>
      <c r="L44" s="115"/>
      <c r="M44" s="115"/>
      <c r="N44" s="115"/>
      <c r="O44" s="115"/>
    </row>
    <row r="45" spans="2:15" ht="15" hidden="1">
      <c r="B45" s="115"/>
      <c r="C45" s="115"/>
      <c r="D45" s="115"/>
      <c r="E45" s="115"/>
      <c r="F45" s="115"/>
      <c r="G45" s="115"/>
      <c r="H45" s="115"/>
      <c r="I45" s="115"/>
      <c r="J45" s="115"/>
      <c r="K45" s="115"/>
      <c r="L45" s="115"/>
      <c r="M45" s="115"/>
      <c r="N45" s="115"/>
      <c r="O45" s="115"/>
    </row>
    <row r="46" spans="2:15" ht="15" hidden="1">
      <c r="B46" s="3"/>
      <c r="C46" s="3"/>
      <c r="D46" s="3"/>
      <c r="E46" s="3"/>
      <c r="F46" s="3"/>
      <c r="G46" s="3"/>
      <c r="H46" s="3"/>
      <c r="I46" s="3"/>
      <c r="K46" s="3"/>
      <c r="L46" s="118"/>
      <c r="M46" s="180"/>
    </row>
    <row r="47" spans="2:15" ht="75.599999999999994" hidden="1" customHeight="1">
      <c r="B47" s="181"/>
      <c r="C47" s="181"/>
      <c r="D47" s="181"/>
      <c r="E47" s="181"/>
      <c r="F47" s="181"/>
      <c r="G47" s="181"/>
      <c r="H47" s="181"/>
      <c r="L47"/>
      <c r="M47"/>
      <c r="N47"/>
      <c r="O47"/>
    </row>
    <row r="48" spans="2:15" ht="14.1" hidden="1" customHeight="1">
      <c r="B48" s="278"/>
      <c r="C48" s="278"/>
      <c r="D48" s="278"/>
      <c r="E48" s="179"/>
      <c r="F48" s="179"/>
      <c r="G48" s="179"/>
      <c r="H48" s="179"/>
      <c r="L48"/>
      <c r="M48"/>
      <c r="N48"/>
      <c r="O48"/>
    </row>
    <row r="49" spans="2:15" ht="14.1" hidden="1" customHeight="1">
      <c r="B49" s="240"/>
      <c r="C49" s="240"/>
      <c r="D49" s="240"/>
      <c r="E49" s="182"/>
      <c r="F49" s="182"/>
      <c r="G49" s="182"/>
      <c r="H49" s="182"/>
      <c r="L49"/>
      <c r="M49"/>
      <c r="N49"/>
      <c r="O49"/>
    </row>
    <row r="50" spans="2:15" ht="14.1" hidden="1" customHeight="1">
      <c r="B50" s="240"/>
      <c r="C50" s="240"/>
      <c r="D50" s="240"/>
      <c r="E50" s="182"/>
      <c r="F50" s="182"/>
      <c r="G50" s="182"/>
      <c r="H50" s="182"/>
      <c r="L50"/>
      <c r="M50"/>
      <c r="N50"/>
      <c r="O50"/>
    </row>
    <row r="51" spans="2:15" ht="14.1" hidden="1" customHeight="1">
      <c r="B51" s="240"/>
      <c r="C51" s="240"/>
      <c r="D51" s="240"/>
      <c r="E51" s="182"/>
      <c r="F51" s="182"/>
      <c r="G51" s="182"/>
      <c r="H51" s="182"/>
      <c r="L51"/>
      <c r="M51"/>
      <c r="N51"/>
      <c r="O51"/>
    </row>
    <row r="52" spans="2:15" ht="14.1" hidden="1" customHeight="1">
      <c r="B52" s="281"/>
      <c r="C52" s="281"/>
      <c r="D52" s="281"/>
      <c r="E52" s="182"/>
      <c r="F52" s="182"/>
      <c r="G52" s="182"/>
      <c r="H52" s="182"/>
      <c r="L52"/>
      <c r="M52"/>
      <c r="N52"/>
      <c r="O52"/>
    </row>
    <row r="53" spans="2:15" ht="14.1" hidden="1" customHeight="1">
      <c r="B53" s="240"/>
      <c r="C53" s="240"/>
      <c r="D53" s="240"/>
      <c r="E53" s="182"/>
      <c r="F53" s="182"/>
      <c r="G53" s="182"/>
      <c r="H53" s="182"/>
      <c r="L53"/>
      <c r="M53"/>
      <c r="N53"/>
      <c r="O53"/>
    </row>
    <row r="54" spans="2:15" ht="14.1" hidden="1" customHeight="1">
      <c r="B54" s="281"/>
      <c r="C54" s="281"/>
      <c r="D54" s="281"/>
      <c r="E54" s="182"/>
      <c r="F54" s="182"/>
      <c r="G54" s="182"/>
      <c r="H54" s="182"/>
      <c r="L54"/>
      <c r="M54"/>
      <c r="N54"/>
      <c r="O54"/>
    </row>
    <row r="55" spans="2:15" ht="14.1" hidden="1" customHeight="1">
      <c r="B55" s="281"/>
      <c r="C55" s="281"/>
      <c r="D55" s="281"/>
      <c r="E55" s="182"/>
      <c r="F55" s="182"/>
      <c r="G55" s="182"/>
      <c r="H55" s="182"/>
      <c r="L55"/>
      <c r="M55"/>
      <c r="N55"/>
      <c r="O55"/>
    </row>
    <row r="56" spans="2:15" ht="14.1" hidden="1" customHeight="1">
      <c r="B56" s="278"/>
      <c r="C56" s="278"/>
      <c r="D56" s="278"/>
      <c r="E56" s="179"/>
      <c r="F56" s="179"/>
      <c r="G56" s="179"/>
      <c r="H56" s="179"/>
      <c r="L56"/>
      <c r="M56"/>
      <c r="N56"/>
      <c r="O56"/>
    </row>
    <row r="57" spans="2:15" ht="14.1" hidden="1" customHeight="1">
      <c r="B57" s="240"/>
      <c r="C57" s="240"/>
      <c r="D57" s="240"/>
      <c r="E57" s="182"/>
      <c r="F57" s="182"/>
      <c r="G57" s="182"/>
      <c r="H57" s="182"/>
      <c r="L57"/>
      <c r="M57"/>
      <c r="N57"/>
      <c r="O57"/>
    </row>
    <row r="58" spans="2:15" ht="14.1" hidden="1" customHeight="1">
      <c r="B58" s="240"/>
      <c r="C58" s="240"/>
      <c r="D58" s="240"/>
      <c r="E58" s="182"/>
      <c r="F58" s="182"/>
      <c r="G58" s="182"/>
      <c r="H58" s="182"/>
      <c r="L58"/>
      <c r="M58"/>
      <c r="N58"/>
      <c r="O58"/>
    </row>
    <row r="59" spans="2:15" ht="14.1" hidden="1" customHeight="1">
      <c r="B59" s="281"/>
      <c r="C59" s="281"/>
      <c r="D59" s="281"/>
      <c r="E59" s="182"/>
      <c r="F59" s="182"/>
      <c r="G59" s="182"/>
      <c r="H59" s="182"/>
      <c r="L59"/>
      <c r="M59"/>
      <c r="N59"/>
      <c r="O59"/>
    </row>
    <row r="60" spans="2:15" ht="14.1" hidden="1" customHeight="1">
      <c r="B60" s="240"/>
      <c r="C60" s="240"/>
      <c r="D60" s="240"/>
      <c r="E60" s="182"/>
      <c r="F60" s="182"/>
      <c r="G60" s="182"/>
      <c r="H60" s="182"/>
      <c r="L60"/>
      <c r="M60"/>
      <c r="N60"/>
      <c r="O60"/>
    </row>
    <row r="61" spans="2:15" ht="14.1" hidden="1" customHeight="1">
      <c r="B61" s="282"/>
      <c r="C61" s="282"/>
      <c r="D61" s="282"/>
      <c r="E61" s="183"/>
      <c r="F61" s="183"/>
      <c r="G61" s="183"/>
      <c r="H61" s="183"/>
      <c r="L61"/>
      <c r="M61"/>
      <c r="N61"/>
      <c r="O61"/>
    </row>
    <row r="62" spans="2:15" ht="14.1" hidden="1" customHeight="1">
      <c r="B62" s="278"/>
      <c r="C62" s="278"/>
      <c r="D62" s="278"/>
      <c r="E62" s="179"/>
      <c r="F62" s="179"/>
      <c r="G62" s="179"/>
      <c r="H62" s="179"/>
      <c r="L62"/>
      <c r="M62"/>
      <c r="N62"/>
      <c r="O62"/>
    </row>
    <row r="63" spans="2:15" ht="14.1" hidden="1" customHeight="1">
      <c r="B63" s="240"/>
      <c r="C63" s="240"/>
      <c r="D63" s="240"/>
      <c r="E63" s="182"/>
      <c r="F63" s="182"/>
      <c r="G63" s="182"/>
      <c r="H63" s="182"/>
      <c r="L63"/>
      <c r="M63"/>
      <c r="N63"/>
      <c r="O63"/>
    </row>
    <row r="64" spans="2:15" ht="14.1" hidden="1" customHeight="1">
      <c r="B64" s="240"/>
      <c r="C64" s="240"/>
      <c r="D64" s="240"/>
      <c r="E64" s="182"/>
      <c r="F64" s="182"/>
      <c r="G64" s="182"/>
      <c r="H64" s="182"/>
      <c r="L64"/>
      <c r="M64"/>
      <c r="N64"/>
      <c r="O64"/>
    </row>
    <row r="65" spans="2:15" ht="14.1" hidden="1" customHeight="1">
      <c r="B65" s="281"/>
      <c r="C65" s="281"/>
      <c r="D65" s="281"/>
      <c r="E65" s="182"/>
      <c r="F65" s="182"/>
      <c r="G65" s="182"/>
      <c r="H65" s="182"/>
      <c r="L65"/>
      <c r="M65"/>
      <c r="N65"/>
      <c r="O65"/>
    </row>
    <row r="66" spans="2:15" ht="14.1" hidden="1" customHeight="1">
      <c r="B66" s="240"/>
      <c r="C66" s="240"/>
      <c r="D66" s="240"/>
      <c r="E66" s="182"/>
      <c r="F66" s="182"/>
      <c r="G66" s="182"/>
      <c r="H66" s="182"/>
      <c r="L66"/>
      <c r="M66"/>
      <c r="N66"/>
      <c r="O66"/>
    </row>
    <row r="67" spans="2:15" ht="14.1" hidden="1" customHeight="1">
      <c r="B67" s="281"/>
      <c r="C67" s="281"/>
      <c r="D67" s="281"/>
      <c r="E67" s="182"/>
      <c r="F67" s="182"/>
      <c r="G67" s="182"/>
      <c r="H67" s="182"/>
      <c r="L67"/>
      <c r="M67"/>
      <c r="N67"/>
      <c r="O67"/>
    </row>
    <row r="68" spans="2:15" ht="14.1" hidden="1" customHeight="1">
      <c r="B68" s="240"/>
      <c r="C68" s="240"/>
      <c r="D68" s="240"/>
      <c r="E68" s="182"/>
      <c r="F68" s="182"/>
      <c r="G68" s="182"/>
      <c r="H68" s="182"/>
      <c r="L68"/>
      <c r="M68"/>
      <c r="N68"/>
      <c r="O68"/>
    </row>
    <row r="69" spans="2:15" ht="14.1" hidden="1" customHeight="1">
      <c r="B69" s="281"/>
      <c r="C69" s="281"/>
      <c r="D69" s="281"/>
      <c r="E69" s="182"/>
      <c r="F69" s="182"/>
      <c r="G69" s="182"/>
      <c r="H69" s="182"/>
      <c r="L69"/>
      <c r="M69"/>
      <c r="N69"/>
      <c r="O69"/>
    </row>
    <row r="70" spans="2:15" ht="14.1" hidden="1" customHeight="1">
      <c r="B70" s="240"/>
      <c r="C70" s="240"/>
      <c r="D70" s="240"/>
      <c r="E70" s="182"/>
      <c r="F70" s="182"/>
      <c r="G70" s="182"/>
      <c r="H70" s="182"/>
      <c r="L70"/>
      <c r="M70"/>
      <c r="N70"/>
      <c r="O70"/>
    </row>
    <row r="71" spans="2:15" ht="14.1" hidden="1" customHeight="1">
      <c r="B71" s="279"/>
      <c r="C71" s="279"/>
      <c r="D71" s="279"/>
      <c r="E71" s="182"/>
      <c r="F71" s="182"/>
      <c r="G71" s="182"/>
      <c r="H71" s="182"/>
      <c r="L71"/>
      <c r="M71"/>
      <c r="N71"/>
      <c r="O71"/>
    </row>
    <row r="72" spans="2:15" ht="14.1" hidden="1" customHeight="1">
      <c r="B72" s="240"/>
      <c r="C72" s="240"/>
      <c r="D72" s="240"/>
      <c r="E72" s="182"/>
      <c r="F72" s="182"/>
      <c r="G72" s="182"/>
      <c r="H72" s="182"/>
      <c r="L72"/>
      <c r="M72"/>
      <c r="N72"/>
      <c r="O72"/>
    </row>
    <row r="73" spans="2:15" ht="14.1" hidden="1" customHeight="1">
      <c r="B73" s="278"/>
      <c r="C73" s="278"/>
      <c r="D73" s="278"/>
      <c r="E73" s="179"/>
      <c r="F73" s="179"/>
      <c r="G73" s="179"/>
      <c r="H73" s="179"/>
      <c r="L73"/>
      <c r="M73"/>
      <c r="N73"/>
      <c r="O73"/>
    </row>
    <row r="74" spans="2:15" ht="14.1" hidden="1" customHeight="1">
      <c r="B74" s="240"/>
      <c r="C74" s="240"/>
      <c r="D74" s="240"/>
      <c r="E74" s="182"/>
      <c r="F74" s="182"/>
      <c r="G74" s="182"/>
      <c r="H74" s="182"/>
      <c r="L74"/>
      <c r="M74"/>
      <c r="N74"/>
      <c r="O74"/>
    </row>
    <row r="75" spans="2:15" ht="14.1" hidden="1" customHeight="1">
      <c r="B75" s="240"/>
      <c r="C75" s="240"/>
      <c r="D75" s="240"/>
      <c r="E75" s="182"/>
      <c r="F75" s="182"/>
      <c r="G75" s="182"/>
      <c r="H75" s="182"/>
      <c r="L75"/>
      <c r="M75"/>
      <c r="N75"/>
      <c r="O75"/>
    </row>
    <row r="76" spans="2:15" ht="14.1" hidden="1" customHeight="1">
      <c r="B76" s="281"/>
      <c r="C76" s="281"/>
      <c r="D76" s="281"/>
      <c r="E76" s="182"/>
      <c r="F76" s="182"/>
      <c r="G76" s="182"/>
      <c r="H76" s="182"/>
      <c r="L76"/>
      <c r="M76"/>
      <c r="N76"/>
      <c r="O76"/>
    </row>
    <row r="77" spans="2:15" ht="14.1" hidden="1" customHeight="1">
      <c r="B77" s="240"/>
      <c r="C77" s="240"/>
      <c r="D77" s="240"/>
      <c r="E77" s="182"/>
      <c r="F77" s="182"/>
      <c r="G77" s="182"/>
      <c r="H77" s="182"/>
      <c r="L77"/>
      <c r="M77"/>
      <c r="N77"/>
      <c r="O77"/>
    </row>
    <row r="78" spans="2:15" ht="14.1" hidden="1" customHeight="1">
      <c r="B78" s="282"/>
      <c r="C78" s="282"/>
      <c r="D78" s="282"/>
      <c r="E78" s="183"/>
      <c r="F78" s="183"/>
      <c r="G78" s="183"/>
      <c r="H78" s="183"/>
      <c r="L78"/>
      <c r="M78"/>
      <c r="N78"/>
      <c r="O78"/>
    </row>
    <row r="79" spans="2:15" ht="14.1" hidden="1" customHeight="1">
      <c r="B79" s="282"/>
      <c r="C79" s="282"/>
      <c r="D79" s="282"/>
      <c r="E79" s="183"/>
      <c r="F79" s="183"/>
      <c r="G79" s="183"/>
      <c r="H79" s="183"/>
      <c r="L79"/>
      <c r="M79"/>
      <c r="N79"/>
      <c r="O79"/>
    </row>
    <row r="80" spans="2:15" ht="60" hidden="1" customHeight="1">
      <c r="B80" s="282"/>
      <c r="C80" s="282"/>
      <c r="D80" s="282"/>
      <c r="E80" s="184"/>
      <c r="F80" s="184"/>
      <c r="G80" s="184"/>
      <c r="H80" s="184"/>
      <c r="L80"/>
      <c r="M80"/>
      <c r="N80"/>
      <c r="O80"/>
    </row>
    <row r="81" spans="2:15" ht="15" hidden="1">
      <c r="B81" s="115"/>
      <c r="C81" s="115"/>
      <c r="D81" s="115"/>
      <c r="E81" s="115"/>
      <c r="F81" s="115"/>
      <c r="G81" s="115"/>
      <c r="H81" s="115"/>
      <c r="I81" s="115"/>
      <c r="J81" s="115"/>
      <c r="K81" s="115"/>
      <c r="L81" s="115"/>
      <c r="M81" s="115"/>
      <c r="N81" s="115"/>
      <c r="O81" s="115"/>
    </row>
    <row r="82" spans="2:15" ht="15">
      <c r="B82" s="115" t="str">
        <f>IF(Indice_index!$Z$1=1,"Notas:","Notes:")</f>
        <v>Notas:</v>
      </c>
      <c r="C82" s="115"/>
      <c r="D82" s="115"/>
      <c r="E82" s="115"/>
      <c r="F82" s="115"/>
      <c r="G82" s="115"/>
      <c r="H82" s="115"/>
      <c r="I82" s="115"/>
      <c r="J82" s="115"/>
      <c r="K82" s="115"/>
      <c r="L82" s="115"/>
      <c r="M82" s="115"/>
      <c r="N82" s="115"/>
      <c r="O82" s="115"/>
    </row>
    <row r="83" spans="2:15" ht="24" customHeight="1">
      <c r="B83" s="464" t="str">
        <f>+'8 - EPR'!B76</f>
        <v>Para as entidades identificadas considera-se na execução orçamental uma estimativa de execução para os meses em falta, a qual corresponde a um duodécimo do orçamento aprovado abatido dos cativos previstos na lei do OE2025 (Lei n.º 45-A/2024​, de 31 de dezembro).</v>
      </c>
      <c r="C83" s="464"/>
      <c r="D83" s="464"/>
      <c r="E83" s="464"/>
      <c r="F83" s="464"/>
      <c r="G83" s="464"/>
      <c r="H83" s="464"/>
      <c r="I83" s="464"/>
      <c r="J83" s="250"/>
      <c r="K83" s="250"/>
      <c r="L83" s="115"/>
      <c r="M83" s="115"/>
      <c r="N83" s="115"/>
      <c r="O83" s="115"/>
    </row>
    <row r="84" spans="2:15" ht="15" customHeight="1">
      <c r="B84" s="463" t="str">
        <f>+'8 - EPR'!B77</f>
        <v>Esta estimativa apenas é utilizada para os meses em que haja falta de reporte. Nos restantes meses, é utilizada a informação efetivamente reportada pelas entidades.</v>
      </c>
      <c r="C84" s="463"/>
      <c r="D84" s="463"/>
      <c r="E84" s="463"/>
      <c r="F84" s="463"/>
      <c r="G84" s="463"/>
      <c r="H84" s="463"/>
      <c r="I84" s="463"/>
      <c r="J84" s="249"/>
      <c r="K84" s="249"/>
      <c r="L84" s="463"/>
      <c r="M84" s="463"/>
      <c r="N84" s="463"/>
      <c r="O84" s="463"/>
    </row>
    <row r="85" spans="2:15" ht="24" hidden="1" customHeight="1">
      <c r="B85" s="463"/>
      <c r="C85" s="463"/>
      <c r="D85" s="463"/>
      <c r="E85" s="463"/>
      <c r="F85" s="463"/>
      <c r="G85" s="463"/>
      <c r="H85" s="463"/>
      <c r="I85" s="463"/>
      <c r="J85" s="463"/>
      <c r="K85" s="249"/>
      <c r="L85" s="203"/>
      <c r="M85" s="203"/>
      <c r="N85" s="203"/>
      <c r="O85" s="203"/>
    </row>
    <row r="86" spans="2:15" ht="24" hidden="1" customHeight="1">
      <c r="B86" s="463"/>
      <c r="C86" s="463"/>
      <c r="D86" s="463"/>
      <c r="E86" s="463"/>
      <c r="F86" s="463"/>
      <c r="G86" s="463"/>
      <c r="H86" s="463"/>
      <c r="I86" s="463"/>
      <c r="J86" s="463"/>
      <c r="K86" s="249"/>
      <c r="L86" s="203"/>
      <c r="M86" s="203"/>
      <c r="N86" s="203"/>
      <c r="O86" s="203"/>
    </row>
    <row r="87" spans="2:15" ht="15">
      <c r="B87" s="164" t="str">
        <f>IF(Indice_index!$Z$1=1,"Fonte: Entidade Orçamental.","Source: Budgetary Entity.")</f>
        <v>Fonte: Entidade Orçamental.</v>
      </c>
      <c r="C87" s="164"/>
      <c r="D87" s="164"/>
      <c r="E87" s="114"/>
      <c r="F87" s="114"/>
      <c r="G87" s="114"/>
      <c r="H87" s="114"/>
      <c r="I87" s="114"/>
      <c r="J87" s="114"/>
      <c r="K87" s="114"/>
      <c r="L87" s="114"/>
      <c r="M87" s="114"/>
      <c r="N87" s="114"/>
      <c r="O87" s="114"/>
    </row>
    <row r="88" spans="2:15" ht="14.85" customHeight="1"/>
    <row r="89" spans="2:15" ht="14.85" customHeight="1"/>
    <row r="90" spans="2:15" ht="14.85" customHeight="1"/>
    <row r="91" spans="2:15" ht="14.85" customHeight="1"/>
    <row r="92" spans="2:15" ht="14.85" customHeight="1"/>
    <row r="93" spans="2:15" ht="14.85" customHeight="1"/>
    <row r="94" spans="2:15" ht="14.85" customHeight="1"/>
    <row r="95" spans="2:15" ht="14.85" customHeight="1"/>
    <row r="96" spans="2:15" ht="14.85" customHeight="1"/>
    <row r="97" ht="14.85" customHeight="1"/>
    <row r="98" ht="14.85" customHeight="1"/>
    <row r="99" ht="14.85" customHeight="1"/>
    <row r="100" ht="14.85" customHeight="1"/>
    <row r="101" ht="14.85" customHeight="1"/>
    <row r="102" ht="14.85" customHeight="1"/>
    <row r="103" ht="14.85" customHeight="1"/>
    <row r="104" ht="14.85" customHeight="1"/>
    <row r="105" ht="14.85" customHeight="1"/>
    <row r="106" ht="14.85" customHeight="1"/>
    <row r="107" ht="14.85" customHeight="1"/>
    <row r="108" ht="14.85" customHeight="1"/>
    <row r="109" ht="14.85" customHeight="1"/>
    <row r="110" ht="14.85" customHeight="1"/>
    <row r="111" ht="14.85" customHeight="1"/>
    <row r="112" ht="14.85" customHeight="1"/>
    <row r="113" ht="14.85" customHeight="1"/>
    <row r="114" ht="14.85" customHeight="1"/>
    <row r="115" ht="14.85" customHeight="1"/>
    <row r="116" ht="14.85" customHeight="1"/>
    <row r="117" ht="14.85" customHeight="1"/>
    <row r="118" ht="14.85" customHeight="1"/>
    <row r="119" ht="14.85" customHeight="1"/>
    <row r="120" ht="14.85" customHeight="1"/>
    <row r="121" ht="14.85" customHeight="1"/>
    <row r="122" ht="14.85" customHeight="1"/>
    <row r="123" ht="14.85" customHeight="1"/>
    <row r="124" ht="14.85" customHeight="1"/>
  </sheetData>
  <mergeCells count="5">
    <mergeCell ref="L84:O84"/>
    <mergeCell ref="B85:J85"/>
    <mergeCell ref="B86:J86"/>
    <mergeCell ref="B83:I83"/>
    <mergeCell ref="B84:I84"/>
  </mergeCells>
  <conditionalFormatting sqref="C11:I23 C25:I40">
    <cfRule type="cellIs" dxfId="7" priority="1" operator="equal">
      <formula>0</formula>
    </cfRule>
  </conditionalFormatting>
  <conditionalFormatting sqref="E48:H60 E62:H77">
    <cfRule type="cellIs" dxfId="6" priority="3" operator="equal">
      <formula>0</formula>
    </cfRule>
  </conditionalFormatting>
  <pageMargins left="0.70866141732283472" right="0.70866141732283472" top="0.74803149606299213" bottom="0.74803149606299213" header="0.31496062992125984" footer="0.31496062992125984"/>
  <pageSetup paperSize="9" scale="44" orientation="portrait" r:id="rId1"/>
  <ignoredErrors>
    <ignoredError sqref="B16" formula="1"/>
  </ignoredErrors>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codeName="Folha26"/>
  <dimension ref="A1:AH275"/>
  <sheetViews>
    <sheetView showGridLines="0" zoomScaleNormal="100" workbookViewId="0"/>
  </sheetViews>
  <sheetFormatPr defaultColWidth="0" defaultRowHeight="14.85" customHeight="1" zeroHeight="1"/>
  <cols>
    <col min="1" max="1" width="8.5703125" style="93" customWidth="1"/>
    <col min="2" max="2" width="9.5703125" style="113" customWidth="1"/>
    <col min="3" max="3" width="36" style="113" customWidth="1"/>
    <col min="4" max="4" width="68.42578125" style="113" customWidth="1"/>
    <col min="5" max="7" width="11.5703125" style="113" customWidth="1"/>
    <col min="8" max="8" width="13.42578125" bestFit="1" customWidth="1"/>
    <col min="9" max="34" width="0" hidden="1" customWidth="1"/>
    <col min="35" max="16384" width="9.42578125" hidden="1"/>
  </cols>
  <sheetData>
    <row r="1" spans="1:16" ht="14.85" customHeight="1"/>
    <row r="2" spans="1:16" ht="15"/>
    <row r="3" spans="1:16" ht="15"/>
    <row r="4" spans="1:16" ht="15"/>
    <row r="5" spans="1:16" ht="18" customHeight="1">
      <c r="A5"/>
      <c r="B5" s="270" t="str">
        <f>IF(Indice_index!$Z$1=1,"ANEXOS ESTATÍSTICOS","STATISTICAL ANNEXES")</f>
        <v>ANEXOS ESTATÍSTICOS</v>
      </c>
      <c r="C5"/>
      <c r="D5"/>
      <c r="E5"/>
      <c r="F5"/>
      <c r="G5"/>
    </row>
    <row r="6" spans="1:16" ht="18" customHeight="1">
      <c r="A6"/>
      <c r="B6" s="271" t="str">
        <f>IF(Indice_index!$Z$1=1,"Agosto de 2025","August 2025")</f>
        <v>Agosto de 2025</v>
      </c>
      <c r="C6"/>
      <c r="D6"/>
      <c r="E6"/>
      <c r="F6"/>
      <c r="G6"/>
    </row>
    <row r="7" spans="1:16" ht="50.1" customHeight="1">
      <c r="A7" s="11"/>
      <c r="B7" s="12"/>
      <c r="C7" s="13"/>
      <c r="D7" s="11"/>
      <c r="E7" s="11"/>
      <c r="F7" s="11"/>
      <c r="G7" s="11"/>
      <c r="H7" s="11"/>
      <c r="I7" s="11"/>
      <c r="J7" s="11"/>
      <c r="K7" s="11"/>
      <c r="L7" s="11"/>
      <c r="M7" s="10"/>
      <c r="N7" s="10"/>
      <c r="O7" s="10"/>
      <c r="P7" s="10"/>
    </row>
    <row r="8" spans="1:16" ht="15.75">
      <c r="A8" s="2"/>
      <c r="B8" s="116" t="str">
        <f>IF(Indice_index!$Z$1=1,"Quadro 23 - Utilização condicionada das dotações orçamentais do OE 2025","23 - Frozen allocations from the 2025 State Budget")</f>
        <v>Quadro 23 - Utilização condicionada das dotações orçamentais do OE 2025</v>
      </c>
      <c r="C8" s="117"/>
      <c r="D8" s="117"/>
      <c r="E8" s="2"/>
      <c r="F8" s="2"/>
      <c r="G8" s="2"/>
      <c r="H8" s="2"/>
    </row>
    <row r="9" spans="1:16" ht="15">
      <c r="A9" s="3"/>
      <c r="B9" s="118" t="str">
        <f>IF(Indice_index!$Z$1=1,"Período: julho","Period: July")</f>
        <v>Período: julho</v>
      </c>
      <c r="C9" s="118"/>
      <c r="D9" s="118"/>
      <c r="E9" s="3"/>
      <c r="F9" s="3"/>
      <c r="G9" s="3" t="str">
        <f>IF(Indice_index!$Z$1=1,"€ Milhões","€ Millions")</f>
        <v>€ Milhões</v>
      </c>
      <c r="H9" s="3"/>
    </row>
    <row r="10" spans="1:16" ht="16.350000000000001" customHeight="1">
      <c r="A10" s="79"/>
      <c r="B10" s="390" t="str">
        <f>IF(Indice_index!$Z$1=1,"Ministério","Ministry")</f>
        <v>Ministério</v>
      </c>
      <c r="C10" s="390" t="str">
        <f>IF(Indice_index!$Z$1=1,"Programa Orçamental","Budgetary program")</f>
        <v>Programa Orçamental</v>
      </c>
      <c r="D10" s="390" t="str">
        <f>IF(Indice_index!$Z$1=1,"Medida","Measure")</f>
        <v>Medida</v>
      </c>
      <c r="E10" s="391">
        <v>2025</v>
      </c>
      <c r="F10" s="387"/>
      <c r="G10" s="388"/>
    </row>
    <row r="11" spans="1:16" ht="24.6" customHeight="1">
      <c r="A11" s="79"/>
      <c r="B11" s="389"/>
      <c r="C11" s="389"/>
      <c r="D11" s="389"/>
      <c r="E11" s="128" t="str">
        <f>IF(Indice_index!$Z$1=1,"Cativos iniciais (LOE)","Initial frozen allocations (SBL)")</f>
        <v>Cativos iniciais (LOE)</v>
      </c>
      <c r="F11" s="275" t="str">
        <f>IF(Indice_index!$Z$1=1,"Cativos iniciais (LOE e DLEO)","Initial frozen allocations (SBL and BEDL)")</f>
        <v>Cativos iniciais (LOE e DLEO)</v>
      </c>
      <c r="G11" s="119" t="str">
        <f>IF(Indice_index!$Z$1=1,"Cativos atuais","Current frozen allocations")</f>
        <v>Cativos atuais</v>
      </c>
    </row>
    <row r="12" spans="1:16" ht="16.350000000000001" customHeight="1">
      <c r="A12" s="57"/>
      <c r="B12" s="389"/>
      <c r="C12" s="389"/>
      <c r="D12" s="389"/>
      <c r="E12" s="126" t="s">
        <v>53</v>
      </c>
      <c r="F12" s="274" t="s">
        <v>54</v>
      </c>
      <c r="G12" s="120" t="s">
        <v>624</v>
      </c>
    </row>
    <row r="13" spans="1:16" ht="14.1" customHeight="1">
      <c r="A13" s="82"/>
      <c r="B13" s="339" t="str">
        <f>IF(Indice_index!$Z$1=1,"EGE","GCS")</f>
        <v>EGE</v>
      </c>
      <c r="C13" s="278" t="str">
        <f>IF(Indice_index!$Z$1=1,"P001 - Órgãos de Soberania","P001 - Bodies of Sovereignty")</f>
        <v>P001 - Órgãos de Soberania</v>
      </c>
      <c r="D13" s="279" t="str">
        <f>IF(Indice_index!$Z$1=1,"001 - Serviços Gerais da Administração Pública - Administração geral","001 - General public services - General Administration")</f>
        <v>001 - Serviços Gerais da Administração Pública - Administração geral</v>
      </c>
      <c r="E13" s="4">
        <v>12.720699</v>
      </c>
      <c r="F13" s="4">
        <v>25.624230000000001</v>
      </c>
      <c r="G13" s="4">
        <v>0.95736699999999997</v>
      </c>
      <c r="H13" s="83"/>
    </row>
    <row r="14" spans="1:16" ht="14.1" customHeight="1">
      <c r="A14" s="82"/>
      <c r="B14" s="339"/>
      <c r="C14" s="278"/>
      <c r="D14" s="279" t="str">
        <f>IF(Indice_index!$Z$1=1,"012 - Segurança e ordem públicas - Sistema judiciário","012 - Public safety and order - Judicial system")</f>
        <v>012 - Segurança e ordem públicas - Sistema judiciário</v>
      </c>
      <c r="E14" s="4">
        <v>2.692733</v>
      </c>
      <c r="F14" s="4">
        <v>3.1293310000000001</v>
      </c>
      <c r="G14" s="4">
        <v>0.43659799999999999</v>
      </c>
      <c r="H14" s="83"/>
    </row>
    <row r="15" spans="1:16" ht="14.1" customHeight="1">
      <c r="A15" s="82"/>
      <c r="B15" s="339"/>
      <c r="C15" s="278"/>
      <c r="D15" s="279" t="str">
        <f>IF(Indice_index!$Z$1=1,"038 - Serviços culturais, recreativos e religiosos - Comunicação social","038 - Cultural, recreational and religious services - Media")</f>
        <v>038 - Serviços culturais, recreativos e religiosos - Comunicação social</v>
      </c>
      <c r="E15" s="4">
        <v>0.40982200000000002</v>
      </c>
      <c r="F15" s="4">
        <v>1.2738370000000001</v>
      </c>
      <c r="G15" s="4">
        <v>1.034443</v>
      </c>
      <c r="H15" s="83"/>
    </row>
    <row r="16" spans="1:16" ht="14.1" customHeight="1">
      <c r="A16" s="82"/>
      <c r="B16" s="278"/>
      <c r="C16" s="278"/>
      <c r="D16" s="278" t="str">
        <f>C13</f>
        <v>P001 - Órgãos de Soberania</v>
      </c>
      <c r="E16" s="134">
        <f>SUM(E13:E15)</f>
        <v>15.823254</v>
      </c>
      <c r="F16" s="134">
        <f>SUM(F13:F15)</f>
        <v>30.027398000000002</v>
      </c>
      <c r="G16" s="134">
        <f>SUM(G13:G15)</f>
        <v>2.4284080000000001</v>
      </c>
      <c r="H16" s="83"/>
    </row>
    <row r="17" spans="1:8" ht="14.1" customHeight="1">
      <c r="B17" s="339" t="str">
        <f>IF(Indice_index!$Z$1=1,"PCM","PRP")</f>
        <v>PCM</v>
      </c>
      <c r="C17" s="278" t="str">
        <f>IF(Indice_index!$Z$1=1,"P002 - Governação","P002 - Governance")</f>
        <v>P002 - Governação</v>
      </c>
      <c r="D17" s="279" t="str">
        <f>IF(Indice_index!$Z$1=1,"001 - Serviços Gerais da Administração Pública - Administração geral","001 - General public services - General Administration")</f>
        <v>001 - Serviços Gerais da Administração Pública - Administração geral</v>
      </c>
      <c r="E17" s="4">
        <v>21.526848999999999</v>
      </c>
      <c r="F17" s="4">
        <v>36.105128999999998</v>
      </c>
      <c r="G17" s="4">
        <v>22.104649999999999</v>
      </c>
    </row>
    <row r="18" spans="1:8" ht="14.1" customHeight="1">
      <c r="B18" s="339"/>
      <c r="C18" s="278"/>
      <c r="D18" s="279" t="str">
        <f>IF(Indice_index!$Z$1=1,"011 - Segurança e ordem públicas - Forças de segurança","011 - Public safety and order - Security forces")</f>
        <v>011 - Segurança e ordem públicas - Forças de segurança</v>
      </c>
      <c r="E18" s="4">
        <v>1.2815129999999999</v>
      </c>
      <c r="F18" s="4">
        <v>2.4015819999999999</v>
      </c>
      <c r="G18" s="4">
        <v>1.120069</v>
      </c>
    </row>
    <row r="19" spans="1:8" ht="14.1" customHeight="1">
      <c r="B19" s="339"/>
      <c r="C19" s="278"/>
      <c r="D19" s="279" t="str">
        <f>IF(Indice_index!$Z$1=1,"037 - Serviços culturais, recreativos e religiosos - Desporto, recreio e lazer","037 - Cultural, recreational and religious services - Sports, recreation and leisure")</f>
        <v>037 - Serviços culturais, recreativos e religiosos - Desporto, recreio e lazer</v>
      </c>
      <c r="E19" s="4">
        <v>4.9958749999999998</v>
      </c>
      <c r="F19" s="4">
        <v>5.0716510000000001</v>
      </c>
      <c r="G19" s="4">
        <v>3.075952</v>
      </c>
    </row>
    <row r="20" spans="1:8" ht="14.1" customHeight="1">
      <c r="A20" s="82"/>
      <c r="B20" s="339"/>
      <c r="C20" s="278"/>
      <c r="D20" s="279" t="str">
        <f>IF(Indice_index!$Z$1=1,"038 - Serviços culturais, recreativos e religiosos - Comunicação social","038 - Cultural, recreational and religious services - Media")</f>
        <v>038 - Serviços culturais, recreativos e religiosos - Comunicação social</v>
      </c>
      <c r="E20" s="4">
        <v>23.771412000000002</v>
      </c>
      <c r="F20" s="4">
        <v>26.523340999999999</v>
      </c>
      <c r="G20" s="4">
        <v>2.7519290000000001</v>
      </c>
      <c r="H20" s="83"/>
    </row>
    <row r="21" spans="1:8" ht="14.1" customHeight="1">
      <c r="B21" s="339"/>
      <c r="C21" s="278"/>
      <c r="D21" s="279" t="str">
        <f>IF(Indice_index!$Z$1=1,"063 - Outras funções económicas - Administração e regulamentação","063 - Outher economic functions - Administration e regulation")</f>
        <v>063 - Outras funções económicas - Administração e regulamentação</v>
      </c>
      <c r="E21" s="4">
        <v>2.258553</v>
      </c>
      <c r="F21" s="4">
        <v>4.9594300000000002</v>
      </c>
      <c r="G21" s="4">
        <v>4.2415139999999996</v>
      </c>
    </row>
    <row r="22" spans="1:8" ht="14.1" customHeight="1">
      <c r="B22" s="339"/>
      <c r="C22" s="278"/>
      <c r="D22" s="279" t="str">
        <f>IF(Indice_index!$Z$1=1,"068 - Outras funções - Diversas não especificadas","068 - Other functions - Various unspecified")</f>
        <v>068 - Outras funções - Diversas não especificadas</v>
      </c>
      <c r="E22" s="4">
        <v>0.19961200000000001</v>
      </c>
      <c r="F22" s="4">
        <v>0.200901</v>
      </c>
      <c r="G22" s="4">
        <v>0.200901</v>
      </c>
    </row>
    <row r="23" spans="1:8" ht="14.1" customHeight="1">
      <c r="B23" s="339"/>
      <c r="C23" s="278"/>
      <c r="D23" s="279"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23" s="4">
        <v>0</v>
      </c>
      <c r="F23" s="4">
        <v>0.82037300000000002</v>
      </c>
      <c r="G23" s="4">
        <v>0.82037300000000002</v>
      </c>
    </row>
    <row r="24" spans="1:8" ht="14.1" customHeight="1">
      <c r="B24" s="339"/>
      <c r="C24" s="278"/>
      <c r="D24" s="279" t="str">
        <f>IF(Indice_index!$Z$1=1,"085 - Florestas","085 - Forests")</f>
        <v>085 - Florestas</v>
      </c>
      <c r="E24" s="4">
        <v>3.6056999999999999E-2</v>
      </c>
      <c r="F24" s="4">
        <v>3.6056999999999999E-2</v>
      </c>
      <c r="G24" s="4">
        <v>0</v>
      </c>
    </row>
    <row r="25" spans="1:8" ht="14.1" customHeight="1">
      <c r="B25" s="278"/>
      <c r="C25" s="278"/>
      <c r="D25" s="340" t="str">
        <f>B17</f>
        <v>PCM</v>
      </c>
      <c r="E25" s="134">
        <f>SUM(E17:E24)</f>
        <v>54.069870999999999</v>
      </c>
      <c r="F25" s="134">
        <f>SUM(F17:F24)</f>
        <v>76.118464000000003</v>
      </c>
      <c r="G25" s="134">
        <f>SUM(G17:G24)</f>
        <v>34.315387999999999</v>
      </c>
    </row>
    <row r="26" spans="1:8" ht="14.1" customHeight="1">
      <c r="B26" s="339" t="str">
        <f>IF(Indice_index!$Z$1=1,"MCT","MTC")</f>
        <v>MCT</v>
      </c>
      <c r="C26" s="278" t="str">
        <f>IF(Indice_index!$Z$1=1,"P002 - Governação","P002 - Governance")</f>
        <v>P002 - Governação</v>
      </c>
      <c r="D26" s="279" t="str">
        <f>IF(Indice_index!$Z$1=1,"001 - Serviços Gerais da Administração Pública - Administração geral","001 - General public services - General Administration")</f>
        <v>001 - Serviços Gerais da Administração Pública - Administração geral</v>
      </c>
      <c r="E26" s="4">
        <v>0.49976700000000002</v>
      </c>
      <c r="F26" s="4">
        <v>0.52391399999999999</v>
      </c>
      <c r="G26" s="4">
        <v>0.131578</v>
      </c>
    </row>
    <row r="27" spans="1:8" ht="14.1" customHeight="1">
      <c r="B27" s="339"/>
      <c r="C27" s="278"/>
      <c r="D27" s="279" t="str">
        <f>IF(Indice_index!$Z$1=1,"003 - Serv. Gerais da A.P. - Cooperação económica externa","003 - General public services - External economic cooperation")</f>
        <v>003 - Serv. Gerais da A.P. - Cooperação económica externa</v>
      </c>
      <c r="E27" s="4">
        <v>4.6637999999999999E-2</v>
      </c>
      <c r="F27" s="4">
        <v>0.108725</v>
      </c>
      <c r="G27" s="4">
        <v>6.2087000000000003E-2</v>
      </c>
    </row>
    <row r="28" spans="1:8" ht="14.1" customHeight="1">
      <c r="B28" s="339"/>
      <c r="C28" s="278"/>
      <c r="D28" s="279" t="str">
        <f>IF(Indice_index!$Z$1=1,"020 - Saúde - Administração e Regulamentação","020 - Health - Administration and regulations")</f>
        <v>020 - Saúde - Administração e Regulamentação</v>
      </c>
      <c r="E28" s="4">
        <v>0</v>
      </c>
      <c r="F28" s="4">
        <v>1.6689999999999999E-3</v>
      </c>
      <c r="G28" s="4">
        <v>1.6689999999999999E-3</v>
      </c>
    </row>
    <row r="29" spans="1:8" ht="14.1" customHeight="1">
      <c r="B29" s="339"/>
      <c r="C29" s="278"/>
      <c r="D29" s="279" t="str">
        <f>IF(Indice_index!$Z$1=1,"028 - Habitação e serviços coletivos - Administração e regulamentação","028 - Housing and Common services - Administration and regulations")</f>
        <v>028 - Habitação e serviços coletivos - Administração e regulamentação</v>
      </c>
      <c r="E29" s="4">
        <v>12.619331000000001</v>
      </c>
      <c r="F29" s="4">
        <v>32.886082000000002</v>
      </c>
      <c r="G29" s="4">
        <v>16.732492000000001</v>
      </c>
    </row>
    <row r="30" spans="1:8" ht="14.1" customHeight="1">
      <c r="B30" s="339"/>
      <c r="C30" s="278"/>
      <c r="D30" s="279" t="str">
        <f>IF(Indice_index!$Z$1=1,"031 - Habitação e serviços coletivos - Ordenamento do território","031 - Housing and Common services - Land-use")</f>
        <v>031 - Habitação e serviços coletivos - Ordenamento do território</v>
      </c>
      <c r="E30" s="4">
        <v>0.786389</v>
      </c>
      <c r="F30" s="4">
        <v>1.693668</v>
      </c>
      <c r="G30" s="4">
        <v>1.2677080000000001</v>
      </c>
    </row>
    <row r="31" spans="1:8" ht="14.1" customHeight="1">
      <c r="B31" s="339"/>
      <c r="C31" s="278"/>
      <c r="D31" s="279" t="str">
        <f>IF(Indice_index!$Z$1=1,"033 - Habitação e serviços coletivos - Protecção do meio ambiente e conservação da natureza","033 - Housing and Common services - Protection of the Environment and conservation of nature")</f>
        <v>033 - Habitação e serviços coletivos - Protecção do meio ambiente e conservação da natureza</v>
      </c>
      <c r="E31" s="4">
        <v>0.488703</v>
      </c>
      <c r="F31" s="4">
        <v>0.507907</v>
      </c>
      <c r="G31" s="4">
        <v>0.30854700000000002</v>
      </c>
    </row>
    <row r="32" spans="1:8" ht="14.1" customHeight="1">
      <c r="B32" s="339"/>
      <c r="C32" s="278"/>
      <c r="D32" s="279" t="str">
        <f>IF(Indice_index!$Z$1=1,"036 - Serviços culturais, recreativos e religiosos - Cultura","036 - Cultural, recreational and religious services - Culture")</f>
        <v>036 - Serviços culturais, recreativos e religiosos - Cultura</v>
      </c>
      <c r="E32" s="4">
        <v>0.102294</v>
      </c>
      <c r="F32" s="4">
        <v>0.111342</v>
      </c>
      <c r="G32" s="4">
        <v>0.102938</v>
      </c>
    </row>
    <row r="33" spans="2:7" ht="14.1" customHeight="1">
      <c r="B33" s="339"/>
      <c r="C33" s="278"/>
      <c r="D33" s="279" t="str">
        <f>IF(Indice_index!$Z$1=1,"042 - Agricultura, pecuária, silv, caça, pesca - Agricultura e pecuária","042 - Crops, livestock, forestry, fisheries - Crops and livestock")</f>
        <v>042 - Agricultura, pecuária, silv, caça, pesca - Agricultura e pecuária</v>
      </c>
      <c r="E33" s="4">
        <v>0.94246700000000005</v>
      </c>
      <c r="F33" s="4">
        <v>1.1378760000000001</v>
      </c>
      <c r="G33" s="4">
        <v>0.195409</v>
      </c>
    </row>
    <row r="34" spans="2:7" ht="14.1" customHeight="1">
      <c r="B34" s="339"/>
      <c r="C34" s="278"/>
      <c r="D34" s="279" t="str">
        <f>IF(Indice_index!$Z$1=1,"045 - Agricultura, pecuária, silv, caça, pesca - Pesca","045 - Crops, livestock, forestry, fisheries - Fisheries")</f>
        <v>045 - Agricultura, pecuária, silv, caça, pesca - Pesca</v>
      </c>
      <c r="E34" s="4">
        <v>0.110016</v>
      </c>
      <c r="F34" s="4">
        <v>0.16390199999999999</v>
      </c>
      <c r="G34" s="4">
        <v>5.3886000000000003E-2</v>
      </c>
    </row>
    <row r="35" spans="2:7" ht="14.1" customHeight="1">
      <c r="B35" s="339"/>
      <c r="C35" s="278"/>
      <c r="D35" s="279" t="str">
        <f>IF(Indice_index!$Z$1=1,"063 - Outras funções económicas - Administração e regulamentação","063 - Outher economic functions - Administration e regulation")</f>
        <v>063 - Outras funções económicas - Administração e regulamentação</v>
      </c>
      <c r="E35" s="4">
        <v>7.7937209999999997</v>
      </c>
      <c r="F35" s="4">
        <v>9.0287749999999996</v>
      </c>
      <c r="G35" s="4">
        <v>7.1156999999999998E-2</v>
      </c>
    </row>
    <row r="36" spans="2:7" ht="14.1" customHeight="1">
      <c r="B36" s="339"/>
      <c r="C36" s="278"/>
      <c r="D36" s="279" t="str">
        <f>IF(Indice_index!$Z$1=1,"065 - Outras funções económicas - Diversas não especificadas","065 - Other economic functions - Various unspecified")</f>
        <v>065 - Outras funções económicas - Diversas não especificadas</v>
      </c>
      <c r="E36" s="4">
        <v>8.201E-3</v>
      </c>
      <c r="F36" s="4">
        <v>0.52059599999999995</v>
      </c>
      <c r="G36" s="4">
        <v>0.52059599999999995</v>
      </c>
    </row>
    <row r="37" spans="2:7" ht="14.1" customHeight="1">
      <c r="B37" s="339"/>
      <c r="C37" s="278"/>
      <c r="D37" s="279" t="str">
        <f>IF(Indice_index!$Z$1=1,"100 - Iniciativas de  Ação Climática","100 - Climate Action Iniciatives")</f>
        <v>100 - Iniciativas de  Ação Climática</v>
      </c>
      <c r="E37" s="4">
        <v>3.4605999999999998E-2</v>
      </c>
      <c r="F37" s="4">
        <v>3.4605999999999998E-2</v>
      </c>
      <c r="G37" s="4">
        <v>0</v>
      </c>
    </row>
    <row r="38" spans="2:7" ht="14.1" customHeight="1">
      <c r="B38" s="278"/>
      <c r="C38" s="278"/>
      <c r="D38" s="340" t="str">
        <f>B26</f>
        <v>MCT</v>
      </c>
      <c r="E38" s="134">
        <f>SUM(E26:E37)</f>
        <v>23.432133</v>
      </c>
      <c r="F38" s="134">
        <f>SUM(F26:F37)</f>
        <v>46.719061999999994</v>
      </c>
      <c r="G38" s="134">
        <f>SUM(G26:G37)</f>
        <v>19.448067000000002</v>
      </c>
    </row>
    <row r="39" spans="2:7" ht="14.1" customHeight="1">
      <c r="B39" s="278"/>
      <c r="C39" s="278"/>
      <c r="D39" s="278" t="str">
        <f>C26</f>
        <v>P002 - Governação</v>
      </c>
      <c r="E39" s="134">
        <f t="shared" ref="E39:F39" si="0">SUM(E25,E38)</f>
        <v>77.502003999999999</v>
      </c>
      <c r="F39" s="134">
        <f t="shared" si="0"/>
        <v>122.837526</v>
      </c>
      <c r="G39" s="134">
        <f>SUM(G25,G38)</f>
        <v>53.763455</v>
      </c>
    </row>
    <row r="40" spans="2:7" ht="14.1" customHeight="1">
      <c r="B40" s="339" t="str">
        <f>IF(Indice_index!$Z$1=1,"MNE","MFA")</f>
        <v>MNE</v>
      </c>
      <c r="C40" s="278" t="str">
        <f>IF(Indice_index!$Z$1=1,"P003 - Representação Externa","P003 - External Representation")</f>
        <v>P003 - Representação Externa</v>
      </c>
      <c r="D40" s="279" t="str">
        <f>IF(Indice_index!$Z$1=1,"002 - Serviços Gerais da A.P. - Negócios estrangeiros","002 - General public services - Foreign affairs")</f>
        <v>002 - Serviços Gerais da A.P. - Negócios estrangeiros</v>
      </c>
      <c r="E40" s="4">
        <v>16.636869999999998</v>
      </c>
      <c r="F40" s="4">
        <v>22.303847000000001</v>
      </c>
      <c r="G40" s="4">
        <v>9.1631250000000009</v>
      </c>
    </row>
    <row r="41" spans="2:7" ht="14.1" customHeight="1">
      <c r="B41" s="339"/>
      <c r="C41" s="278"/>
      <c r="D41" s="279" t="str">
        <f>IF(Indice_index!$Z$1=1,"003 - Serv. Gerais da A.P. - Cooperação económica externa","003 - General public services - External economic cooperation")</f>
        <v>003 - Serv. Gerais da A.P. - Cooperação económica externa</v>
      </c>
      <c r="E41" s="4">
        <v>0.197301</v>
      </c>
      <c r="F41" s="4">
        <v>2.0475490000000001</v>
      </c>
      <c r="G41" s="4">
        <v>2.0475490000000001</v>
      </c>
    </row>
    <row r="42" spans="2:7" ht="14.1" customHeight="1">
      <c r="B42" s="339"/>
      <c r="C42" s="278"/>
      <c r="D42" s="279" t="str">
        <f>IF(Indice_index!$Z$1=1,"103 - Impacto do choque geopolítico","103 - Impact of geopolitical shock")</f>
        <v>103 - Impacto do choque geopolítico</v>
      </c>
      <c r="E42" s="4">
        <v>2.3E-2</v>
      </c>
      <c r="F42" s="4">
        <v>2.3E-2</v>
      </c>
      <c r="G42" s="4">
        <v>0</v>
      </c>
    </row>
    <row r="43" spans="2:7" ht="14.1" customHeight="1">
      <c r="B43" s="278"/>
      <c r="C43" s="278"/>
      <c r="D43" s="278" t="str">
        <f>C40</f>
        <v>P003 - Representação Externa</v>
      </c>
      <c r="E43" s="134">
        <f>SUM(E40:E42)</f>
        <v>16.857170999999997</v>
      </c>
      <c r="F43" s="134">
        <f>SUM(F40:F42)</f>
        <v>24.374396000000001</v>
      </c>
      <c r="G43" s="134">
        <f>SUM(G40:G42)</f>
        <v>11.210674000000001</v>
      </c>
    </row>
    <row r="44" spans="2:7" ht="14.1" customHeight="1">
      <c r="B44" s="339" t="str">
        <f>IF(Indice_index!$Z$1=1,"MF","MF")</f>
        <v>MF</v>
      </c>
      <c r="C44" s="278" t="str">
        <f>IF(Indice_index!$Z$1=1,"P004 - Finanças","P004 - Finance and Public Administration")</f>
        <v>P004 - Finanças</v>
      </c>
      <c r="D44" s="279" t="str">
        <f>IF(Indice_index!$Z$1=1,"001 - Serviços Gerais da Administração Pública - Administração geral","001 - General public services - General Administration")</f>
        <v>001 - Serviços Gerais da Administração Pública - Administração geral</v>
      </c>
      <c r="E44" s="4">
        <v>77.982654999999994</v>
      </c>
      <c r="F44" s="4">
        <v>100.484784</v>
      </c>
      <c r="G44" s="4">
        <v>41.423845</v>
      </c>
    </row>
    <row r="45" spans="2:7" ht="14.1" customHeight="1">
      <c r="B45" s="339"/>
      <c r="C45" s="278"/>
      <c r="D45" s="279" t="str">
        <f>IF(Indice_index!$Z$1=1,"003 - Serv. Gerais da A.P. - Cooperação económica externa","003 - General public services - External economic cooperation")</f>
        <v>003 - Serv. Gerais da A.P. - Cooperação económica externa</v>
      </c>
      <c r="E45" s="4">
        <v>8.5126999999999994E-2</v>
      </c>
      <c r="F45" s="4">
        <v>0.298788</v>
      </c>
      <c r="G45" s="4">
        <v>0.292659</v>
      </c>
    </row>
    <row r="46" spans="2:7" ht="14.1" customHeight="1">
      <c r="B46" s="339"/>
      <c r="C46" s="278"/>
      <c r="D46" s="279" t="str">
        <f>IF(Indice_index!$Z$1=1,"011 - Segurança e ordem públicas - Forças de segurança","011 - Public safety and order - Security forces")</f>
        <v>011 - Segurança e ordem públicas - Forças de segurança</v>
      </c>
      <c r="E46" s="4">
        <v>0</v>
      </c>
      <c r="F46" s="4">
        <v>0</v>
      </c>
      <c r="G46" s="4">
        <v>0.13573099999999999</v>
      </c>
    </row>
    <row r="47" spans="2:7" ht="14.1" customHeight="1">
      <c r="B47" s="339"/>
      <c r="C47" s="278"/>
      <c r="D47" s="279" t="str">
        <f>IF(Indice_index!$Z$1=1,"027 - Segurança e ação social - Ação social","027 - Social Security and Action - Social Action")</f>
        <v>027 - Segurança e ação social - Ação social</v>
      </c>
      <c r="E47" s="4">
        <v>2.5999300000000001</v>
      </c>
      <c r="F47" s="4">
        <v>3.1381679999999998</v>
      </c>
      <c r="G47" s="4">
        <v>1.651319</v>
      </c>
    </row>
    <row r="48" spans="2:7" ht="14.1" customHeight="1">
      <c r="B48" s="339"/>
      <c r="C48" s="278"/>
      <c r="D48" s="279" t="str">
        <f>IF(Indice_index!$Z$1=1,"065 - Outras funções económicas - Diversas não especificadas","065 - Other economic functions - Various unspecified")</f>
        <v>065 - Outras funções económicas - Diversas não especificadas</v>
      </c>
      <c r="E48" s="4">
        <v>24.985552999999999</v>
      </c>
      <c r="F48" s="4">
        <v>140.41107700000001</v>
      </c>
      <c r="G48" s="4">
        <v>133.07080400000001</v>
      </c>
    </row>
    <row r="49" spans="2:7" ht="14.1" customHeight="1">
      <c r="B49" s="339"/>
      <c r="C49" s="278"/>
      <c r="D49" s="279" t="str">
        <f>IF(Indice_index!$Z$1=1,"068 - Outras funções - Diversas não especificadas","068 - Other functions - Various unspecified")</f>
        <v>068 - Outras funções - Diversas não especificadas</v>
      </c>
      <c r="E49" s="4">
        <v>155</v>
      </c>
      <c r="F49" s="4">
        <v>155</v>
      </c>
      <c r="G49" s="4">
        <v>41.651797999999999</v>
      </c>
    </row>
    <row r="50" spans="2:7" ht="14.1" customHeight="1">
      <c r="B50" s="278"/>
      <c r="C50" s="278"/>
      <c r="D50" s="278" t="str">
        <f>C44</f>
        <v>P004 - Finanças</v>
      </c>
      <c r="E50" s="134">
        <f>SUM(E44:E49)</f>
        <v>260.65326499999998</v>
      </c>
      <c r="F50" s="134">
        <f>SUM(F44:F49)</f>
        <v>399.33281699999998</v>
      </c>
      <c r="G50" s="134">
        <f>SUM(G44:G49)</f>
        <v>218.226156</v>
      </c>
    </row>
    <row r="51" spans="2:7" ht="14.1" customHeight="1">
      <c r="B51" s="341"/>
      <c r="C51" s="278" t="str">
        <f>IF(Indice_index!$Z$1=1,"P005 - Gestão da Dívida Pública","P005 - Public Debt Management")</f>
        <v>P005 - Gestão da Dívida Pública</v>
      </c>
      <c r="D51" s="279" t="str">
        <f>IF(Indice_index!$Z$1=1,"066 - Outras funções - Operações da dívida pública","066 - Other functions - Public debt operations")</f>
        <v>066 - Outras funções - Operações da dívida pública</v>
      </c>
      <c r="E51" s="4">
        <v>0.229652</v>
      </c>
      <c r="F51" s="4">
        <v>0.71573299999999995</v>
      </c>
      <c r="G51" s="4">
        <v>0.71573299999999995</v>
      </c>
    </row>
    <row r="52" spans="2:7" ht="14.1" customHeight="1">
      <c r="B52" s="339" t="str">
        <f>IF(Indice_index!$Z$1=1,"MDN","MND")</f>
        <v>MDN</v>
      </c>
      <c r="C52" s="278" t="str">
        <f>IF(Indice_index!$Z$1=1,"P006 - Defesa","P006 - Defence")</f>
        <v>P006 - Defesa</v>
      </c>
      <c r="D52" s="279" t="str">
        <f>IF(Indice_index!$Z$1=1,"004 - Serv. Gerais da A.P. - Investigação científica de carácter geral","004 - General public services - General scientific research")</f>
        <v>004 - Serv. Gerais da A.P. - Investigação científica de carácter geral</v>
      </c>
      <c r="E52" s="4">
        <v>2.5250000000000002E-2</v>
      </c>
      <c r="F52" s="4">
        <v>2.5250000000000002E-2</v>
      </c>
      <c r="G52" s="4">
        <v>2.5250000000000002E-2</v>
      </c>
    </row>
    <row r="53" spans="2:7" ht="14.1" customHeight="1">
      <c r="B53" s="339"/>
      <c r="C53" s="278"/>
      <c r="D53" s="279" t="str">
        <f>IF(Indice_index!$Z$1=1,"005 - Defesa Nacional - Administração e regulamentação","005 - National Defence - Administration and regulations")</f>
        <v>005 - Defesa Nacional - Administração e regulamentação</v>
      </c>
      <c r="E53" s="4">
        <v>192.38512499999999</v>
      </c>
      <c r="F53" s="4">
        <v>196.82954699999999</v>
      </c>
      <c r="G53" s="4">
        <v>192.161113</v>
      </c>
    </row>
    <row r="54" spans="2:7" ht="14.1" customHeight="1">
      <c r="B54" s="339"/>
      <c r="C54" s="278"/>
      <c r="D54" s="279" t="str">
        <f>IF(Indice_index!$Z$1=1,"006 - Defesa Nacional - Investigação","006 - National Defence - Research")</f>
        <v>006 - Defesa Nacional - Investigação</v>
      </c>
      <c r="E54" s="4">
        <v>1.681063</v>
      </c>
      <c r="F54" s="4">
        <v>4.1852580000000001</v>
      </c>
      <c r="G54" s="4">
        <v>4.1852580000000001</v>
      </c>
    </row>
    <row r="55" spans="2:7" ht="14.1" customHeight="1">
      <c r="B55" s="339"/>
      <c r="C55" s="278"/>
      <c r="D55" s="279" t="str">
        <f>IF(Indice_index!$Z$1=1,"007 - Defesa Nacional - Forças Armadas","007 - National Defence - Armed Forces")</f>
        <v>007 - Defesa Nacional - Forças Armadas</v>
      </c>
      <c r="E55" s="4">
        <v>75.807523000000003</v>
      </c>
      <c r="F55" s="4">
        <v>117.510271</v>
      </c>
      <c r="G55" s="4">
        <v>62.432813000000003</v>
      </c>
    </row>
    <row r="56" spans="2:7" ht="14.1" customHeight="1">
      <c r="B56" s="339"/>
      <c r="C56" s="278"/>
      <c r="D56" s="279" t="str">
        <f>IF(Indice_index!$Z$1=1,"008 - Defesa Nacional - Cooperação militar externa","008 - National Defence - Foreign military cooperation")</f>
        <v>008 - Defesa Nacional - Cooperação militar externa</v>
      </c>
      <c r="E56" s="4">
        <v>0.40054200000000001</v>
      </c>
      <c r="F56" s="4">
        <v>0.89046599999999998</v>
      </c>
      <c r="G56" s="4">
        <v>0.89046599999999998</v>
      </c>
    </row>
    <row r="57" spans="2:7" ht="14.1" customHeight="1">
      <c r="B57" s="339"/>
      <c r="C57" s="278"/>
      <c r="D57" s="279" t="str">
        <f>IF(Indice_index!$Z$1=1,"014 - Segurança e ordem públicas - Protecção civil e luta contra incêndios","014 - Public safety and order - Civil Protection and  fire fighting")</f>
        <v>014 - Segurança e ordem públicas - Protecção civil e luta contra incêndios</v>
      </c>
      <c r="E57" s="4">
        <v>72.454167999999996</v>
      </c>
      <c r="F57" s="4">
        <v>72.454167999999996</v>
      </c>
      <c r="G57" s="4">
        <v>31.200810000000001</v>
      </c>
    </row>
    <row r="58" spans="2:7" ht="14.1" customHeight="1">
      <c r="B58" s="339"/>
      <c r="C58" s="278"/>
      <c r="D58" s="279" t="str">
        <f>IF(Indice_index!$Z$1=1,"017 - Educação - Estabelecimentos de ensino não superior","017 - Education - Non higher educations institutions")</f>
        <v>017 - Educação - Estabelecimentos de ensino não superior</v>
      </c>
      <c r="E58" s="4">
        <v>0.13481699999999999</v>
      </c>
      <c r="F58" s="4">
        <v>0.13481699999999999</v>
      </c>
      <c r="G58" s="4">
        <v>0.13482</v>
      </c>
    </row>
    <row r="59" spans="2:7" ht="14.1" customHeight="1">
      <c r="B59" s="339"/>
      <c r="C59" s="278"/>
      <c r="D59" s="279" t="str">
        <f>IF(Indice_index!$Z$1=1,"018 - Educação - Estabelecimentos de ensino superior","018 - Education - Higher educations institutions")</f>
        <v>018 - Educação - Estabelecimentos de ensino superior</v>
      </c>
      <c r="E59" s="4">
        <v>9.8180000000000003E-3</v>
      </c>
      <c r="F59" s="4">
        <v>9.8180000000000003E-3</v>
      </c>
      <c r="G59" s="4">
        <v>9.8150000000000008E-3</v>
      </c>
    </row>
    <row r="60" spans="2:7" ht="14.1" customHeight="1">
      <c r="B60" s="339"/>
      <c r="C60" s="278"/>
      <c r="D60" s="279" t="str">
        <f>IF(Indice_index!$Z$1=1,"022 - Saúde - Hospitais e clínicas","022 - Health - Hospitals and clinics")</f>
        <v>022 - Saúde - Hospitais e clínicas</v>
      </c>
      <c r="E60" s="4">
        <v>0.18503500000000001</v>
      </c>
      <c r="F60" s="4">
        <v>0.54649000000000003</v>
      </c>
      <c r="G60" s="4">
        <v>0.37716899999999998</v>
      </c>
    </row>
    <row r="61" spans="2:7" ht="14.1" customHeight="1">
      <c r="B61" s="339"/>
      <c r="C61" s="278"/>
      <c r="D61" s="279" t="str">
        <f>IF(Indice_index!$Z$1=1,"027 - Segurança e acção social - Acção social","027 - Social Security and Action - Social Action")</f>
        <v>027 - Segurança e acção social - Acção social</v>
      </c>
      <c r="E61" s="4">
        <v>14.235879000000001</v>
      </c>
      <c r="F61" s="4">
        <v>18.820007</v>
      </c>
      <c r="G61" s="4">
        <v>4.5841279999999998</v>
      </c>
    </row>
    <row r="62" spans="2:7" ht="14.1" customHeight="1">
      <c r="B62" s="339"/>
      <c r="C62" s="278"/>
      <c r="D62" s="279" t="str">
        <f>IF(Indice_index!$Z$1=1,"049 - Industria e energia - Indústrias transformadoras","049 - Industry and energy - Manufacturing industries")</f>
        <v>049 - Industria e energia - Indústrias transformadoras</v>
      </c>
      <c r="E62" s="4">
        <v>2.0560659999999999</v>
      </c>
      <c r="F62" s="4">
        <v>3.23739</v>
      </c>
      <c r="G62" s="4">
        <v>3.23739</v>
      </c>
    </row>
    <row r="63" spans="2:7" ht="14.1" customHeight="1">
      <c r="B63" s="339"/>
      <c r="C63" s="278"/>
      <c r="D63" s="279" t="str">
        <f>IF(Indice_index!$Z$1=1,"084 - Simplex +","084 - Simplex +")</f>
        <v>084 - Simplex +</v>
      </c>
      <c r="E63" s="4">
        <v>0.1182</v>
      </c>
      <c r="F63" s="4">
        <v>0.1182</v>
      </c>
      <c r="G63" s="4">
        <v>0.1182</v>
      </c>
    </row>
    <row r="64" spans="2:7" ht="14.1" customHeight="1">
      <c r="B64" s="339"/>
      <c r="C64" s="278"/>
      <c r="D64" s="279" t="str">
        <f>IF(Indice_index!$Z$1=1,"100 - Iniciativas de  Ação Climática","100 - Climate Action Iniciatives")</f>
        <v>100 - Iniciativas de  Ação Climática</v>
      </c>
      <c r="E64" s="4">
        <v>2.8316999999999998E-2</v>
      </c>
      <c r="F64" s="4">
        <v>2.8316999999999998E-2</v>
      </c>
      <c r="G64" s="4">
        <v>5.7169999999999999E-3</v>
      </c>
    </row>
    <row r="65" spans="2:7" ht="14.1" customHeight="1">
      <c r="B65" s="278"/>
      <c r="C65" s="278"/>
      <c r="D65" s="278" t="str">
        <f>C52</f>
        <v>P006 - Defesa</v>
      </c>
      <c r="E65" s="134">
        <f>SUM(E52:E64)</f>
        <v>359.52180299999998</v>
      </c>
      <c r="F65" s="134">
        <f>SUM(F52:F64)</f>
        <v>414.78999899999997</v>
      </c>
      <c r="G65" s="134">
        <f>SUM(G52:G64)</f>
        <v>299.36294900000001</v>
      </c>
    </row>
    <row r="66" spans="2:7" ht="14.1" customHeight="1">
      <c r="B66" s="339" t="str">
        <f>IF(Indice_index!$Z$1=1,"MJ","MJ")</f>
        <v>MJ</v>
      </c>
      <c r="C66" s="278" t="str">
        <f>IF(Indice_index!$Z$1=1,"P007 - Justiça","P007 - Justice")</f>
        <v>P007 - Justiça</v>
      </c>
      <c r="D66" s="279" t="str">
        <f>IF(Indice_index!$Z$1=1,"001 - Serviços Gerais da Administração Pública - Administração geral","001 - General public services - General Administration")</f>
        <v>001 - Serviços Gerais da Administração Pública - Administração geral</v>
      </c>
      <c r="E66" s="4">
        <v>3.5881000000000003E-2</v>
      </c>
      <c r="F66" s="4">
        <v>3.5881000000000003E-2</v>
      </c>
      <c r="G66" s="4">
        <v>3.5881000000000003E-2</v>
      </c>
    </row>
    <row r="67" spans="2:7" ht="14.1" customHeight="1">
      <c r="B67" s="339"/>
      <c r="C67" s="278"/>
      <c r="D67" s="279" t="str">
        <f>IF(Indice_index!$Z$1=1,"009 - Segurança e ordem públicas - Administração e regulamentação","009 - Public safety and order - Administration and regulations")</f>
        <v>009 - Segurança e ordem públicas - Administração e regulamentação</v>
      </c>
      <c r="E67" s="4">
        <v>56.604210000000002</v>
      </c>
      <c r="F67" s="4">
        <v>81.576502000000005</v>
      </c>
      <c r="G67" s="4">
        <v>68.669265999999993</v>
      </c>
    </row>
    <row r="68" spans="2:7" ht="14.1" customHeight="1">
      <c r="B68" s="339"/>
      <c r="C68" s="278"/>
      <c r="D68" s="279" t="str">
        <f>IF(Indice_index!$Z$1=1,"010 - Segurança e ordem públicas - Investigação","010 - Public safety and order - Research")</f>
        <v>010 - Segurança e ordem públicas - Investigação</v>
      </c>
      <c r="E68" s="4">
        <v>4.7600519999999999</v>
      </c>
      <c r="F68" s="4">
        <v>9.9425969999999992</v>
      </c>
      <c r="G68" s="4">
        <v>5.1961180000000002</v>
      </c>
    </row>
    <row r="69" spans="2:7" ht="14.1" customHeight="1">
      <c r="B69" s="339"/>
      <c r="C69" s="278"/>
      <c r="D69" s="279" t="str">
        <f>IF(Indice_index!$Z$1=1,"012 - Segurança e ordem públicas - Sistema judiciário","012 - Public safety and order - Judicial system")</f>
        <v>012 - Segurança e ordem públicas - Sistema judiciário</v>
      </c>
      <c r="E69" s="4">
        <v>17.788979000000001</v>
      </c>
      <c r="F69" s="4">
        <v>21.908847999999999</v>
      </c>
      <c r="G69" s="4">
        <v>10.104115</v>
      </c>
    </row>
    <row r="70" spans="2:7" ht="14.1" customHeight="1">
      <c r="B70" s="339"/>
      <c r="C70" s="278"/>
      <c r="D70" s="279" t="str">
        <f>IF(Indice_index!$Z$1=1,"013 - Segurança e ordem públicas - Sistema prisional, de reinserção social e de menores","013 - Public safety and order - Prison, social reintegration and of minors system")</f>
        <v>013 - Segurança e ordem públicas - Sistema prisional, de reinserção social e de menores</v>
      </c>
      <c r="E70" s="4">
        <v>13.669302999999999</v>
      </c>
      <c r="F70" s="4">
        <v>15.173767</v>
      </c>
      <c r="G70" s="4">
        <v>1.0099130000000001</v>
      </c>
    </row>
    <row r="71" spans="2:7" ht="14.1" customHeight="1">
      <c r="B71" s="339"/>
      <c r="C71" s="278"/>
      <c r="D71" s="279" t="str">
        <f>IF(Indice_index!$Z$1=1,"063 - Outras funções económicas - Administração e regulamentação","063 - Outher economic functions - Administration e regulation")</f>
        <v>063 - Outras funções económicas - Administração e regulamentação</v>
      </c>
      <c r="E71" s="4">
        <v>0.76771999999999996</v>
      </c>
      <c r="F71" s="4">
        <v>2.6878120000000001</v>
      </c>
      <c r="G71" s="4">
        <v>2.6878120000000001</v>
      </c>
    </row>
    <row r="72" spans="2:7" ht="14.1" customHeight="1">
      <c r="B72" s="339"/>
      <c r="C72" s="278"/>
      <c r="D72" s="279" t="str">
        <f>IF(Indice_index!$Z$1=1,"065 - Outras funções económicas - Diversas não especificadas","065 - Other economic functions - Various unspecified")</f>
        <v>065 - Outras funções económicas - Diversas não especificadas</v>
      </c>
      <c r="E72" s="4">
        <v>0.33153100000000002</v>
      </c>
      <c r="F72" s="4">
        <v>0.36834</v>
      </c>
      <c r="G72" s="4">
        <v>0.28668399999999999</v>
      </c>
    </row>
    <row r="73" spans="2:7" ht="14.1" customHeight="1">
      <c r="B73" s="339"/>
      <c r="C73" s="278"/>
      <c r="D73" s="279"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73" s="4">
        <v>0.59612900000000002</v>
      </c>
      <c r="F73" s="4">
        <v>0.85369899999999999</v>
      </c>
      <c r="G73" s="4">
        <v>0.21396999999999999</v>
      </c>
    </row>
    <row r="74" spans="2:7" ht="14.1" customHeight="1">
      <c r="B74" s="339"/>
      <c r="C74" s="278"/>
      <c r="D74" s="279" t="str">
        <f>IF(Indice_index!$Z$1=1,"084 - Simplex +","084 - Simplex +")</f>
        <v>084 - Simplex +</v>
      </c>
      <c r="E74" s="4">
        <v>0.125</v>
      </c>
      <c r="F74" s="4">
        <v>0.125</v>
      </c>
      <c r="G74" s="4">
        <v>0</v>
      </c>
    </row>
    <row r="75" spans="2:7" ht="14.1" customHeight="1">
      <c r="B75" s="278"/>
      <c r="C75" s="278"/>
      <c r="D75" s="278" t="str">
        <f>C66</f>
        <v>P007 - Justiça</v>
      </c>
      <c r="E75" s="134">
        <f>SUM(E66:E74)</f>
        <v>94.678805000000011</v>
      </c>
      <c r="F75" s="134">
        <f>SUM(F66:F74)</f>
        <v>132.67244600000001</v>
      </c>
      <c r="G75" s="134">
        <f>SUM(G66:G74)</f>
        <v>88.203758999999991</v>
      </c>
    </row>
    <row r="76" spans="2:7" ht="14.1" customHeight="1">
      <c r="B76" s="339" t="str">
        <f>IF(Indice_index!$Z$1=1,"MAI","MIA")</f>
        <v>MAI</v>
      </c>
      <c r="C76" s="278" t="str">
        <f>IF(Indice_index!$Z$1=1,"P008 - Segurança Interna","P008 - Internal Security")</f>
        <v>P008 - Segurança Interna</v>
      </c>
      <c r="D76" s="279" t="str">
        <f>IF(Indice_index!$Z$1=1,"003 - Serv. Gerais da A.P. - Cooperação Económica Externa","003 - General public services - External economic cooperation")</f>
        <v>003 - Serv. Gerais da A.P. - Cooperação Económica Externa</v>
      </c>
      <c r="E76" s="4">
        <v>0</v>
      </c>
      <c r="F76" s="4">
        <v>0.154942</v>
      </c>
      <c r="G76" s="4">
        <v>0.154942</v>
      </c>
    </row>
    <row r="77" spans="2:7" ht="14.1" customHeight="1">
      <c r="B77" s="339"/>
      <c r="C77" s="278"/>
      <c r="D77" s="279" t="str">
        <f>IF(Indice_index!$Z$1=1,"009 - Segurança e ordem públicas - Administração e regulamentação","009 - Public safety and order - Administration and regulations")</f>
        <v>009 - Segurança e ordem públicas - Administração e regulamentação</v>
      </c>
      <c r="E77" s="4">
        <v>11.184136000000001</v>
      </c>
      <c r="F77" s="4">
        <v>107.28104999999999</v>
      </c>
      <c r="G77" s="4">
        <v>100.64823800000001</v>
      </c>
    </row>
    <row r="78" spans="2:7" ht="14.1" customHeight="1">
      <c r="B78" s="339"/>
      <c r="C78" s="278"/>
      <c r="D78" s="279" t="str">
        <f>IF(Indice_index!$Z$1=1,"011 - Segurança e ordem públicas - Forças de segurança","011 - Public safety and order - Security forces")</f>
        <v>011 - Segurança e ordem públicas - Forças de segurança</v>
      </c>
      <c r="E78" s="4">
        <v>22.856853000000001</v>
      </c>
      <c r="F78" s="4">
        <v>44.229092999999999</v>
      </c>
      <c r="G78" s="4">
        <v>30.945588000000001</v>
      </c>
    </row>
    <row r="79" spans="2:7" ht="14.1" customHeight="1">
      <c r="B79" s="339"/>
      <c r="C79" s="278"/>
      <c r="D79" s="279" t="str">
        <f>IF(Indice_index!$Z$1=1,"014 - Segurança e ordem públicas - Protecção civil e luta contra incêndios","014 - Public safety and order - Civil Protection and  fire fighting")</f>
        <v>014 - Segurança e ordem públicas - Protecção civil e luta contra incêndios</v>
      </c>
      <c r="E79" s="4">
        <v>3.4918809999999998</v>
      </c>
      <c r="F79" s="4">
        <v>6.3962950000000003</v>
      </c>
      <c r="G79" s="4">
        <v>6.3962950000000003</v>
      </c>
    </row>
    <row r="80" spans="2:7" ht="14.1" customHeight="1">
      <c r="B80" s="339"/>
      <c r="C80" s="278"/>
      <c r="D80" s="279" t="str">
        <f>IF(Indice_index!$Z$1=1,"017 - Educação - Estabelecimentos de ensino não superior","017 - Education - Non higher educations institutions")</f>
        <v>017 - Educação - Estabelecimentos de ensino não superior</v>
      </c>
      <c r="E80" s="4">
        <v>2.9829789999999998</v>
      </c>
      <c r="F80" s="4">
        <v>4.2681490000000002</v>
      </c>
      <c r="G80" s="4">
        <v>2.2202929999999999</v>
      </c>
    </row>
    <row r="81" spans="2:7" ht="14.1" customHeight="1">
      <c r="B81" s="339"/>
      <c r="C81" s="278"/>
      <c r="D81" s="279" t="str">
        <f>IF(Indice_index!$Z$1=1,"018 - Educação - Estabelecimentos de ensino superior","018 - Education - Higher educations institutions")</f>
        <v>018 - Educação - Estabelecimentos de ensino superior</v>
      </c>
      <c r="E81" s="4">
        <v>1.0434460000000001</v>
      </c>
      <c r="F81" s="4">
        <v>1.128366</v>
      </c>
      <c r="G81" s="4">
        <v>0.851294</v>
      </c>
    </row>
    <row r="82" spans="2:7" ht="14.1" customHeight="1">
      <c r="B82" s="339"/>
      <c r="C82" s="278"/>
      <c r="D82" s="279" t="str">
        <f>IF(Indice_index!$Z$1=1,"027 - Segurança e acção social - Acção social","027 - Social Security and Action - Social Action")</f>
        <v>027 - Segurança e acção social - Acção social</v>
      </c>
      <c r="E82" s="4">
        <v>2.1979829999999998</v>
      </c>
      <c r="F82" s="4">
        <v>3.6403819999999998</v>
      </c>
      <c r="G82" s="4">
        <v>3.6283859999999999</v>
      </c>
    </row>
    <row r="83" spans="2:7" ht="14.1" customHeight="1">
      <c r="B83" s="339"/>
      <c r="C83" s="278"/>
      <c r="D83" s="279" t="str">
        <f>IF(Indice_index!$Z$1=1,"068 - Outras funções - Diversas não especificadas","068 - Other functions - Various unspecified")</f>
        <v>068 - Outras funções - Diversas não especificadas</v>
      </c>
      <c r="E83" s="4">
        <v>2.42E-4</v>
      </c>
      <c r="F83" s="4">
        <v>2.42E-4</v>
      </c>
      <c r="G83" s="4">
        <v>2.42E-4</v>
      </c>
    </row>
    <row r="84" spans="2:7" ht="14.1" customHeight="1">
      <c r="B84" s="339"/>
      <c r="C84" s="278"/>
      <c r="D84" s="279"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84" s="4">
        <v>9.7465999999999997E-2</v>
      </c>
      <c r="F84" s="4">
        <v>0.14793600000000001</v>
      </c>
      <c r="G84" s="4">
        <v>0.118008</v>
      </c>
    </row>
    <row r="85" spans="2:7" ht="14.1" customHeight="1">
      <c r="B85" s="339"/>
      <c r="C85" s="278"/>
      <c r="D85" s="279" t="str">
        <f>IF(Indice_index!$Z$1=1,"083 - Segurança e Ação Social - Integração da Pessoa com Deficiência","083 - Social Security and Action - Integration of the handicapped person")</f>
        <v>083 - Segurança e Ação Social - Integração da Pessoa com Deficiência</v>
      </c>
      <c r="E85" s="4">
        <v>2.1499999999999998E-2</v>
      </c>
      <c r="F85" s="4">
        <v>3.2372999999999999E-2</v>
      </c>
      <c r="G85" s="4">
        <v>3.2372999999999999E-2</v>
      </c>
    </row>
    <row r="86" spans="2:7" ht="14.1" customHeight="1">
      <c r="B86" s="339"/>
      <c r="C86" s="278"/>
      <c r="D86" s="279" t="str">
        <f>IF(Indice_index!$Z$1=1,"084 - Simplex +","084 - Simplex +")</f>
        <v>084 - Simplex +</v>
      </c>
      <c r="E86" s="4">
        <v>2.5000000000000001E-2</v>
      </c>
      <c r="F86" s="4">
        <v>2.5000000000000001E-2</v>
      </c>
      <c r="G86" s="4">
        <v>2.5000000000000001E-2</v>
      </c>
    </row>
    <row r="87" spans="2:7" ht="14.1" customHeight="1">
      <c r="B87" s="339"/>
      <c r="C87" s="278"/>
      <c r="D87" s="279" t="str">
        <f>IF(Indice_index!$Z$1=1,"100 - Iniciativas de  Ação Climática","100 - Climate Action Iniciatives")</f>
        <v>100 - Iniciativas de  Ação Climática</v>
      </c>
      <c r="E87" s="4">
        <v>1.9283999999999999E-2</v>
      </c>
      <c r="F87" s="4">
        <v>1.9283999999999999E-2</v>
      </c>
      <c r="G87" s="4">
        <v>1.9283999999999999E-2</v>
      </c>
    </row>
    <row r="88" spans="2:7" ht="14.1" customHeight="1">
      <c r="B88" s="339"/>
      <c r="C88" s="278"/>
      <c r="D88" s="279" t="str">
        <f>IF(Indice_index!$Z$1=1,"101 - Plano Nacional de Gestão Integrada de Fogos Rurais","101 - National Plan on Integrated Rural Fire Management")</f>
        <v>101 - Plano Nacional de Gestão Integrada de Fogos Rurais</v>
      </c>
      <c r="E88" s="4">
        <v>0.36178100000000002</v>
      </c>
      <c r="F88" s="4">
        <v>0.809979</v>
      </c>
      <c r="G88" s="4">
        <v>0.809979</v>
      </c>
    </row>
    <row r="89" spans="2:7" ht="14.1" customHeight="1">
      <c r="B89" s="278"/>
      <c r="C89" s="278"/>
      <c r="D89" s="278" t="str">
        <f>C76</f>
        <v>P008 - Segurança Interna</v>
      </c>
      <c r="E89" s="134">
        <f>SUM(E76:E88)</f>
        <v>44.282551000000005</v>
      </c>
      <c r="F89" s="134">
        <f>SUM(F76:F88)</f>
        <v>168.13309099999998</v>
      </c>
      <c r="G89" s="134">
        <f>SUM(G76:G88)</f>
        <v>145.84992200000002</v>
      </c>
    </row>
    <row r="90" spans="2:7" ht="14.1" customHeight="1">
      <c r="B90" s="339" t="str">
        <f>IF(Indice_index!$Z$1=1,"MECI","MSI")</f>
        <v>MECI</v>
      </c>
      <c r="C90" s="278" t="str">
        <f>IF(Indice_index!$Z$1=1,"P009 - Educação","P009 - Education")</f>
        <v>P009 - Educação</v>
      </c>
      <c r="D90" s="279" t="str">
        <f>IF(Indice_index!$Z$1=1,"003 - Serv. Gerais da A.P. - Cooperação económica externa","003 - General public services - External economic cooperation")</f>
        <v>003 - Serv. Gerais da A.P. - Cooperação económica externa</v>
      </c>
      <c r="E90" s="4">
        <v>1.576641</v>
      </c>
      <c r="F90" s="4">
        <v>4.5189599999999999</v>
      </c>
      <c r="G90" s="4">
        <v>1.1904300000000001</v>
      </c>
    </row>
    <row r="91" spans="2:7" ht="14.1" customHeight="1">
      <c r="B91" s="339"/>
      <c r="C91" s="278"/>
      <c r="D91" s="279" t="str">
        <f>IF(Indice_index!$Z$1=1,"015 - Educação - Administração e regulamentação","015 - Education - Administration and regulations")</f>
        <v>015 - Educação - Administração e regulamentação</v>
      </c>
      <c r="E91" s="4">
        <v>10.028739</v>
      </c>
      <c r="F91" s="4">
        <v>30.081883000000001</v>
      </c>
      <c r="G91" s="4">
        <v>2.0082610000000001</v>
      </c>
    </row>
    <row r="92" spans="2:7" ht="14.1" customHeight="1">
      <c r="B92" s="339"/>
      <c r="C92" s="278"/>
      <c r="D92" s="279" t="str">
        <f>IF(Indice_index!$Z$1=1,"017 - Educação - Estabelecimentos de ensino não superior","017 - Education - Non higher educations institutions")</f>
        <v>017 - Educação - Estabelecimentos de ensino não superior</v>
      </c>
      <c r="E92" s="4">
        <v>99.765359000000004</v>
      </c>
      <c r="F92" s="4">
        <v>103.983763</v>
      </c>
      <c r="G92" s="4">
        <v>1.8047470000000001</v>
      </c>
    </row>
    <row r="93" spans="2:7" ht="14.1" customHeight="1">
      <c r="B93" s="339"/>
      <c r="C93" s="278"/>
      <c r="D93" s="279" t="str">
        <f>IF(Indice_index!$Z$1=1,"019 - Educação - Serviços auxiliares de ensino","019 - Education - Educational ancillary services")</f>
        <v>019 - Educação - Serviços auxiliares de ensino</v>
      </c>
      <c r="E93" s="4">
        <v>35.848973999999998</v>
      </c>
      <c r="F93" s="4">
        <v>35.849327000000002</v>
      </c>
      <c r="G93" s="4">
        <v>3.5300000000000002E-4</v>
      </c>
    </row>
    <row r="94" spans="2:7" ht="14.1" customHeight="1">
      <c r="B94" s="339"/>
      <c r="C94" s="278"/>
      <c r="D94" s="279" t="str">
        <f>IF(Indice_index!$Z$1=1,"084 - Simplex +","084 - Simplex +")</f>
        <v>084 - Simplex +</v>
      </c>
      <c r="E94" s="4">
        <v>0.22816</v>
      </c>
      <c r="F94" s="4">
        <v>0.22816</v>
      </c>
      <c r="G94" s="4">
        <v>0</v>
      </c>
    </row>
    <row r="95" spans="2:7" ht="14.1" customHeight="1">
      <c r="B95" s="339"/>
      <c r="C95" s="278"/>
      <c r="D95" s="278" t="str">
        <f>C90</f>
        <v>P009 - Educação</v>
      </c>
      <c r="E95" s="134">
        <f>SUM(E90:E94)</f>
        <v>147.44787300000002</v>
      </c>
      <c r="F95" s="134">
        <f>SUM(F90:F94)</f>
        <v>174.66209300000003</v>
      </c>
      <c r="G95" s="134">
        <f>SUM(G90:G94)</f>
        <v>5.0037909999999997</v>
      </c>
    </row>
    <row r="96" spans="2:7" ht="14.1" customHeight="1">
      <c r="B96" s="339" t="str">
        <f>IF(Indice_index!$Z$1=1,"MECI","MSI")</f>
        <v>MECI</v>
      </c>
      <c r="C96" s="278" t="str">
        <f>IF(Indice_index!$Z$1=1,"P010 - Ciência e Inovação","P010 - Science and Innovation")</f>
        <v>P010 - Ciência e Inovação</v>
      </c>
      <c r="D96" s="279" t="str">
        <f>IF(Indice_index!$Z$1=1,"001 - Serviços Gerais da Administração Pública - Administração geral","001 - General public services - General Administration")</f>
        <v>001 - Serviços Gerais da Administração Pública - Administração geral</v>
      </c>
      <c r="E96" s="4">
        <v>0.400588</v>
      </c>
      <c r="F96" s="4">
        <v>1.5344500000000001</v>
      </c>
      <c r="G96" s="4">
        <v>0</v>
      </c>
    </row>
    <row r="97" spans="2:7" ht="14.1" customHeight="1">
      <c r="B97" s="339"/>
      <c r="C97" s="278"/>
      <c r="D97" s="279" t="str">
        <f>IF(Indice_index!$Z$1=1,"004 - Serv. Gerais da A.P. - Investigação científica de carácter geral","004 - General public services - General scientific research")</f>
        <v>004 - Serv. Gerais da A.P. - Investigação científica de carácter geral</v>
      </c>
      <c r="E97" s="4">
        <v>60.596212999999999</v>
      </c>
      <c r="F97" s="4">
        <v>60.836125000000003</v>
      </c>
      <c r="G97" s="4">
        <v>0.16786499999999999</v>
      </c>
    </row>
    <row r="98" spans="2:7" ht="14.1" customHeight="1">
      <c r="B98" s="339"/>
      <c r="C98" s="278"/>
      <c r="D98" s="279" t="str">
        <f>IF(Indice_index!$Z$1=1,"015 - Educação - Administração e regulamentação","015 - Education - Administration and regulations")</f>
        <v>015 - Educação - Administração e regulamentação</v>
      </c>
      <c r="E98" s="4">
        <v>0.45219799999999999</v>
      </c>
      <c r="F98" s="4">
        <v>0.56696999999999997</v>
      </c>
      <c r="G98" s="4">
        <v>0.41526170999999995</v>
      </c>
    </row>
    <row r="99" spans="2:7" ht="14.1" customHeight="1">
      <c r="B99" s="339"/>
      <c r="C99" s="278"/>
      <c r="D99" s="279" t="str">
        <f>IF(Indice_index!$Z$1=1,"016 - Educação - Investigação","016 - Education - Research")</f>
        <v>016 - Educação - Investigação</v>
      </c>
      <c r="E99" s="4">
        <v>0.81126399999999999</v>
      </c>
      <c r="F99" s="4">
        <v>1.918712</v>
      </c>
      <c r="G99" s="4">
        <v>1.549863</v>
      </c>
    </row>
    <row r="100" spans="2:7" ht="14.1" customHeight="1">
      <c r="B100" s="339"/>
      <c r="C100" s="278"/>
      <c r="D100" s="279" t="str">
        <f>IF(Indice_index!$Z$1=1,"019 - Educação - Serviços auxiliares de ensino","019 - Education - Educational ancillary services")</f>
        <v>019 - Educação - Serviços auxiliares de ensino</v>
      </c>
      <c r="E100" s="4">
        <v>0.10526199999999999</v>
      </c>
      <c r="F100" s="4">
        <v>0.10526199999999999</v>
      </c>
      <c r="G100" s="4">
        <v>0.10897</v>
      </c>
    </row>
    <row r="101" spans="2:7" ht="14.1" customHeight="1">
      <c r="B101" s="278"/>
      <c r="C101" s="278"/>
      <c r="D101" s="278" t="str">
        <f>C96</f>
        <v>P010 - Ciência e Inovação</v>
      </c>
      <c r="E101" s="134">
        <f>SUM(E96:E100)</f>
        <v>62.365525000000005</v>
      </c>
      <c r="F101" s="134">
        <f>SUM(F96:F100)</f>
        <v>64.961518999999996</v>
      </c>
      <c r="G101" s="134">
        <f>SUM(G96:G100)</f>
        <v>2.2419597099999997</v>
      </c>
    </row>
    <row r="102" spans="2:7" ht="14.1" customHeight="1">
      <c r="B102" s="278"/>
      <c r="C102" s="278"/>
      <c r="D102" s="279" t="str">
        <f>IF(Indice_index!$Z$1=1,"Instituições de Ensino Superior","Higher Education Institutions")</f>
        <v>Instituições de Ensino Superior</v>
      </c>
      <c r="E102" s="4">
        <v>0</v>
      </c>
      <c r="F102" s="4">
        <v>0</v>
      </c>
      <c r="G102" s="4">
        <v>0</v>
      </c>
    </row>
    <row r="103" spans="2:7" ht="14.1" customHeight="1">
      <c r="B103" s="339" t="str">
        <f>IF(Indice_index!$Z$1=1,"MS","MH")</f>
        <v>MS</v>
      </c>
      <c r="C103" s="278" t="str">
        <f>IF(Indice_index!$Z$1=1,"P011 - Saúde","P011 - Health")</f>
        <v>P011 - Saúde</v>
      </c>
      <c r="D103" s="279" t="str">
        <f>IF(Indice_index!$Z$1=1,"020 - Saúde - Administração e regulamentação","020 - Health - Administration and regulations")</f>
        <v>020 - Saúde - Administração e regulamentação</v>
      </c>
      <c r="E103" s="4">
        <v>2.3362449999999999</v>
      </c>
      <c r="F103" s="4">
        <v>4.9097419999999996</v>
      </c>
      <c r="G103" s="4">
        <v>3.883664</v>
      </c>
    </row>
    <row r="104" spans="2:7" ht="14.1" customHeight="1">
      <c r="B104" s="278"/>
      <c r="C104" s="278"/>
      <c r="D104" s="278" t="str">
        <f>C103</f>
        <v>P011 - Saúde</v>
      </c>
      <c r="E104" s="134">
        <f>SUM(E103:E103)</f>
        <v>2.3362449999999999</v>
      </c>
      <c r="F104" s="134">
        <f>SUM(F103:F103)</f>
        <v>4.9097419999999996</v>
      </c>
      <c r="G104" s="134">
        <f>SUM(G103:G103)</f>
        <v>3.883664</v>
      </c>
    </row>
    <row r="105" spans="2:7" ht="14.1" customHeight="1">
      <c r="B105" s="278"/>
      <c r="C105" s="278"/>
      <c r="D105" s="279" t="str">
        <f>IF(Indice_index!$Z$1=1,"Serviço Nacional de Saúde","National Health Service")</f>
        <v>Serviço Nacional de Saúde</v>
      </c>
      <c r="E105" s="4">
        <v>0</v>
      </c>
      <c r="F105" s="4">
        <v>0</v>
      </c>
      <c r="G105" s="4">
        <v>0</v>
      </c>
    </row>
    <row r="106" spans="2:7" ht="14.1" customHeight="1">
      <c r="B106" s="339" t="str">
        <f>IF(Indice_index!$Z$1=1,"MIH","MIH")</f>
        <v>MIH</v>
      </c>
      <c r="C106" s="278" t="str">
        <f>IF(Indice_index!$Z$1=1,"P012 - Infraestruturas e Habitação","P012 - Infrastructures and Housing")</f>
        <v>P012 - Infraestruturas e Habitação</v>
      </c>
      <c r="D106" s="279" t="str">
        <f>IF(Indice_index!$Z$1=1,"001 - Serviços Gerais da Administração Pública - Administração geral","001 - General public services - General Administration")</f>
        <v>001 - Serviços Gerais da Administração Pública - Administração geral</v>
      </c>
      <c r="E106" s="4">
        <v>0.80652800000000002</v>
      </c>
      <c r="F106" s="4">
        <v>1.022966</v>
      </c>
      <c r="G106" s="4">
        <v>0.35755900000000002</v>
      </c>
    </row>
    <row r="107" spans="2:7" ht="14.1" customHeight="1">
      <c r="B107" s="339"/>
      <c r="C107" s="278"/>
      <c r="D107" s="279" t="str">
        <f>IF(Indice_index!$Z$1=1,"004 - Serv. Gerais da A.P. - Investigação científica de carácter geral","004 - General public services - General scientific research")</f>
        <v>004 - Serv. Gerais da A.P. - Investigação científica de carácter geral</v>
      </c>
      <c r="E107" s="4">
        <v>1.3401639999999999</v>
      </c>
      <c r="F107" s="4">
        <v>1.5082420000000001</v>
      </c>
      <c r="G107" s="4">
        <v>1.6425419999999999</v>
      </c>
    </row>
    <row r="108" spans="2:7" ht="14.1" customHeight="1">
      <c r="B108" s="339"/>
      <c r="C108" s="278"/>
      <c r="D108" s="279" t="str">
        <f>IF(Indice_index!$Z$1=1,"015 - Educação - Administração e regulamentação","015 - Education - Administration and regulations")</f>
        <v>015 - Educação - Administração e regulamentação</v>
      </c>
      <c r="E108" s="4">
        <v>2.531317</v>
      </c>
      <c r="F108" s="4">
        <v>2.531317</v>
      </c>
      <c r="G108" s="4">
        <v>2.531317</v>
      </c>
    </row>
    <row r="109" spans="2:7" ht="14.1" customHeight="1">
      <c r="B109" s="339"/>
      <c r="C109" s="278"/>
      <c r="D109" s="279" t="str">
        <f>IF(Indice_index!$Z$1=1,"017 - Educação - Estabelecimentos de ensino não superior","017 - Education - Non higher educations institutions")</f>
        <v>017 - Educação - Estabelecimentos de ensino não superior</v>
      </c>
      <c r="E109" s="4">
        <v>38.932650000000002</v>
      </c>
      <c r="F109" s="4">
        <v>41.517899</v>
      </c>
      <c r="G109" s="4">
        <v>30.925263000000001</v>
      </c>
    </row>
    <row r="110" spans="2:7" ht="14.1" customHeight="1">
      <c r="B110" s="339"/>
      <c r="C110" s="278"/>
      <c r="D110" s="279" t="str">
        <f>IF(Indice_index!$Z$1=1,"030 - Habitação e serv. Colectivos - Habitação","030 - Housing and Common services - Housing")</f>
        <v>030 - Habitação e serv. Colectivos - Habitação</v>
      </c>
      <c r="E110" s="4">
        <v>89.731469000000004</v>
      </c>
      <c r="F110" s="4">
        <v>103.531584</v>
      </c>
      <c r="G110" s="4">
        <v>40.605305000000001</v>
      </c>
    </row>
    <row r="111" spans="2:7" ht="14.1" customHeight="1">
      <c r="B111" s="339"/>
      <c r="C111" s="278"/>
      <c r="D111" s="279" t="str">
        <f>IF(Indice_index!$Z$1=1,"052 - Transportes e comunicações - Administração e regulamentação","052 - Transport and Communications - Administration and regulations")</f>
        <v>052 - Transportes e comunicações - Administração e regulamentação</v>
      </c>
      <c r="E111" s="4">
        <v>7.0059189999999996</v>
      </c>
      <c r="F111" s="4">
        <v>16.185881999999999</v>
      </c>
      <c r="G111" s="4">
        <v>9.2952429999999993</v>
      </c>
    </row>
    <row r="112" spans="2:7" ht="14.1" customHeight="1">
      <c r="B112" s="339"/>
      <c r="C112" s="278"/>
      <c r="D112" s="279" t="str">
        <f>IF(Indice_index!$Z$1=1,"053 - Transportes e Comunicações - Investigação","053 - Transport and Communications - Research")</f>
        <v>053 - Transportes e Comunicações - Investigação</v>
      </c>
      <c r="E112" s="4">
        <v>4.1717999999999998E-2</v>
      </c>
      <c r="F112" s="4">
        <v>0.52171800000000002</v>
      </c>
      <c r="G112" s="4">
        <v>0.52171800000000002</v>
      </c>
    </row>
    <row r="113" spans="2:7" ht="14.1" customHeight="1">
      <c r="B113" s="339"/>
      <c r="C113" s="278"/>
      <c r="D113" s="279" t="str">
        <f>IF(Indice_index!$Z$1=1,"054 - Transportes e comunicações - Transportes rodoviários","054 - Transport and Communications - Road transport")</f>
        <v>054 - Transportes e comunicações - Transportes rodoviários</v>
      </c>
      <c r="E113" s="4">
        <v>52.622017999999997</v>
      </c>
      <c r="F113" s="4">
        <v>64.427160000000001</v>
      </c>
      <c r="G113" s="4">
        <v>18.119056</v>
      </c>
    </row>
    <row r="114" spans="2:7" ht="14.1" customHeight="1">
      <c r="B114" s="339"/>
      <c r="C114" s="278"/>
      <c r="D114" s="279" t="str">
        <f>IF(Indice_index!$Z$1=1,"055 - Transportes e comunicações - Transportes ferroviários","055 - Transport and Communications - Rail transport")</f>
        <v>055 - Transportes e comunicações - Transportes ferroviários</v>
      </c>
      <c r="E114" s="4">
        <v>206.17274800000001</v>
      </c>
      <c r="F114" s="4">
        <v>249.719561</v>
      </c>
      <c r="G114" s="4">
        <v>93.943781000000001</v>
      </c>
    </row>
    <row r="115" spans="2:7" ht="14.1" customHeight="1">
      <c r="B115" s="339"/>
      <c r="C115" s="278"/>
      <c r="D115" s="279" t="str">
        <f>IF(Indice_index!$Z$1=1,"056 - Transportes e comunicações - Transportes aéreos","056 - Transport and Communications - Air transport")</f>
        <v>056 - Transportes e comunicações - Transportes aéreos</v>
      </c>
      <c r="E115" s="4">
        <v>0.493697</v>
      </c>
      <c r="F115" s="4">
        <v>0.63090900000000005</v>
      </c>
      <c r="G115" s="4">
        <v>0.63090900000000005</v>
      </c>
    </row>
    <row r="116" spans="2:7" ht="14.1" customHeight="1">
      <c r="B116" s="339"/>
      <c r="C116" s="278"/>
      <c r="D116" s="279" t="str">
        <f>IF(Indice_index!$Z$1=1,"057 - Transportes e comunicações - Transportes marítimos e fluviais","057 - Transport and Communications - Water transport")</f>
        <v>057 - Transportes e comunicações - Transportes marítimos e fluviais</v>
      </c>
      <c r="E116" s="4">
        <v>19.927278999999999</v>
      </c>
      <c r="F116" s="4">
        <v>21.904322000000001</v>
      </c>
      <c r="G116" s="4">
        <v>0.8125</v>
      </c>
    </row>
    <row r="117" spans="2:7" ht="14.1" customHeight="1">
      <c r="B117" s="339"/>
      <c r="C117" s="278"/>
      <c r="D117" s="342" t="str">
        <f>IF(Indice_index!$Z$1=1,"058 - Transportes e comunicações - Sistemas de comunicações","058 - Transport and Communications - Communications systems")</f>
        <v>058 - Transportes e comunicações - Sistemas de comunicações</v>
      </c>
      <c r="E117" s="4">
        <v>3.6430560000000001</v>
      </c>
      <c r="F117" s="4">
        <v>3.6430560000000001</v>
      </c>
      <c r="G117" s="4">
        <v>0</v>
      </c>
    </row>
    <row r="118" spans="2:7" ht="14.1" customHeight="1">
      <c r="B118" s="339"/>
      <c r="C118" s="278"/>
      <c r="D118" s="279" t="str">
        <f>IF(Indice_index!$Z$1=1,"063 - Outras funções económicas - Administração e regulamentação","063 - Outher economic functions - Administration e regulation")</f>
        <v>063 - Outras funções económicas - Administração e regulamentação</v>
      </c>
      <c r="E118" s="4">
        <v>3.9577179999999998</v>
      </c>
      <c r="F118" s="4">
        <v>8.057563</v>
      </c>
      <c r="G118" s="4">
        <v>6.4889029999999996</v>
      </c>
    </row>
    <row r="119" spans="2:7" ht="14.1" customHeight="1">
      <c r="B119" s="339"/>
      <c r="C119" s="278"/>
      <c r="D119" s="279" t="str">
        <f>IF(Indice_index!$Z$1=1,"065 - Outras funções económicas - Diversas não especificadas","065 - Other economic functions - Various unspecified")</f>
        <v>065 - Outras funções económicas - Diversas não especificadas</v>
      </c>
      <c r="E119" s="4">
        <v>1.5899999999999999E-4</v>
      </c>
      <c r="F119" s="4">
        <v>1.5899999999999999E-4</v>
      </c>
      <c r="G119" s="4">
        <v>1.5899999999999999E-4</v>
      </c>
    </row>
    <row r="120" spans="2:7" ht="14.1" customHeight="1">
      <c r="B120" s="339"/>
      <c r="C120" s="278"/>
      <c r="D120" s="279" t="str">
        <f>IF(Indice_index!$Z$1=1,"079 - Transportes e Comunicações - Parcerias Público Privadas ","079 - Transport and Communications - Public-private partnerships")</f>
        <v xml:space="preserve">079 - Transportes e Comunicações - Parcerias Público Privadas </v>
      </c>
      <c r="E120" s="4">
        <v>173.82656600000001</v>
      </c>
      <c r="F120" s="4">
        <v>173.82656600000001</v>
      </c>
      <c r="G120" s="4">
        <v>0</v>
      </c>
    </row>
    <row r="121" spans="2:7" ht="14.1" customHeight="1">
      <c r="B121" s="339"/>
      <c r="C121" s="278"/>
      <c r="D121" s="279" t="str">
        <f>IF(Indice_index!$Z$1=1,"101 - Plano Nacional de Gestão Integrada de Fogos Rurais","101 - National Plan on Integrated Rural Fire Management")</f>
        <v>101 - Plano Nacional de Gestão Integrada de Fogos Rurais</v>
      </c>
      <c r="E121" s="4">
        <v>5.8432089999999999</v>
      </c>
      <c r="F121" s="4">
        <v>5.8432089999999999</v>
      </c>
      <c r="G121" s="4">
        <v>0</v>
      </c>
    </row>
    <row r="122" spans="2:7" ht="14.1" customHeight="1">
      <c r="B122" s="339"/>
      <c r="C122" s="278"/>
      <c r="D122" s="279" t="str">
        <f>IF(Indice_index!$Z$1=1,"103 - Impacto do choque geopolítico","103 - Impact of geopolitical shock")</f>
        <v>103 - Impacto do choque geopolítico</v>
      </c>
      <c r="E122" s="4">
        <v>0.44866499999999998</v>
      </c>
      <c r="F122" s="4">
        <v>3.0158140000000002</v>
      </c>
      <c r="G122" s="4">
        <v>0.44866499999999998</v>
      </c>
    </row>
    <row r="123" spans="2:7" ht="14.1" customHeight="1">
      <c r="B123" s="278"/>
      <c r="C123" s="278"/>
      <c r="D123" s="278" t="str">
        <f>C106</f>
        <v>P012 - Infraestruturas e Habitação</v>
      </c>
      <c r="E123" s="134">
        <f t="shared" ref="E123" si="1">SUM(E106:E122)</f>
        <v>607.32488000000001</v>
      </c>
      <c r="F123" s="134">
        <f t="shared" ref="F123" si="2">SUM(F106:F122)</f>
        <v>697.88792699999999</v>
      </c>
      <c r="G123" s="134">
        <f t="shared" ref="G123" si="3">SUM(G106:G122)</f>
        <v>206.32292000000001</v>
      </c>
    </row>
    <row r="124" spans="2:7" ht="14.1" customHeight="1">
      <c r="B124" s="339" t="str">
        <f>IF(Indice_index!$Z$1=1,"ME","ME")</f>
        <v>ME</v>
      </c>
      <c r="C124" s="278" t="str">
        <f>IF(Indice_index!$Z$1=1,"P013 - Economia","P013 - Economy")</f>
        <v>P013 - Economia</v>
      </c>
      <c r="D124" s="279" t="str">
        <f>IF(Indice_index!$Z$1=1,"040 - Agricultura, pecuária, silv, caça, pesca - Administração e regulamentação","040 - Crops, livestock, forestry, fisheries - Administration and regulations")</f>
        <v>040 - Agricultura, pecuária, silv, caça, pesca - Administração e regulamentação</v>
      </c>
      <c r="E124" s="4">
        <v>0.77331300000000003</v>
      </c>
      <c r="F124" s="4">
        <v>2.9485269999999999</v>
      </c>
      <c r="G124" s="4">
        <v>2.0999979999999998</v>
      </c>
    </row>
    <row r="125" spans="2:7" ht="14.1" customHeight="1">
      <c r="B125" s="339"/>
      <c r="C125" s="278"/>
      <c r="D125" s="279" t="str">
        <f>IF(Indice_index!$Z$1=1,"061 - Comércio e turismo - Comércio","061 - Trade and tourism - Trade")</f>
        <v>061 - Comércio e turismo - Comércio</v>
      </c>
      <c r="E125" s="4">
        <v>5.8659999999999997E-3</v>
      </c>
      <c r="F125" s="4">
        <v>0.16742699999999999</v>
      </c>
      <c r="G125" s="4">
        <v>0.16742699999999999</v>
      </c>
    </row>
    <row r="126" spans="2:7" ht="14.1" customHeight="1">
      <c r="B126" s="339"/>
      <c r="C126" s="278"/>
      <c r="D126" s="279" t="str">
        <f>IF(Indice_index!$Z$1=1,"062 - Comércio e turismo - Turismo","062 - Trade and tourism - Tourism")</f>
        <v>062 - Comércio e turismo - Turismo</v>
      </c>
      <c r="E126" s="4">
        <v>12.524763</v>
      </c>
      <c r="F126" s="4">
        <v>18.244178999999999</v>
      </c>
      <c r="G126" s="4">
        <v>9.7886450000000007</v>
      </c>
    </row>
    <row r="127" spans="2:7" ht="14.1" customHeight="1">
      <c r="B127" s="339"/>
      <c r="C127" s="278"/>
      <c r="D127" s="279" t="str">
        <f>IF(Indice_index!$Z$1=1,"063 - Outras funções económicas - Administração e regulamentação","063 - Outher economic functions - Administration e regulation")</f>
        <v>063 - Outras funções económicas - Administração e regulamentação</v>
      </c>
      <c r="E127" s="4">
        <v>1.462054</v>
      </c>
      <c r="F127" s="4">
        <v>1.8066340000000001</v>
      </c>
      <c r="G127" s="4">
        <v>1.024273</v>
      </c>
    </row>
    <row r="128" spans="2:7" ht="14.1" customHeight="1">
      <c r="B128" s="339"/>
      <c r="C128" s="278"/>
      <c r="D128" s="279" t="str">
        <f>IF(Indice_index!$Z$1=1,"065 - Outras funções económicas - Diversas não especificadas","065 - Other economic functions - Various unspecified")</f>
        <v>065 - Outras funções económicas - Diversas não especificadas</v>
      </c>
      <c r="E128" s="4">
        <v>35.006492000000001</v>
      </c>
      <c r="F128" s="4">
        <v>52.877938999999998</v>
      </c>
      <c r="G128" s="4">
        <v>49.638573000000001</v>
      </c>
    </row>
    <row r="129" spans="2:7" ht="14.1" customHeight="1">
      <c r="B129" s="339"/>
      <c r="C129" s="278"/>
      <c r="D129" s="279" t="str">
        <f>IF(Indice_index!$Z$1=1,"086 - Comércio e Turismo - Imposto especial de jogo","086 - Trade and tourism - Special gambling tax")</f>
        <v>086 - Comércio e Turismo - Imposto especial de jogo</v>
      </c>
      <c r="E129" s="4">
        <v>16.421361000000001</v>
      </c>
      <c r="F129" s="4">
        <v>22.032757</v>
      </c>
      <c r="G129" s="4">
        <v>5.7378210000000003</v>
      </c>
    </row>
    <row r="130" spans="2:7" ht="14.1" customHeight="1">
      <c r="B130" s="339"/>
      <c r="C130" s="278"/>
      <c r="D130" s="279" t="str">
        <f>IF(Indice_index!$Z$1=1,"100 - Iniciativas de  Ação Climática","100 - Climate Action Iniciatives")</f>
        <v>100 - Iniciativas de  Ação Climática</v>
      </c>
      <c r="E130" s="4">
        <v>2.0969999999999999E-3</v>
      </c>
      <c r="F130" s="4">
        <v>2.0969999999999999E-3</v>
      </c>
      <c r="G130" s="4">
        <v>0</v>
      </c>
    </row>
    <row r="131" spans="2:7" ht="14.1" customHeight="1">
      <c r="B131" s="278"/>
      <c r="C131" s="278"/>
      <c r="D131" s="278" t="str">
        <f>C124</f>
        <v>P013 - Economia</v>
      </c>
      <c r="E131" s="134">
        <f>SUM(E124:E130)</f>
        <v>66.195946000000006</v>
      </c>
      <c r="F131" s="134">
        <f>SUM(F124:F130)</f>
        <v>98.079560000000001</v>
      </c>
      <c r="G131" s="134">
        <f>SUM(G124:G130)</f>
        <v>68.456737000000004</v>
      </c>
    </row>
    <row r="132" spans="2:7" ht="14.1" customHeight="1">
      <c r="B132" s="339" t="str">
        <f>IF(Indice_index!$Z$1=1,"MTSSS","MLSSF")</f>
        <v>MTSSS</v>
      </c>
      <c r="C132" s="278" t="str">
        <f>IF(Indice_index!$Z$1=1,"P014 - Trabalho, Solidariedade e Seg. Social","P014 - Work, Solidarity and Social Security")</f>
        <v>P014 - Trabalho, Solidariedade e Seg. Social</v>
      </c>
      <c r="D132" s="279" t="str">
        <f>IF(Indice_index!$Z$1=1,"001 - Serviços Gerais da Administração Pública - Administração geral","001 - General public services - General Administration")</f>
        <v>001 - Serviços Gerais da Administração Pública - Administração geral</v>
      </c>
      <c r="E132" s="4">
        <v>1.0208999999999999E-2</v>
      </c>
      <c r="F132" s="4">
        <v>1.0208999999999999E-2</v>
      </c>
      <c r="G132" s="4">
        <v>1.0208999999999999E-2</v>
      </c>
    </row>
    <row r="133" spans="2:7" ht="14.1" customHeight="1">
      <c r="B133" s="339"/>
      <c r="C133" s="278"/>
      <c r="D133" s="279" t="str">
        <f>IF(Indice_index!$Z$1=1,"003 - Serv. Gerais da A.P. - Cooperação económica externa","003 - General public services - External economic cooperation")</f>
        <v>003 - Serv. Gerais da A.P. - Cooperação económica externa</v>
      </c>
      <c r="E133" s="4">
        <v>0.38453700000000002</v>
      </c>
      <c r="F133" s="4">
        <v>0.43130200000000002</v>
      </c>
      <c r="G133" s="4">
        <v>0.15356600000000001</v>
      </c>
    </row>
    <row r="134" spans="2:7" ht="14.1" customHeight="1">
      <c r="B134" s="339"/>
      <c r="C134" s="278"/>
      <c r="D134" s="279" t="str">
        <f>IF(Indice_index!$Z$1=1,"017 - Educação - Estabelecimentos de ensino não superior","017 - Education - Non higher educations institutions")</f>
        <v>017 - Educação - Estabelecimentos de ensino não superior</v>
      </c>
      <c r="E134" s="4">
        <v>0.51011700000000004</v>
      </c>
      <c r="F134" s="4">
        <v>0.84268200000000004</v>
      </c>
      <c r="G134" s="4">
        <v>0.332565</v>
      </c>
    </row>
    <row r="135" spans="2:7" ht="14.1" customHeight="1">
      <c r="B135" s="339"/>
      <c r="C135" s="278"/>
      <c r="D135" s="279" t="str">
        <f>IF(Indice_index!$Z$1=1,"024 - Segurança e acção social - Administração e regulamentação","024 - Social Security and Action - Administration and regulations")</f>
        <v>024 - Segurança e acção social - Administração e regulamentação</v>
      </c>
      <c r="E135" s="4">
        <v>0.91854400000000003</v>
      </c>
      <c r="F135" s="4">
        <v>1.813512</v>
      </c>
      <c r="G135" s="4">
        <v>1.3940760000000001</v>
      </c>
    </row>
    <row r="136" spans="2:7" ht="14.1" customHeight="1">
      <c r="B136" s="339"/>
      <c r="C136" s="278"/>
      <c r="D136" s="279" t="str">
        <f>IF(Indice_index!$Z$1=1,"026 - Segurança e acção social - Segurança social","026 - Social Security and Action - Social Security")</f>
        <v>026 - Segurança e acção social - Segurança social</v>
      </c>
      <c r="E136" s="4">
        <v>20.547367999999999</v>
      </c>
      <c r="F136" s="4">
        <v>24.425194999999999</v>
      </c>
      <c r="G136" s="4">
        <v>19.512194999999998</v>
      </c>
    </row>
    <row r="137" spans="2:7" ht="14.1" customHeight="1">
      <c r="B137" s="339"/>
      <c r="C137" s="278"/>
      <c r="D137" s="279" t="str">
        <f>IF(Indice_index!$Z$1=1,"027 - Segurança e acção social - Acção social","027 - Social Security and Action - Social Action")</f>
        <v>027 - Segurança e acção social - Acção social</v>
      </c>
      <c r="E137" s="4">
        <v>18.045718999999998</v>
      </c>
      <c r="F137" s="4">
        <v>22.959306000000002</v>
      </c>
      <c r="G137" s="4">
        <v>22.959306000000002</v>
      </c>
    </row>
    <row r="138" spans="2:7" ht="14.1" customHeight="1">
      <c r="B138" s="339"/>
      <c r="C138" s="278"/>
      <c r="D138" s="279" t="str">
        <f>IF(Indice_index!$Z$1=1,"064 - Outras funções económicas - Relações gerais do trabalho","064 - Other economic functions - General labor relations")</f>
        <v>064 - Outras funções económicas - Relações gerais do trabalho</v>
      </c>
      <c r="E138" s="4">
        <v>69.884747000000004</v>
      </c>
      <c r="F138" s="4">
        <v>71.946952999999993</v>
      </c>
      <c r="G138" s="4">
        <v>19.421036000000001</v>
      </c>
    </row>
    <row r="139" spans="2:7" ht="14.1" customHeight="1">
      <c r="B139" s="339"/>
      <c r="C139" s="278"/>
      <c r="D139" s="279" t="str">
        <f>IF(Indice_index!$Z$1=1,"065 - Outras funções económicas - Diversas não especificadas","065 - Other economic functions - Various unspecified")</f>
        <v>065 - Outras funções económicas - Diversas não especificadas</v>
      </c>
      <c r="E139" s="4">
        <v>0.81362000000000001</v>
      </c>
      <c r="F139" s="4">
        <v>1.1885319999999999</v>
      </c>
      <c r="G139" s="4">
        <v>0.93148500000000001</v>
      </c>
    </row>
    <row r="140" spans="2:7" ht="14.1" customHeight="1">
      <c r="B140" s="339"/>
      <c r="C140" s="278"/>
      <c r="D140" s="279" t="str">
        <f>IF(Indice_index!$Z$1=1,"068 - Outras funções - Diversas não especificadas","068 - Other functions - Various unspecified")</f>
        <v>068 - Outras funções - Diversas não especificadas</v>
      </c>
      <c r="E140" s="4">
        <v>7.9190000000000007E-3</v>
      </c>
      <c r="F140" s="4">
        <v>3.1843000000000003E-2</v>
      </c>
      <c r="G140" s="4">
        <v>2.3924000000000001E-2</v>
      </c>
    </row>
    <row r="141" spans="2:7" ht="14.1" customHeight="1">
      <c r="B141" s="339"/>
      <c r="C141" s="278"/>
      <c r="D141" s="279" t="str">
        <f>IF(Indice_index!$Z$1=1,"082 - Segurança e Ação Social - Violência doméstica - Prevenção e proteção à vítima","082 - Social Security and Action - domestic violence - Prevention and protection to victims")</f>
        <v>082 - Segurança e Ação Social - Violência doméstica - Prevenção e proteção à vítima</v>
      </c>
      <c r="E141" s="4">
        <v>0.10489999999999999</v>
      </c>
      <c r="F141" s="4">
        <v>0.10489999999999999</v>
      </c>
      <c r="G141" s="4">
        <v>0.10489999999999999</v>
      </c>
    </row>
    <row r="142" spans="2:7" ht="14.1" customHeight="1">
      <c r="B142" s="339"/>
      <c r="C142" s="278"/>
      <c r="D142" s="279" t="str">
        <f>IF(Indice_index!$Z$1=1,"083 - Segurança e Ação Social - Integração da pessoa com deficiência","083 - Social Security and Action - Integration of the handicapped person")</f>
        <v>083 - Segurança e Ação Social - Integração da pessoa com deficiência</v>
      </c>
      <c r="E142" s="4">
        <v>1.764643</v>
      </c>
      <c r="F142" s="4">
        <v>2.5274100000000002</v>
      </c>
      <c r="G142" s="4">
        <v>2.1602679999999999</v>
      </c>
    </row>
    <row r="143" spans="2:7" ht="14.1" customHeight="1">
      <c r="B143" s="339"/>
      <c r="C143" s="278"/>
      <c r="D143" s="279" t="str">
        <f>IF(Indice_index!$Z$1=1,"084 - Simplex +","084 - Simplex +")</f>
        <v>084 - Simplex +</v>
      </c>
      <c r="E143" s="4">
        <v>0.56622899999999998</v>
      </c>
      <c r="F143" s="4">
        <v>0.56622899999999998</v>
      </c>
      <c r="G143" s="4">
        <v>0.2175</v>
      </c>
    </row>
    <row r="144" spans="2:7" ht="14.1" customHeight="1">
      <c r="B144" s="278"/>
      <c r="C144" s="278"/>
      <c r="D144" s="278" t="str">
        <f>C132</f>
        <v>P014 - Trabalho, Solidariedade e Seg. Social</v>
      </c>
      <c r="E144" s="134">
        <f>SUM(E132:E143)</f>
        <v>113.55855200000002</v>
      </c>
      <c r="F144" s="134">
        <f>SUM(F132:F143)</f>
        <v>126.848073</v>
      </c>
      <c r="G144" s="134">
        <f t="shared" ref="G144" si="4">SUM(G132:G143)</f>
        <v>67.221029999999999</v>
      </c>
    </row>
    <row r="145" spans="2:7" ht="14.1" customHeight="1">
      <c r="B145" s="339" t="str">
        <f>IF(Indice_index!$Z$1=1,"MAE","MEE")</f>
        <v>MAE</v>
      </c>
      <c r="C145" s="278" t="str">
        <f>IF(Indice_index!$Z$1=1,"P015 - Ambiente e Energia","P015 -  Environment and Energy")</f>
        <v>P015 - Ambiente e Energia</v>
      </c>
      <c r="D145" s="279" t="str">
        <f>IF(Indice_index!$Z$1=1,"033 - Habitação e serv. Colectivos - Protecção do meio ambiente e conservação da natureza","033 - Housing and Common services - Protection of the Environment and conservation of nature")</f>
        <v>033 - Habitação e serv. Colectivos - Protecção do meio ambiente e conservação da natureza</v>
      </c>
      <c r="E145" s="4">
        <v>26.156981999999999</v>
      </c>
      <c r="F145" s="4">
        <v>37.638630999999997</v>
      </c>
      <c r="G145" s="4">
        <v>17.209239</v>
      </c>
    </row>
    <row r="146" spans="2:7" ht="14.1" customHeight="1">
      <c r="B146" s="339"/>
      <c r="C146" s="278"/>
      <c r="D146" s="279" t="str">
        <f>IF(Indice_index!$Z$1=1,"046 - Industria e energia - administração e regulamentação","046 - Industry and energy - Administration and regulations")</f>
        <v>046 - Industria e energia - administração e regulamentação</v>
      </c>
      <c r="E146" s="4">
        <v>2.573229</v>
      </c>
      <c r="F146" s="4">
        <v>7.5609440000000001</v>
      </c>
      <c r="G146" s="4">
        <v>5.8839259999999998</v>
      </c>
    </row>
    <row r="147" spans="2:7" ht="14.1" customHeight="1">
      <c r="B147" s="339"/>
      <c r="C147" s="278"/>
      <c r="D147" s="279" t="str">
        <f>IF(Indice_index!$Z$1=1,"047 - Industria e energia - Investigação","047 - Industry and energy - Research")</f>
        <v>047 - Industria e energia - Investigação</v>
      </c>
      <c r="E147" s="4">
        <v>7.8152249999999999</v>
      </c>
      <c r="F147" s="4">
        <v>9.9560820000000003</v>
      </c>
      <c r="G147" s="4">
        <v>2.140857</v>
      </c>
    </row>
    <row r="148" spans="2:7" ht="14.1" customHeight="1">
      <c r="B148" s="339"/>
      <c r="C148" s="278"/>
      <c r="D148" s="279" t="str">
        <f>IF(Indice_index!$Z$1=1,"051 - Industria e energia - Combustíveis, electricidade e outras fontes de energia","051 - Industry e energy - Fuel, electricity and other sources of energy ")</f>
        <v>051 - Industria e energia - Combustíveis, electricidade e outras fontes de energia</v>
      </c>
      <c r="E148" s="4">
        <v>17.754337</v>
      </c>
      <c r="F148" s="4">
        <v>18.389472999999999</v>
      </c>
      <c r="G148" s="4">
        <v>18.389472999999999</v>
      </c>
    </row>
    <row r="149" spans="2:7" ht="14.1" customHeight="1">
      <c r="B149" s="339"/>
      <c r="C149" s="278"/>
      <c r="D149" s="279" t="str">
        <f>IF(Indice_index!$Z$1=1,"063 - Outras funções económicas - Administração e regulamentação","063 - Outher economic functions - Administration e regulation")</f>
        <v>063 - Outras funções económicas - Administração e regulamentação</v>
      </c>
      <c r="E149" s="4">
        <v>2.802476</v>
      </c>
      <c r="F149" s="4">
        <v>9.0321960000000008</v>
      </c>
      <c r="G149" s="4">
        <v>8.110792</v>
      </c>
    </row>
    <row r="150" spans="2:7" ht="14.1" customHeight="1">
      <c r="B150" s="339"/>
      <c r="C150" s="278"/>
      <c r="D150" s="279" t="str">
        <f>IF(Indice_index!$Z$1=1,"065 - Outras funções económicas - Diversas não especificadas","065 - Other economic functions - Various unspecified")</f>
        <v>065 - Outras funções económicas - Diversas não especificadas</v>
      </c>
      <c r="E150" s="4">
        <v>1.182847</v>
      </c>
      <c r="F150" s="4">
        <v>1.422757</v>
      </c>
      <c r="G150" s="4">
        <v>1.422757</v>
      </c>
    </row>
    <row r="151" spans="2:7" ht="14.1" customHeight="1">
      <c r="B151" s="339"/>
      <c r="C151" s="278"/>
      <c r="D151" s="279" t="str">
        <f>IF(Indice_index!$Z$1=1,"100 - Iniciativas de  Ação Climática","100 - Climate Action Iniciatives")</f>
        <v>100 - Iniciativas de  Ação Climática</v>
      </c>
      <c r="E151" s="4">
        <v>14.449013000000001</v>
      </c>
      <c r="F151" s="4">
        <v>14.449013000000001</v>
      </c>
      <c r="G151" s="4">
        <v>0</v>
      </c>
    </row>
    <row r="152" spans="2:7" ht="14.1" customHeight="1">
      <c r="B152" s="278"/>
      <c r="C152" s="278"/>
      <c r="D152" s="278" t="str">
        <f>C145</f>
        <v>P015 - Ambiente e Energia</v>
      </c>
      <c r="E152" s="134">
        <f>SUM(E145:E151)</f>
        <v>72.734109000000004</v>
      </c>
      <c r="F152" s="134">
        <f>SUM(F145:F151)</f>
        <v>98.449095999999997</v>
      </c>
      <c r="G152" s="134">
        <f>SUM(G145:G151)</f>
        <v>53.157043999999992</v>
      </c>
    </row>
    <row r="153" spans="2:7" ht="14.1" customHeight="1">
      <c r="B153" s="339" t="str">
        <f>IF(Indice_index!$Z$1=1,"MJM","MYM")</f>
        <v>MJM</v>
      </c>
      <c r="C153" s="278" t="str">
        <f>IF(Indice_index!$Z$1=1,"P016 - Juventude e Modernização","P016 - Youth and Modernisation")</f>
        <v>P016 - Juventude e Modernização</v>
      </c>
      <c r="D153" s="279" t="str">
        <f>IF(Indice_index!$Z$1=1,"001 - Serviços Gerais da Administração Pública - Administração geral","001 - General public services - General Administration")</f>
        <v>001 - Serviços Gerais da Administração Pública - Administração geral</v>
      </c>
      <c r="E153" s="4">
        <v>5.2742339999999999</v>
      </c>
      <c r="F153" s="4">
        <v>8.3218340000000008</v>
      </c>
      <c r="G153" s="4">
        <v>3.0476000000000001</v>
      </c>
    </row>
    <row r="154" spans="2:7" ht="14.1" customHeight="1">
      <c r="B154" s="339"/>
      <c r="C154" s="278"/>
      <c r="D154" s="279" t="str">
        <f>IF(Indice_index!$Z$1=1,"016 - Educação - Investigação","016 - Education - Research")</f>
        <v>016 - Educação - Investigação</v>
      </c>
      <c r="E154" s="4">
        <v>0</v>
      </c>
      <c r="F154" s="4">
        <v>1.9878E-2</v>
      </c>
      <c r="G154" s="4">
        <v>1.9878E-2</v>
      </c>
    </row>
    <row r="155" spans="2:7" ht="14.1" customHeight="1">
      <c r="B155" s="339"/>
      <c r="C155" s="278"/>
      <c r="D155" s="279" t="str">
        <f>IF(Indice_index!$Z$1=1,"024 - Segurança e ação social - Administração e regulamentação","024 - Social Security and Action - Administration and regulations")</f>
        <v>024 - Segurança e ação social - Administração e regulamentação</v>
      </c>
      <c r="E155" s="4">
        <v>0.50242900000000001</v>
      </c>
      <c r="F155" s="4">
        <v>0.75415299999999996</v>
      </c>
      <c r="G155" s="4">
        <v>0.357178</v>
      </c>
    </row>
    <row r="156" spans="2:7" ht="14.1" customHeight="1">
      <c r="B156" s="339"/>
      <c r="C156" s="278"/>
      <c r="D156" s="279" t="str">
        <f>IF(Indice_index!$Z$1=1,"063 - Outras funções económicas - Administração e regulamentação","063 - Outher economic functions - Administration e regulation")</f>
        <v>063 - Outras funções económicas - Administração e regulamentação</v>
      </c>
      <c r="E156" s="4">
        <v>0.140903</v>
      </c>
      <c r="F156" s="4">
        <v>0.29482399999999997</v>
      </c>
      <c r="G156" s="4">
        <v>0.29482399999999997</v>
      </c>
    </row>
    <row r="157" spans="2:7" ht="14.1" customHeight="1">
      <c r="B157" s="339"/>
      <c r="C157" s="278"/>
      <c r="D157" s="279" t="s">
        <v>575</v>
      </c>
      <c r="E157" s="4">
        <v>0.56670699999999996</v>
      </c>
      <c r="F157" s="4">
        <v>0.71306000000000003</v>
      </c>
      <c r="G157" s="4">
        <v>0.28976200000000002</v>
      </c>
    </row>
    <row r="158" spans="2:7" ht="14.1" customHeight="1">
      <c r="B158" s="339"/>
      <c r="C158" s="278"/>
      <c r="D158" s="279" t="s">
        <v>576</v>
      </c>
      <c r="E158" s="4">
        <v>0.155194</v>
      </c>
      <c r="F158" s="4">
        <v>1.0412330000000001</v>
      </c>
      <c r="G158" s="4">
        <v>0.88603900000000002</v>
      </c>
    </row>
    <row r="159" spans="2:7" ht="14.1" customHeight="1">
      <c r="B159" s="278"/>
      <c r="C159" s="278"/>
      <c r="D159" s="278" t="str">
        <f>C153</f>
        <v>P016 - Juventude e Modernização</v>
      </c>
      <c r="E159" s="134">
        <f>SUM(E153:E158)</f>
        <v>6.6394669999999998</v>
      </c>
      <c r="F159" s="134">
        <f>SUM(F153:F158)</f>
        <v>11.144982000000002</v>
      </c>
      <c r="G159" s="134">
        <f>SUM(G153:G158)</f>
        <v>4.8952809999999998</v>
      </c>
    </row>
    <row r="160" spans="2:7" ht="14.1" customHeight="1">
      <c r="B160" s="339" t="str">
        <f>IF(Indice_index!$Z$1=1,"MAP","MAF")</f>
        <v>MAP</v>
      </c>
      <c r="C160" s="278" t="str">
        <f>IF(Indice_index!$Z$1=1,"P017 - Agricultura e Pescas","P017 - Agriculture and Fisheries")</f>
        <v>P017 - Agricultura e Pescas</v>
      </c>
      <c r="D160" s="279" t="str">
        <f>IF(Indice_index!$Z$1=1,"004 - Serv. Gerais da A.P. - Investigação científica de carácter geral","004 - General public services - General scientific research")</f>
        <v>004 - Serv. Gerais da A.P. - Investigação científica de carácter geral</v>
      </c>
      <c r="E160" s="4">
        <v>3.0379839999999998</v>
      </c>
      <c r="F160" s="4">
        <v>3.3490570000000002</v>
      </c>
      <c r="G160" s="4">
        <v>1.122962</v>
      </c>
    </row>
    <row r="161" spans="2:7" ht="14.1" customHeight="1">
      <c r="B161" s="339"/>
      <c r="C161" s="278"/>
      <c r="D161" s="279" t="str">
        <f>IF(Indice_index!$Z$1=1,"040 - Agricultura, pecuária, silv, caça, pesca - Administração e regulamentação","040 - Crops, livestock, forestry, fisheries - Administration and regulations")</f>
        <v>040 - Agricultura, pecuária, silv, caça, pesca - Administração e regulamentação</v>
      </c>
      <c r="E161" s="4">
        <v>5.2556940000000001</v>
      </c>
      <c r="F161" s="4">
        <v>9.0619650000000007</v>
      </c>
      <c r="G161" s="4">
        <v>5.0600350000000001</v>
      </c>
    </row>
    <row r="162" spans="2:7" ht="14.1" customHeight="1">
      <c r="B162" s="339"/>
      <c r="C162" s="278"/>
      <c r="D162" s="279" t="str">
        <f>IF(Indice_index!$Z$1=1,"041 - Agricultura, pecuária, silv, caça, pesca - Investigação","041 - Crops, livestock, forestry, fisheries - Research")</f>
        <v>041 - Agricultura, pecuária, silv, caça, pesca - Investigação</v>
      </c>
      <c r="E162" s="4">
        <v>0.93164599999999997</v>
      </c>
      <c r="F162" s="4">
        <v>1.4760949999999999</v>
      </c>
      <c r="G162" s="4">
        <v>1.4760949999999999</v>
      </c>
    </row>
    <row r="163" spans="2:7" ht="14.1" customHeight="1">
      <c r="B163" s="339"/>
      <c r="C163" s="278"/>
      <c r="D163" s="279" t="str">
        <f>IF(Indice_index!$Z$1=1,"042 - Agricultura, pecuária, silv, caça, pesca - Agricultura e pecuária","042 - Crops, livestock, forestry, fisheries - Crops and livestock")</f>
        <v>042 - Agricultura, pecuária, silv, caça, pesca - Agricultura e pecuária</v>
      </c>
      <c r="E163" s="4">
        <v>30.705839999999998</v>
      </c>
      <c r="F163" s="4">
        <v>88.358526999999995</v>
      </c>
      <c r="G163" s="4">
        <v>60.411414000000001</v>
      </c>
    </row>
    <row r="164" spans="2:7" ht="14.1" customHeight="1">
      <c r="B164" s="339"/>
      <c r="C164" s="278"/>
      <c r="D164" s="279" t="str">
        <f>IF(Indice_index!$Z$1=1,"045 - Agricultura, pecuária, silv, caça, pesca - Pesca","045 - Crops, livestock, forestry, fisheries - Fisheries")</f>
        <v>045 - Agricultura, pecuária, silv, caça, pesca - Pesca</v>
      </c>
      <c r="E164" s="4">
        <v>2.9501119999999998</v>
      </c>
      <c r="F164" s="4">
        <v>4.2422259999999996</v>
      </c>
      <c r="G164" s="4">
        <v>1.897273</v>
      </c>
    </row>
    <row r="165" spans="2:7" ht="14.1" customHeight="1">
      <c r="B165" s="339"/>
      <c r="C165" s="278"/>
      <c r="D165" s="279" t="str">
        <f>IF(Indice_index!$Z$1=1,"057 - Transportes e comunicações - Transportes marítimos e fluviais","057 - Transport and Communications - Water transport")</f>
        <v>057 - Transportes e comunicações - Transportes marítimos e fluviais</v>
      </c>
      <c r="E165" s="4">
        <v>0.54339999999999999</v>
      </c>
      <c r="F165" s="4">
        <v>0.56460900000000003</v>
      </c>
      <c r="G165" s="4">
        <v>0.56460900000000003</v>
      </c>
    </row>
    <row r="166" spans="2:7" ht="14.1" customHeight="1">
      <c r="B166" s="339"/>
      <c r="C166" s="278"/>
      <c r="D166" s="279" t="s">
        <v>576</v>
      </c>
      <c r="E166" s="4">
        <v>8.9200000000000008E-3</v>
      </c>
      <c r="F166" s="4">
        <v>8.9200000000000008E-3</v>
      </c>
      <c r="G166" s="4">
        <v>8.9200000000000008E-3</v>
      </c>
    </row>
    <row r="167" spans="2:7" ht="14.1" customHeight="1">
      <c r="B167" s="339"/>
      <c r="C167" s="278"/>
      <c r="D167" s="279" t="str">
        <f>IF(Indice_index!$Z$1=1,"085 - Florestas","085 - Forests")</f>
        <v>085 - Florestas</v>
      </c>
      <c r="E167" s="4">
        <v>2.7705669999999998</v>
      </c>
      <c r="F167" s="4">
        <v>3.8680729999999999</v>
      </c>
      <c r="G167" s="4">
        <v>3.9393229999999999</v>
      </c>
    </row>
    <row r="168" spans="2:7" ht="14.1" customHeight="1">
      <c r="B168" s="339"/>
      <c r="C168" s="278"/>
      <c r="D168" s="279" t="str">
        <f>IF(Indice_index!$Z$1=1,"101 - Plano Nacional de Gestão Integrada de Fogos Rurais","101 - National Plan on Integrated Rural Fire Management")</f>
        <v>101 - Plano Nacional de Gestão Integrada de Fogos Rurais</v>
      </c>
      <c r="E168" s="4">
        <v>5.4771979999999996</v>
      </c>
      <c r="F168" s="4">
        <v>17.010670999999999</v>
      </c>
      <c r="G168" s="4">
        <v>17.235465999999999</v>
      </c>
    </row>
    <row r="169" spans="2:7" ht="14.1" customHeight="1">
      <c r="B169" s="278"/>
      <c r="C169" s="278"/>
      <c r="D169" s="278" t="str">
        <f>C160</f>
        <v>P017 - Agricultura e Pescas</v>
      </c>
      <c r="E169" s="134">
        <f>SUM(E160:E168)</f>
        <v>51.681360999999995</v>
      </c>
      <c r="F169" s="134">
        <f>SUM(F160:F168)</f>
        <v>127.94014300000001</v>
      </c>
      <c r="G169" s="134">
        <f>SUM(G160:G168)</f>
        <v>91.716097000000005</v>
      </c>
    </row>
    <row r="170" spans="2:7" ht="14.1" customHeight="1">
      <c r="B170" s="339" t="str">
        <f>IF(Indice_index!$Z$1=1,"MC","MC")</f>
        <v>MC</v>
      </c>
      <c r="C170" s="278" t="str">
        <f>IF(Indice_index!$Z$1=1,"P018 - Cultura","P018 - Culture")</f>
        <v>P018 - Cultura</v>
      </c>
      <c r="D170" s="279" t="str">
        <f>IF(Indice_index!$Z$1=1,"001 - Serviços Gerais da Administração Pública - Administração geral","001 - General public services - General Administration")</f>
        <v>001 - Serviços Gerais da Administração Pública - Administração geral</v>
      </c>
      <c r="E170" s="4">
        <v>0.74474300000000004</v>
      </c>
      <c r="F170" s="4">
        <v>0.74665599999999999</v>
      </c>
      <c r="G170" s="4">
        <v>0.54766599999999999</v>
      </c>
    </row>
    <row r="171" spans="2:7" ht="14.1" customHeight="1">
      <c r="B171" s="339"/>
      <c r="C171" s="278"/>
      <c r="D171" s="279" t="str">
        <f>IF(Indice_index!$Z$1=1,"036 - Serviços culturais, recreativos e religiosos - Cultura","036 - Cultural, recreational and religious services - Culture")</f>
        <v>036 - Serviços culturais, recreativos e religiosos - Cultura</v>
      </c>
      <c r="E171" s="4">
        <v>28.765079</v>
      </c>
      <c r="F171" s="4">
        <v>48.299371000000001</v>
      </c>
      <c r="G171" s="4">
        <v>27.882339999999999</v>
      </c>
    </row>
    <row r="172" spans="2:7" ht="14.1" customHeight="1">
      <c r="B172" s="278"/>
      <c r="C172" s="278"/>
      <c r="D172" s="278" t="str">
        <f>C170</f>
        <v>P018 - Cultura</v>
      </c>
      <c r="E172" s="134">
        <f>SUM(E170:E171)</f>
        <v>29.509822</v>
      </c>
      <c r="F172" s="134">
        <f>SUM(F170:F171)</f>
        <v>49.046027000000002</v>
      </c>
      <c r="G172" s="134">
        <f>SUM(G170:G171)</f>
        <v>28.430005999999999</v>
      </c>
    </row>
    <row r="173" spans="2:7" ht="14.1" customHeight="1">
      <c r="B173" s="477" t="str">
        <f>IF(Indice_index!$Z$1=1,"TOTAL Cativos","TOTAL frozen allocations")</f>
        <v>TOTAL Cativos</v>
      </c>
      <c r="C173" s="478"/>
      <c r="D173" s="479"/>
      <c r="E173" s="27">
        <f>E16+E39+E43+E50+E51+E65+E75+E89+E95+E101+E104+E123+E131+E144+E152+E159+E169+E172</f>
        <v>2029.3422849999999</v>
      </c>
      <c r="F173" s="27">
        <f>F16+F39+F43+F50+F51+F65+F75+F89+F95+F101+F104+F123+F131+F144+F152+F159+F169+F172</f>
        <v>2746.8125679999994</v>
      </c>
      <c r="G173" s="27">
        <f>G16+G39+G43+G50+G51+G65+G75+G89+G95+G101+G104+G123+G131+G144+G152+G159+G169+G172</f>
        <v>1351.0895857099999</v>
      </c>
    </row>
    <row r="174" spans="2:7" ht="15">
      <c r="B174" s="115"/>
      <c r="C174" s="115"/>
      <c r="D174" s="115"/>
      <c r="E174" s="115"/>
      <c r="F174" s="115"/>
      <c r="G174" s="115"/>
    </row>
    <row r="175" spans="2:7" ht="15">
      <c r="B175" s="391" t="str">
        <f>IF(Indice_index!$Z$1=1,"Reserva","Reserve")</f>
        <v>Reserva</v>
      </c>
      <c r="C175" s="387"/>
      <c r="D175" s="387"/>
      <c r="E175" s="387"/>
      <c r="F175" s="387"/>
      <c r="G175" s="387"/>
    </row>
    <row r="176" spans="2:7" ht="15">
      <c r="B176" s="121"/>
      <c r="C176" s="121"/>
      <c r="D176" s="121"/>
      <c r="E176" s="45"/>
      <c r="F176" s="45"/>
      <c r="G176" s="114"/>
    </row>
    <row r="177" spans="2:7" ht="15">
      <c r="B177" s="118" t="str">
        <f>B9</f>
        <v>Período: julho</v>
      </c>
      <c r="C177" s="3"/>
      <c r="D177" s="3"/>
      <c r="E177" s="3"/>
      <c r="F177" s="3"/>
      <c r="G177" s="3" t="str">
        <f>IF(Indice_index!$Z$1=1,"€ Milhões","€ Millions")</f>
        <v>€ Milhões</v>
      </c>
    </row>
    <row r="178" spans="2:7" ht="26.45" customHeight="1">
      <c r="B178" s="390" t="str">
        <f>IF(Indice_index!$Z$1=1,"Ministério","Ministry")</f>
        <v>Ministério</v>
      </c>
      <c r="C178" s="390" t="str">
        <f>IF(Indice_index!$Z$1=1,"Programa Orçamental","Budgetary program")</f>
        <v>Programa Orçamental</v>
      </c>
      <c r="D178" s="410" t="str">
        <f>IF(Indice_index!$Z$1=1,"Reserva","Reserve")</f>
        <v>Reserva</v>
      </c>
      <c r="E178" s="128" t="str">
        <f>IF(Indice_index!$Z$1=1,"Cativos iniciais (LOE)","Initial frozen allocations (SBL)")</f>
        <v>Cativos iniciais (LOE)</v>
      </c>
      <c r="F178" s="275" t="str">
        <f>IF(Indice_index!$Z$1=1,"Cativos iniciais (LOE e DLEO)","Initial frozen allocations (SBL and BEDL)")</f>
        <v>Cativos iniciais (LOE e DLEO)</v>
      </c>
      <c r="G178" s="119" t="str">
        <f>IF(Indice_index!$Z$1=1,"Cativos atuais","Current frozen allocations")</f>
        <v>Cativos atuais</v>
      </c>
    </row>
    <row r="179" spans="2:7" ht="16.350000000000001" customHeight="1">
      <c r="B179" s="389"/>
      <c r="C179" s="389"/>
      <c r="D179" s="373"/>
      <c r="E179" s="126" t="s">
        <v>53</v>
      </c>
      <c r="F179" s="277" t="s">
        <v>54</v>
      </c>
      <c r="G179" s="276" t="s">
        <v>624</v>
      </c>
    </row>
    <row r="180" spans="2:7" ht="14.1" customHeight="1">
      <c r="B180" s="278" t="str">
        <f>+B13</f>
        <v>EGE</v>
      </c>
      <c r="C180" s="278" t="str">
        <f>+C13</f>
        <v>P001 - Órgãos de Soberania</v>
      </c>
      <c r="D180" s="343" t="str">
        <f>IF(Indice_index!$Z$1=1,"Reserva Orçamental","Reserve")</f>
        <v>Reserva Orçamental</v>
      </c>
      <c r="E180" s="4">
        <v>5.8812769999999999</v>
      </c>
      <c r="F180" s="4">
        <v>5.8812769999999999</v>
      </c>
      <c r="G180" s="4">
        <v>5.3126769999999999</v>
      </c>
    </row>
    <row r="181" spans="2:7" ht="14.1" customHeight="1">
      <c r="B181" s="278" t="str">
        <f>+B17</f>
        <v>PCM</v>
      </c>
      <c r="C181" s="278" t="str">
        <f>+C17</f>
        <v>P002 - Governação</v>
      </c>
      <c r="D181" s="343" t="str">
        <f>IF(Indice_index!$Z$1=1,"Reserva Orçamental","Reserve")</f>
        <v>Reserva Orçamental</v>
      </c>
      <c r="E181" s="4">
        <v>14.358934</v>
      </c>
      <c r="F181" s="4">
        <v>14.358934</v>
      </c>
      <c r="G181" s="4">
        <v>12.097073</v>
      </c>
    </row>
    <row r="182" spans="2:7" ht="14.1" customHeight="1">
      <c r="B182" s="278" t="str">
        <f>+B26</f>
        <v>MCT</v>
      </c>
      <c r="C182" s="278" t="str">
        <f>+C26</f>
        <v>P002 - Governação</v>
      </c>
      <c r="D182" s="343" t="str">
        <f>IF(Indice_index!$Z$1=1,"Reserva Orçamental","Reserve")</f>
        <v>Reserva Orçamental</v>
      </c>
      <c r="E182" s="4">
        <v>5.7620740000000001</v>
      </c>
      <c r="F182" s="4">
        <v>5.7620740000000001</v>
      </c>
      <c r="G182" s="4">
        <v>5.7620740000000001</v>
      </c>
    </row>
    <row r="183" spans="2:7" ht="14.1" customHeight="1">
      <c r="B183" s="278" t="str">
        <f>+B40</f>
        <v>MNE</v>
      </c>
      <c r="C183" s="278" t="str">
        <f>+C40</f>
        <v>P003 - Representação Externa</v>
      </c>
      <c r="D183" s="343" t="str">
        <f>IF(Indice_index!$Z$1=1,"Reserva Orçamental","Reserve")</f>
        <v>Reserva Orçamental</v>
      </c>
      <c r="E183" s="4">
        <v>8.829879</v>
      </c>
      <c r="F183" s="4">
        <v>8.829879</v>
      </c>
      <c r="G183" s="4">
        <v>28.829878999999998</v>
      </c>
    </row>
    <row r="184" spans="2:7" ht="14.1" customHeight="1">
      <c r="B184" s="278" t="str">
        <f>+B44</f>
        <v>MF</v>
      </c>
      <c r="C184" s="278" t="str">
        <f>+C44</f>
        <v>P004 - Finanças</v>
      </c>
      <c r="D184" s="343" t="str">
        <f>IF(Indice_index!$Z$1=1,"Reserva Orçamental","Reserve")</f>
        <v>Reserva Orçamental</v>
      </c>
      <c r="E184" s="4">
        <v>38.430467999999998</v>
      </c>
      <c r="F184" s="4">
        <v>38.430467999999998</v>
      </c>
      <c r="G184" s="4">
        <v>24.050418000000001</v>
      </c>
    </row>
    <row r="185" spans="2:7" ht="14.1" customHeight="1">
      <c r="B185" s="278" t="str">
        <f>+B52</f>
        <v>MDN</v>
      </c>
      <c r="C185" s="278" t="str">
        <f>+C52</f>
        <v>P006 - Defesa</v>
      </c>
      <c r="D185" s="343" t="str">
        <f>IF(Indice_index!$Z$1=1,"Reserva Orçamental","Reserve")</f>
        <v>Reserva Orçamental</v>
      </c>
      <c r="E185" s="4">
        <v>47.756697000000003</v>
      </c>
      <c r="F185" s="4">
        <v>47.756697000000003</v>
      </c>
      <c r="G185" s="4">
        <v>51.196683</v>
      </c>
    </row>
    <row r="186" spans="2:7" ht="14.1" customHeight="1">
      <c r="B186" s="278" t="str">
        <f>B66</f>
        <v>MJ</v>
      </c>
      <c r="C186" s="278" t="str">
        <f>C66</f>
        <v>P007 - Justiça</v>
      </c>
      <c r="D186" s="343" t="str">
        <f>IF(Indice_index!$Z$1=1,"Reserva Orçamental","Reserve")</f>
        <v>Reserva Orçamental</v>
      </c>
      <c r="E186" s="4">
        <v>45.203364999999998</v>
      </c>
      <c r="F186" s="4">
        <v>45.203364999999998</v>
      </c>
      <c r="G186" s="4">
        <v>16.658016</v>
      </c>
    </row>
    <row r="187" spans="2:7" ht="14.1" customHeight="1">
      <c r="B187" s="278" t="str">
        <f>B76</f>
        <v>MAI</v>
      </c>
      <c r="C187" s="278" t="str">
        <f>C76</f>
        <v>P008 - Segurança Interna</v>
      </c>
      <c r="D187" s="343" t="str">
        <f>IF(Indice_index!$Z$1=1,"Reserva Orçamental","Reserve")</f>
        <v>Reserva Orçamental</v>
      </c>
      <c r="E187" s="4">
        <v>57.143917000000002</v>
      </c>
      <c r="F187" s="4">
        <v>57.143917000000002</v>
      </c>
      <c r="G187" s="4">
        <v>48.398915000000002</v>
      </c>
    </row>
    <row r="188" spans="2:7" ht="14.1" customHeight="1">
      <c r="B188" s="278" t="str">
        <f>B90</f>
        <v>MECI</v>
      </c>
      <c r="C188" s="278" t="str">
        <f>C90</f>
        <v>P009 - Educação</v>
      </c>
      <c r="D188" s="343" t="str">
        <f>IF(Indice_index!$Z$1=1,"Reserva Orçamental","Reserve")</f>
        <v>Reserva Orçamental</v>
      </c>
      <c r="E188" s="4">
        <v>3.0154320000000001</v>
      </c>
      <c r="F188" s="4">
        <v>3.0154320000000001</v>
      </c>
      <c r="G188" s="4">
        <v>3.0154320000000001</v>
      </c>
    </row>
    <row r="189" spans="2:7" ht="14.1" customHeight="1">
      <c r="B189" s="278" t="str">
        <f>B96</f>
        <v>MECI</v>
      </c>
      <c r="C189" s="278" t="str">
        <f>C96</f>
        <v>P010 - Ciência e Inovação</v>
      </c>
      <c r="D189" s="343" t="str">
        <f>IF(Indice_index!$Z$1=1,"Reserva Orçamental","Reserve")</f>
        <v>Reserva Orçamental</v>
      </c>
      <c r="E189" s="4">
        <v>12.744501</v>
      </c>
      <c r="F189" s="4">
        <v>12.744501</v>
      </c>
      <c r="G189" s="4">
        <v>50.352997000000002</v>
      </c>
    </row>
    <row r="190" spans="2:7" ht="14.1" customHeight="1">
      <c r="B190" s="278" t="str">
        <f>B103</f>
        <v>MS</v>
      </c>
      <c r="C190" s="278" t="str">
        <f>C103</f>
        <v>P011 - Saúde</v>
      </c>
      <c r="D190" s="343" t="str">
        <f>IF(Indice_index!$Z$1=1,"Reserva Orçamental","Reserve")</f>
        <v>Reserva Orçamental</v>
      </c>
      <c r="E190" s="4">
        <v>0.85637300000000005</v>
      </c>
      <c r="F190" s="4">
        <v>0.85637300000000005</v>
      </c>
      <c r="G190" s="4">
        <v>0.85637300000000005</v>
      </c>
    </row>
    <row r="191" spans="2:7" ht="14.1" customHeight="1">
      <c r="B191" s="278" t="str">
        <f>B106</f>
        <v>MIH</v>
      </c>
      <c r="C191" s="278" t="str">
        <f>C106</f>
        <v>P012 - Infraestruturas e Habitação</v>
      </c>
      <c r="D191" s="343" t="str">
        <f>IF(Indice_index!$Z$1=1,"Reserva Orçamental","Reserve")</f>
        <v>Reserva Orçamental</v>
      </c>
      <c r="E191" s="4">
        <v>89.168380999999997</v>
      </c>
      <c r="F191" s="4">
        <v>89.168380999999997</v>
      </c>
      <c r="G191" s="4">
        <v>89.168380999999997</v>
      </c>
    </row>
    <row r="192" spans="2:7" ht="14.1" customHeight="1">
      <c r="B192" s="278" t="str">
        <f>B124</f>
        <v>ME</v>
      </c>
      <c r="C192" s="278" t="str">
        <f>C124</f>
        <v>P013 - Economia</v>
      </c>
      <c r="D192" s="343" t="str">
        <f>IF(Indice_index!$Z$1=1,"Reserva Orçamental","Reserve")</f>
        <v>Reserva Orçamental</v>
      </c>
      <c r="E192" s="4">
        <v>68.281246999999993</v>
      </c>
      <c r="F192" s="4">
        <v>68.281246999999993</v>
      </c>
      <c r="G192" s="4">
        <v>67.691387000000006</v>
      </c>
    </row>
    <row r="193" spans="2:7" ht="14.1" customHeight="1">
      <c r="B193" s="278" t="str">
        <f>B132</f>
        <v>MTSSS</v>
      </c>
      <c r="C193" s="278" t="str">
        <f>C132</f>
        <v>P014 - Trabalho, Solidariedade e Seg. Social</v>
      </c>
      <c r="D193" s="343" t="str">
        <f>IF(Indice_index!$Z$1=1,"Reserva Orçamental","Reserve")</f>
        <v>Reserva Orçamental</v>
      </c>
      <c r="E193" s="4">
        <v>13.108988</v>
      </c>
      <c r="F193" s="4">
        <v>13.108988</v>
      </c>
      <c r="G193" s="4">
        <v>13.096757999999999</v>
      </c>
    </row>
    <row r="194" spans="2:7" ht="14.1" customHeight="1">
      <c r="B194" s="278" t="str">
        <f>+B145</f>
        <v>MAE</v>
      </c>
      <c r="C194" s="278" t="str">
        <f>+C145</f>
        <v>P015 - Ambiente e Energia</v>
      </c>
      <c r="D194" s="343" t="str">
        <f>IF(Indice_index!$Z$1=1,"Reserva Orçamental","Reserve")</f>
        <v>Reserva Orçamental</v>
      </c>
      <c r="E194" s="4">
        <v>25.363263</v>
      </c>
      <c r="F194" s="4">
        <v>25.363263</v>
      </c>
      <c r="G194" s="4">
        <v>25.363263</v>
      </c>
    </row>
    <row r="195" spans="2:7" ht="14.1" customHeight="1">
      <c r="B195" s="278" t="str">
        <f>B153</f>
        <v>MJM</v>
      </c>
      <c r="C195" s="278" t="str">
        <f>C153</f>
        <v>P016 - Juventude e Modernização</v>
      </c>
      <c r="D195" s="343" t="str">
        <f>IF(Indice_index!$Z$1=1,"Reserva Orçamental","Reserve")</f>
        <v>Reserva Orçamental</v>
      </c>
      <c r="E195" s="4">
        <v>0.90339100000000006</v>
      </c>
      <c r="F195" s="4">
        <v>0.90339100000000006</v>
      </c>
      <c r="G195" s="4">
        <v>0.90339100000000006</v>
      </c>
    </row>
    <row r="196" spans="2:7" ht="14.1" customHeight="1">
      <c r="B196" s="278" t="str">
        <f>B160</f>
        <v>MAP</v>
      </c>
      <c r="C196" s="278" t="str">
        <f>C160</f>
        <v>P017 - Agricultura e Pescas</v>
      </c>
      <c r="D196" s="343" t="str">
        <f>IF(Indice_index!$Z$1=1,"Reserva Orçamental","Reserve")</f>
        <v>Reserva Orçamental</v>
      </c>
      <c r="E196" s="4">
        <v>16.069521000000002</v>
      </c>
      <c r="F196" s="4">
        <v>16.069521000000002</v>
      </c>
      <c r="G196" s="4">
        <v>15.407496999999999</v>
      </c>
    </row>
    <row r="197" spans="2:7" ht="14.1" customHeight="1">
      <c r="B197" s="278" t="str">
        <f>B170</f>
        <v>MC</v>
      </c>
      <c r="C197" s="278" t="str">
        <f>C170</f>
        <v>P018 - Cultura</v>
      </c>
      <c r="D197" s="343" t="str">
        <f>IF(Indice_index!$Z$1=1,"Reserva Orçamental","Reserve")</f>
        <v>Reserva Orçamental</v>
      </c>
      <c r="E197" s="4">
        <v>7.1493520000000004</v>
      </c>
      <c r="F197" s="4">
        <v>7.1493520000000004</v>
      </c>
      <c r="G197" s="4">
        <v>7.1493520000000004</v>
      </c>
    </row>
    <row r="198" spans="2:7" ht="14.1" customHeight="1">
      <c r="B198" s="468" t="s">
        <v>55</v>
      </c>
      <c r="C198" s="469"/>
      <c r="D198" s="470"/>
      <c r="E198" s="18">
        <f>SUM(E180:E197)</f>
        <v>460.02706000000001</v>
      </c>
      <c r="F198" s="18">
        <f>SUM(F180:F197)</f>
        <v>460.02706000000001</v>
      </c>
      <c r="G198" s="18">
        <f>SUM(G180:G197)</f>
        <v>465.31056600000005</v>
      </c>
    </row>
    <row r="199" spans="2:7" ht="14.1" customHeight="1">
      <c r="B199" s="471" t="str">
        <f>IF(Indice_index!$Z$1=1,"TOTAL Cativos + Reserva 2025","TOTAL Frozen allocations + Reserve 2025")</f>
        <v>TOTAL Cativos + Reserva 2025</v>
      </c>
      <c r="C199" s="472"/>
      <c r="D199" s="473"/>
      <c r="E199" s="18">
        <f>E198+E173</f>
        <v>2489.3693450000001</v>
      </c>
      <c r="F199" s="18">
        <f>F198+F173</f>
        <v>3206.8396279999993</v>
      </c>
      <c r="G199" s="18">
        <f>G198+G173</f>
        <v>1816.40015171</v>
      </c>
    </row>
    <row r="200" spans="2:7" ht="8.25" customHeight="1">
      <c r="B200"/>
      <c r="C200"/>
      <c r="D200"/>
      <c r="E200"/>
      <c r="F200"/>
      <c r="G200"/>
    </row>
    <row r="201" spans="2:7" ht="14.1" customHeight="1">
      <c r="B201" s="471" t="str">
        <f>IF(Indice_index!$Z$1=1,"Por memória Total Cativos + Reserva 2024","By memory Total Frozen allocations + Reserve 2024")</f>
        <v>Por memória Total Cativos + Reserva 2024</v>
      </c>
      <c r="C201" s="472"/>
      <c r="D201" s="473"/>
      <c r="E201" s="18">
        <v>1235.228713</v>
      </c>
      <c r="F201" s="18">
        <v>1235.228713</v>
      </c>
      <c r="G201" s="18">
        <v>756.92740473000003</v>
      </c>
    </row>
    <row r="202" spans="2:7" ht="15">
      <c r="B202" s="115" t="str">
        <f>IF(Indice_index!$Z$1=1,"Notas:","Notes:")</f>
        <v>Notas:</v>
      </c>
      <c r="C202" s="115"/>
      <c r="D202" s="115"/>
      <c r="E202" s="115"/>
      <c r="F202" s="115"/>
      <c r="G202" s="115"/>
    </row>
    <row r="203" spans="2:7" ht="15">
      <c r="B203" s="474" t="str">
        <f>IF(Indice_index!$Z$1=1,"- Cativos Iniciais (LOE): cativos apurados de acordo com a aplicação da disciplina orçamental prevista na Lei do Orçamento do Estado para 2025.","- Initial frozen allocations (SBL): set in accordance with the 2025 State Budget Law.")</f>
        <v>- Cativos Iniciais (LOE): cativos apurados de acordo com a aplicação da disciplina orçamental prevista na Lei do Orçamento do Estado para 2025.</v>
      </c>
      <c r="C203" s="474"/>
      <c r="D203" s="474"/>
      <c r="E203" s="474"/>
      <c r="F203" s="474"/>
      <c r="G203" s="474"/>
    </row>
    <row r="204" spans="2:7" ht="15">
      <c r="B204" s="474" t="str">
        <f>IF(Indice_index!$Z$1=1,"- Cativos Iniciais (LOE e DLEO): Inclui o montante de cativações determinadas pelo art.º 6.º do DLEO 20205 (Decreto-Lei n.º 13-A/2025, de 10 de março).","- Initial frozen allocations: Includes the amount set by article no. 6 of BEDL 2025 (Decree-Law no. 13-A/2025, of March 10).")</f>
        <v>- Cativos Iniciais (LOE e DLEO): Inclui o montante de cativações determinadas pelo art.º 6.º do DLEO 20205 (Decreto-Lei n.º 13-A/2025, de 10 de março).</v>
      </c>
      <c r="C204" s="474"/>
      <c r="D204" s="474"/>
      <c r="E204" s="474"/>
      <c r="F204" s="474"/>
      <c r="G204" s="474"/>
    </row>
    <row r="205" spans="2:7" ht="15.6" customHeight="1">
      <c r="B205" s="476" t="str">
        <f>IF(Indice_index!$Z$1=1,"- Valores não consolidados. Apenas expurgados dos cativos que incidem sobre a transferência do Orçamento do Estado destinada aos Serviços e Fundos Autónomos.","- Non-consolidated data: frozen allocations that affect State Budget transfers for Autonomus Services and Funds are removed.")</f>
        <v>- Valores não consolidados. Apenas expurgados dos cativos que incidem sobre a transferência do Orçamento do Estado destinada aos Serviços e Fundos Autónomos.</v>
      </c>
      <c r="C205" s="476"/>
      <c r="D205" s="476"/>
      <c r="E205" s="476"/>
      <c r="F205" s="476"/>
      <c r="G205" s="475"/>
    </row>
    <row r="206" spans="2:7" ht="15">
      <c r="B206" s="466" t="str">
        <f>IF(Indice_index!$Z$1=1,"- Face à natureza da dotação relativa à Reserva, que não tem uma finalidade pré-estabelecida, a mesma foi expurgada de Medidas.","- Due to the particular nature of the Reserve, with no pre-established purpose, it has been purged of Measures.")</f>
        <v>- Face à natureza da dotação relativa à Reserva, que não tem uma finalidade pré-estabelecida, a mesma foi expurgada de Medidas.</v>
      </c>
      <c r="C206" s="475"/>
      <c r="D206" s="475"/>
      <c r="E206" s="475"/>
      <c r="F206" s="475"/>
      <c r="G206" s="475"/>
    </row>
    <row r="207" spans="2:7" ht="15">
      <c r="B207" s="465" t="str">
        <f>IF(Indice_index!$Z$1=1,"Fonte: Entidade Orçamental.","Source: Budgetary Entity.")</f>
        <v>Fonte: Entidade Orçamental.</v>
      </c>
      <c r="C207" s="465"/>
      <c r="D207" s="465"/>
      <c r="E207" s="165"/>
      <c r="F207" s="165"/>
      <c r="G207" s="165"/>
    </row>
    <row r="208" spans="2:7" ht="14.85" customHeight="1"/>
    <row r="209" spans="2:7" ht="14.85" customHeight="1"/>
    <row r="210" spans="2:7" ht="15" hidden="1">
      <c r="B210" s="466"/>
      <c r="C210" s="467"/>
      <c r="D210" s="467"/>
      <c r="E210" s="467"/>
      <c r="F210" s="467"/>
      <c r="G210" s="467"/>
    </row>
    <row r="211" spans="2:7" ht="15" hidden="1">
      <c r="B211" s="466"/>
      <c r="C211" s="466"/>
      <c r="D211" s="466"/>
      <c r="E211" s="466"/>
      <c r="F211" s="466"/>
      <c r="G211" s="466"/>
    </row>
    <row r="212" spans="2:7" ht="14.85" customHeight="1"/>
    <row r="213" spans="2:7" ht="14.85" customHeight="1"/>
    <row r="214" spans="2:7" ht="14.85" customHeight="1"/>
    <row r="215" spans="2:7" ht="14.85" customHeight="1"/>
    <row r="216" spans="2:7" ht="14.85" customHeight="1"/>
    <row r="217" spans="2:7" ht="14.85" customHeight="1"/>
    <row r="218" spans="2:7" ht="14.85" customHeight="1"/>
    <row r="219" spans="2:7" ht="14.85" customHeight="1"/>
    <row r="220" spans="2:7" ht="14.85" customHeight="1"/>
    <row r="221" spans="2:7" ht="14.85" customHeight="1"/>
    <row r="222" spans="2:7" ht="14.85" customHeight="1"/>
    <row r="223" spans="2:7" ht="14.85" customHeight="1"/>
    <row r="224" spans="2:7" ht="14.85" customHeight="1"/>
    <row r="225" ht="14.85" customHeight="1"/>
    <row r="226" ht="14.85" customHeight="1"/>
    <row r="227" ht="14.85" customHeight="1"/>
    <row r="228" ht="14.85" customHeight="1"/>
    <row r="229" ht="14.85" customHeight="1"/>
    <row r="230" ht="14.85" customHeight="1"/>
    <row r="231" ht="14.85" customHeight="1"/>
    <row r="232" ht="14.85" customHeight="1"/>
    <row r="233" ht="14.85" customHeight="1"/>
    <row r="234" ht="14.85" customHeight="1"/>
    <row r="235" ht="14.85" customHeight="1"/>
    <row r="236" ht="14.85" customHeight="1"/>
    <row r="237" ht="14.85" customHeight="1"/>
    <row r="238" ht="14.85" customHeight="1"/>
    <row r="239" ht="14.85" customHeight="1"/>
    <row r="240" ht="14.85" customHeight="1"/>
    <row r="241" ht="14.85" customHeight="1"/>
    <row r="242" ht="14.85" customHeight="1"/>
    <row r="243" ht="14.85" customHeight="1"/>
    <row r="244" ht="14.85" customHeight="1"/>
    <row r="245" ht="14.85" customHeight="1"/>
    <row r="246" ht="14.85" customHeight="1"/>
    <row r="247" ht="14.85" customHeight="1"/>
    <row r="248" ht="14.85" customHeight="1"/>
    <row r="249" ht="14.85" customHeight="1"/>
    <row r="250" ht="14.85" customHeight="1"/>
    <row r="251" ht="14.85" customHeight="1"/>
    <row r="252" ht="14.85" customHeight="1"/>
    <row r="253" ht="14.85" customHeight="1"/>
    <row r="254" ht="14.85" customHeight="1"/>
    <row r="255" ht="14.85" customHeight="1"/>
    <row r="256" ht="14.85" customHeight="1"/>
    <row r="257" ht="14.85" customHeight="1"/>
    <row r="258" ht="14.85" customHeight="1"/>
    <row r="259" ht="14.85" customHeight="1"/>
    <row r="260" ht="14.85" customHeight="1"/>
    <row r="261" ht="14.85" customHeight="1"/>
    <row r="262" ht="14.85" customHeight="1"/>
    <row r="263" ht="14.85" customHeight="1"/>
    <row r="264" ht="14.85" customHeight="1"/>
    <row r="265" ht="14.85" customHeight="1"/>
    <row r="266" ht="14.85" customHeight="1"/>
    <row r="267" ht="14.85" customHeight="1"/>
    <row r="268" ht="14.85" customHeight="1"/>
    <row r="269" ht="14.85" customHeight="1"/>
    <row r="270" ht="14.85" customHeight="1"/>
    <row r="271" ht="14.85" customHeight="1"/>
    <row r="272" ht="14.85" customHeight="1"/>
    <row r="273" ht="14.85" customHeight="1"/>
    <row r="274" ht="14.85" customHeight="1"/>
    <row r="275" ht="14.85" customHeight="1"/>
  </sheetData>
  <mergeCells count="19">
    <mergeCell ref="B10:B12"/>
    <mergeCell ref="C10:C12"/>
    <mergeCell ref="D10:D12"/>
    <mergeCell ref="E10:G10"/>
    <mergeCell ref="B173:D173"/>
    <mergeCell ref="B207:D207"/>
    <mergeCell ref="B210:G210"/>
    <mergeCell ref="B211:G211"/>
    <mergeCell ref="B175:G175"/>
    <mergeCell ref="B178:B179"/>
    <mergeCell ref="C178:C179"/>
    <mergeCell ref="D178:D179"/>
    <mergeCell ref="B198:D198"/>
    <mergeCell ref="B199:D199"/>
    <mergeCell ref="B203:G203"/>
    <mergeCell ref="B206:G206"/>
    <mergeCell ref="B205:G205"/>
    <mergeCell ref="B201:D201"/>
    <mergeCell ref="B204:G204"/>
  </mergeCells>
  <conditionalFormatting sqref="E13:G172 E180:G197">
    <cfRule type="cellIs" dxfId="5" priority="1" operator="equal">
      <formula>0</formula>
    </cfRule>
  </conditionalFormatting>
  <pageMargins left="0.70866141732283472" right="0.70866141732283472" top="0.74803149606299213" bottom="0.74803149606299213" header="0.31496062992125984" footer="0.31496062992125984"/>
  <pageSetup paperSize="9" scale="53" fitToHeight="3" orientation="portrait" r:id="rId1"/>
  <rowBreaks count="2" manualBreakCount="2">
    <brk id="169" min="1" max="5" man="1"/>
    <brk id="174" min="1" max="5" man="1"/>
  </rowBreaks>
  <ignoredErrors>
    <ignoredError sqref="E179 E12 F179:G179 F12:G12" numberStoredAsText="1"/>
    <ignoredError sqref="G172:G173 E172:E173 F172 F65:F171 E155:E171 E78:E153 E65:E75 E76:E77 G65:G75 E154 G78:G153 G155:G171 G76:G77 G154" formulaRange="1"/>
  </ignoredErrors>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codeName="Folha27">
    <pageSetUpPr fitToPage="1"/>
  </sheetPr>
  <dimension ref="A1:AG43"/>
  <sheetViews>
    <sheetView showGridLines="0" zoomScaleNormal="100" workbookViewId="0"/>
  </sheetViews>
  <sheetFormatPr defaultColWidth="0" defaultRowHeight="14.85" customHeight="1" zeroHeight="1"/>
  <cols>
    <col min="1" max="1" width="8.5703125" style="50" customWidth="1"/>
    <col min="2" max="2" width="54.5703125" style="31" customWidth="1"/>
    <col min="3" max="3" width="10.42578125" style="31" customWidth="1"/>
    <col min="4" max="6" width="10.42578125" style="50" customWidth="1"/>
    <col min="7" max="8" width="8.5703125" style="50" customWidth="1"/>
    <col min="9" max="9" width="8.5703125" style="50" hidden="1" customWidth="1"/>
    <col min="10" max="33" width="0" hidden="1" customWidth="1"/>
    <col min="34" max="16384" width="9.42578125" hidden="1"/>
  </cols>
  <sheetData>
    <row r="1" spans="1:9" ht="14.85" customHeight="1"/>
    <row r="2" spans="1:9" ht="15"/>
    <row r="3" spans="1:9" ht="15"/>
    <row r="4" spans="1:9" ht="15"/>
    <row r="5" spans="1:9" ht="18" customHeight="1">
      <c r="A5"/>
      <c r="B5" s="270" t="str">
        <f>IF(Indice_index!$Z$1=1,"ANEXOS ESTATÍSTICOS","STATISTICAL ANNEXES")</f>
        <v>ANEXOS ESTATÍSTICOS</v>
      </c>
      <c r="C5"/>
      <c r="D5"/>
      <c r="E5"/>
      <c r="F5"/>
      <c r="G5"/>
      <c r="H5"/>
      <c r="I5"/>
    </row>
    <row r="6" spans="1:9" ht="18" customHeight="1">
      <c r="A6"/>
      <c r="B6" s="271" t="str">
        <f>IF(Indice_index!$Z$1=1,"Agosto de 2025","August 2025")</f>
        <v>Agosto de 2025</v>
      </c>
      <c r="C6"/>
      <c r="D6"/>
      <c r="E6"/>
      <c r="F6"/>
      <c r="G6"/>
      <c r="H6"/>
      <c r="I6"/>
    </row>
    <row r="7" spans="1:9" ht="50.1" customHeight="1">
      <c r="B7" s="12"/>
      <c r="C7" s="13"/>
      <c r="D7" s="11"/>
      <c r="E7" s="11"/>
      <c r="F7" s="11"/>
      <c r="G7" s="11"/>
    </row>
    <row r="8" spans="1:9" ht="15.75">
      <c r="B8" s="116" t="str">
        <f>IF(Indice_index!$Z$1=1,"Quadro 24 - Despesa Efetiva Consolidada por Programa Orçamental","24 - Consolidated Effective Expenditure by Budgetary Program")</f>
        <v>Quadro 24 - Despesa Efetiva Consolidada por Programa Orçamental</v>
      </c>
      <c r="C8" s="2"/>
      <c r="D8" s="2"/>
      <c r="E8" s="2"/>
      <c r="F8" s="2"/>
      <c r="G8" s="2"/>
    </row>
    <row r="9" spans="1:9" ht="15">
      <c r="B9" s="3" t="str">
        <f>+'3 - Conta AC + SS'!B9</f>
        <v>Período: janeiro a agosto</v>
      </c>
      <c r="C9" s="122"/>
      <c r="D9" s="122"/>
      <c r="E9" s="3"/>
      <c r="F9" s="3"/>
      <c r="G9" s="3" t="str">
        <f>IF(Indice_index!$Z$1=1,"€ Milhões","€ Millions")</f>
        <v>€ Milhões</v>
      </c>
    </row>
    <row r="10" spans="1:9" ht="26.85" customHeight="1">
      <c r="B10" s="390"/>
      <c r="C10" s="391" t="str">
        <f>IF(Indice_index!$Z$1=1,"Execução Acumulada","Accumulated Execution")</f>
        <v>Execução Acumulada</v>
      </c>
      <c r="D10" s="388"/>
      <c r="E10" s="391" t="str">
        <f>IF(Indice_index!$Z$1=1,"Variação Homóloga Acumulada","YOY Change Rate")</f>
        <v>Variação Homóloga Acumulada</v>
      </c>
      <c r="F10" s="388"/>
      <c r="G10" s="390" t="str">
        <f>IF(Indice_index!$Z$1=1,"Contributo (em p.p.)","Contribution (pp)")</f>
        <v>Contributo (em p.p.)</v>
      </c>
    </row>
    <row r="11" spans="1:9" ht="14.1" customHeight="1">
      <c r="B11" s="389"/>
      <c r="C11" s="22">
        <v>2024</v>
      </c>
      <c r="D11" s="22">
        <v>2025</v>
      </c>
      <c r="E11" s="22" t="str">
        <f>IF(Indice_index!$Z$1=1,"Absoluta","Absolute")</f>
        <v>Absoluta</v>
      </c>
      <c r="F11" s="22" t="str">
        <f>IF(Indice_index!$Z$1=1,"Relativa (%)","Relative (%)")</f>
        <v>Relativa (%)</v>
      </c>
      <c r="G11" s="389"/>
    </row>
    <row r="12" spans="1:9" ht="14.1" customHeight="1">
      <c r="B12" s="299" t="str">
        <f>IF(Indice_index!$Z$1=1,"001 - Órgãos de Soberania","001 - Bodies of Sovereignty")</f>
        <v>001 - Órgãos de Soberania</v>
      </c>
      <c r="C12" s="4">
        <v>4375.6835680499989</v>
      </c>
      <c r="D12" s="4">
        <v>4822.8426341499999</v>
      </c>
      <c r="E12" s="4">
        <f>+D12-C12</f>
        <v>447.15906610000093</v>
      </c>
      <c r="F12" s="4">
        <f>IF(IFERROR((D12-C12)/C12*100,"")&gt;500,"-",IFERROR((D12-C12)/C12*100,""))</f>
        <v>10.219181966562427</v>
      </c>
      <c r="G12" s="4">
        <f t="shared" ref="G12:G29" si="0">IFERROR((D12-C12)/$C$33*100,"")</f>
        <v>0.82040861418179245</v>
      </c>
    </row>
    <row r="13" spans="1:9" ht="14.1" customHeight="1">
      <c r="B13" s="299" t="str">
        <f>IF(Indice_index!$Z$1=1,"002 - Governação","002 - Governance")</f>
        <v>002 - Governação</v>
      </c>
      <c r="C13" s="4">
        <v>797.48564543000032</v>
      </c>
      <c r="D13" s="4">
        <v>860.73648555000022</v>
      </c>
      <c r="E13" s="4">
        <f t="shared" ref="E13:E29" si="1">+D13-C13</f>
        <v>63.250840119999907</v>
      </c>
      <c r="F13" s="4">
        <f t="shared" ref="F13:F33" si="2">IF(IFERROR((D13-C13)/C13*100,"")&gt;500,"-",IFERROR((D13-C13)/C13*100,""))</f>
        <v>7.931282585769349</v>
      </c>
      <c r="G13" s="4">
        <f t="shared" si="0"/>
        <v>0.11604714747543197</v>
      </c>
    </row>
    <row r="14" spans="1:9" ht="14.1" customHeight="1">
      <c r="B14" s="299" t="str">
        <f>IF(Indice_index!$Z$1=1,"003 - Representação Externa","003 - External Representation")</f>
        <v>003 - Representação Externa</v>
      </c>
      <c r="C14" s="4">
        <v>236.21204893000007</v>
      </c>
      <c r="D14" s="4">
        <v>255.04321669000012</v>
      </c>
      <c r="E14" s="4">
        <f t="shared" si="1"/>
        <v>18.831167760000056</v>
      </c>
      <c r="F14" s="4">
        <f t="shared" si="2"/>
        <v>7.9721453013519019</v>
      </c>
      <c r="G14" s="4">
        <f t="shared" si="0"/>
        <v>3.4549790928205142E-2</v>
      </c>
    </row>
    <row r="15" spans="1:9" ht="14.1" customHeight="1">
      <c r="B15" s="299" t="str">
        <f>IF(Indice_index!$Z$1=1,"004 - Finanças","004 - Finance")</f>
        <v>004 - Finanças</v>
      </c>
      <c r="C15" s="4">
        <v>3628.1458203499988</v>
      </c>
      <c r="D15" s="4">
        <v>4659.2348140799995</v>
      </c>
      <c r="E15" s="4">
        <f t="shared" si="1"/>
        <v>1031.0889937300008</v>
      </c>
      <c r="F15" s="4">
        <f t="shared" si="2"/>
        <v>28.41917179697408</v>
      </c>
      <c r="G15" s="4">
        <f t="shared" si="0"/>
        <v>1.8917525251628282</v>
      </c>
    </row>
    <row r="16" spans="1:9" ht="14.1" customHeight="1">
      <c r="B16" s="299" t="str">
        <f>IF(Indice_index!$Z$1=1,"005 - Gestão da Dívida Pública","005 - Public Debt Management")</f>
        <v>005 - Gestão da Dívida Pública</v>
      </c>
      <c r="C16" s="4">
        <v>4743.2545400700001</v>
      </c>
      <c r="D16" s="4">
        <v>4779.8991583300003</v>
      </c>
      <c r="E16" s="4">
        <f t="shared" si="1"/>
        <v>36.644618260000243</v>
      </c>
      <c r="F16" s="4">
        <f t="shared" si="2"/>
        <v>0.7725627615055094</v>
      </c>
      <c r="G16" s="4">
        <f t="shared" si="0"/>
        <v>6.7232362626824846E-2</v>
      </c>
    </row>
    <row r="17" spans="2:7" ht="14.1" customHeight="1">
      <c r="B17" s="299" t="str">
        <f>IF(Indice_index!$Z$1=1,"006 - Defesa","006 - Defense")</f>
        <v>006 - Defesa</v>
      </c>
      <c r="C17" s="4">
        <v>1437.4116677600002</v>
      </c>
      <c r="D17" s="4">
        <v>1464.41992035</v>
      </c>
      <c r="E17" s="4">
        <f t="shared" si="1"/>
        <v>27.008252589999756</v>
      </c>
      <c r="F17" s="4">
        <f t="shared" si="2"/>
        <v>1.8789504214953425</v>
      </c>
      <c r="G17" s="4">
        <f t="shared" si="0"/>
        <v>4.9552395911566342E-2</v>
      </c>
    </row>
    <row r="18" spans="2:7" ht="14.1" customHeight="1">
      <c r="B18" s="299" t="str">
        <f>IF(Indice_index!$Z$1=1,"007 - Justiça","007 - Justice")</f>
        <v>007 - Justiça</v>
      </c>
      <c r="C18" s="4">
        <v>1122.4821377399999</v>
      </c>
      <c r="D18" s="4">
        <v>1192.3532231700001</v>
      </c>
      <c r="E18" s="4">
        <f t="shared" si="1"/>
        <v>69.871085430000221</v>
      </c>
      <c r="F18" s="4">
        <f t="shared" si="2"/>
        <v>6.224694637072651</v>
      </c>
      <c r="G18" s="4">
        <f t="shared" si="0"/>
        <v>0.12819339853479489</v>
      </c>
    </row>
    <row r="19" spans="2:7" ht="14.1" customHeight="1">
      <c r="B19" s="299" t="str">
        <f>IF(Indice_index!$Z$1=1,"008 - Segurança Interna","008 - Internal Security")</f>
        <v>008 - Segurança Interna</v>
      </c>
      <c r="C19" s="4">
        <v>1586.0669192399998</v>
      </c>
      <c r="D19" s="4">
        <v>1727.611730619999</v>
      </c>
      <c r="E19" s="4">
        <f t="shared" si="1"/>
        <v>141.54481137999915</v>
      </c>
      <c r="F19" s="4">
        <f t="shared" si="2"/>
        <v>8.9242647748950947</v>
      </c>
      <c r="G19" s="4">
        <f t="shared" si="0"/>
        <v>0.25969412531807784</v>
      </c>
    </row>
    <row r="20" spans="2:7" ht="14.1" customHeight="1">
      <c r="B20" s="299" t="str">
        <f>IF(Indice_index!$Z$1=1,"009 - Educação","009 - Education")</f>
        <v>009 - Educação</v>
      </c>
      <c r="C20" s="4">
        <v>4541.7914769400022</v>
      </c>
      <c r="D20" s="4">
        <v>4496.9808271599995</v>
      </c>
      <c r="E20" s="4">
        <f t="shared" si="1"/>
        <v>-44.810649780002677</v>
      </c>
      <c r="F20" s="4">
        <f t="shared" si="2"/>
        <v>-0.98662939519613346</v>
      </c>
      <c r="G20" s="4">
        <f t="shared" si="0"/>
        <v>-8.2214687957095106E-2</v>
      </c>
    </row>
    <row r="21" spans="2:7" ht="14.1" customHeight="1">
      <c r="B21" s="299" t="str">
        <f>IF(Indice_index!$Z$1=1,"010 - Ciência e Inovação","010 - Science and Inovation")</f>
        <v>010 - Ciência e Inovação</v>
      </c>
      <c r="C21" s="4">
        <v>2061.8117180999993</v>
      </c>
      <c r="D21" s="4">
        <v>2150.8411462099971</v>
      </c>
      <c r="E21" s="4">
        <f t="shared" si="1"/>
        <v>89.029428109997752</v>
      </c>
      <c r="F21" s="4">
        <f t="shared" si="2"/>
        <v>4.3180193093499417</v>
      </c>
      <c r="G21" s="4">
        <f t="shared" si="0"/>
        <v>0.16334346158775248</v>
      </c>
    </row>
    <row r="22" spans="2:7" ht="14.1" customHeight="1">
      <c r="B22" s="299" t="str">
        <f>IF(Indice_index!$Z$1=1,"011 - Saúde","011 - Health")</f>
        <v>011 - Saúde</v>
      </c>
      <c r="C22" s="4">
        <v>9128.9148837299963</v>
      </c>
      <c r="D22" s="4">
        <v>9861.9455438800014</v>
      </c>
      <c r="E22" s="4">
        <f t="shared" si="1"/>
        <v>733.03066015000513</v>
      </c>
      <c r="F22" s="4">
        <f t="shared" si="2"/>
        <v>8.0297677159467078</v>
      </c>
      <c r="G22" s="4">
        <f t="shared" si="0"/>
        <v>1.3449009840984389</v>
      </c>
    </row>
    <row r="23" spans="2:7" ht="14.1" customHeight="1">
      <c r="B23" s="299" t="str">
        <f>IF(Indice_index!$Z$1=1,"012 - Infraestruturas e Habitação","012 - Infrastructure and Housing")</f>
        <v>012 - Infraestruturas e Habitação</v>
      </c>
      <c r="C23" s="4">
        <v>2985.9317818500003</v>
      </c>
      <c r="D23" s="4">
        <v>2900.4079721999997</v>
      </c>
      <c r="E23" s="4">
        <f t="shared" si="1"/>
        <v>-85.523809650000658</v>
      </c>
      <c r="F23" s="4">
        <f t="shared" si="2"/>
        <v>-2.8642251698400316</v>
      </c>
      <c r="G23" s="4">
        <f t="shared" si="0"/>
        <v>-0.15691165733585538</v>
      </c>
    </row>
    <row r="24" spans="2:7" ht="14.1" customHeight="1">
      <c r="B24" s="299" t="str">
        <f>IF(Indice_index!$Z$1=1,"013 - Economia","013 - Economy")</f>
        <v>013 - Economia</v>
      </c>
      <c r="C24" s="4">
        <v>743.06594809000012</v>
      </c>
      <c r="D24" s="4">
        <v>960.60188255000003</v>
      </c>
      <c r="E24" s="4">
        <f t="shared" si="1"/>
        <v>217.53593445999991</v>
      </c>
      <c r="F24" s="4">
        <f t="shared" si="2"/>
        <v>29.275454624069514</v>
      </c>
      <c r="G24" s="4">
        <f t="shared" si="0"/>
        <v>0.39911603734577478</v>
      </c>
    </row>
    <row r="25" spans="2:7" ht="14.1" customHeight="1">
      <c r="B25" s="299" t="str">
        <f>IF(Indice_index!$Z$1=1,"014 - Trabalho, Solidariedade e Segurança Social","014 - Work, Solidarity and Social Security")</f>
        <v>014 - Trabalho, Solidariedade e Segurança Social</v>
      </c>
      <c r="C25" s="4">
        <v>15651.170081779994</v>
      </c>
      <c r="D25" s="4">
        <v>16634.16904054</v>
      </c>
      <c r="E25" s="4">
        <f t="shared" si="1"/>
        <v>982.99895876000664</v>
      </c>
      <c r="F25" s="4">
        <f t="shared" si="2"/>
        <v>6.2806739280428996</v>
      </c>
      <c r="G25" s="4">
        <f t="shared" si="0"/>
        <v>1.8035211061069891</v>
      </c>
    </row>
    <row r="26" spans="2:7" ht="14.1" customHeight="1">
      <c r="B26" s="299" t="str">
        <f>IF(Indice_index!$Z$1=1,"015 - Ambiente e Energia","015 - Environment and Energy")</f>
        <v>015 - Ambiente e Energia</v>
      </c>
      <c r="C26" s="4">
        <v>1036.8629689600002</v>
      </c>
      <c r="D26" s="4">
        <v>789.12484618000053</v>
      </c>
      <c r="E26" s="4">
        <f t="shared" si="1"/>
        <v>-247.73812277999969</v>
      </c>
      <c r="F26" s="4">
        <f t="shared" si="2"/>
        <v>-23.893043747959027</v>
      </c>
      <c r="G26" s="4">
        <f t="shared" si="0"/>
        <v>-0.45452838910904475</v>
      </c>
    </row>
    <row r="27" spans="2:7" ht="14.1" customHeight="1">
      <c r="B27" s="299" t="str">
        <f>IF(Indice_index!$Z$1=1,"016 - Juventude e Modernização","016 - Youth and modernization")</f>
        <v>016 - Juventude e Modernização</v>
      </c>
      <c r="C27" s="4">
        <v>34.156136780000018</v>
      </c>
      <c r="D27" s="4">
        <v>52.945132959999995</v>
      </c>
      <c r="E27" s="4">
        <f t="shared" ref="E27" si="3">+D27-C27</f>
        <v>18.788996179999977</v>
      </c>
      <c r="F27" s="4">
        <f t="shared" ref="F27" si="4">IF(IFERROR((D27-C27)/C27*100,"")&gt;500,"-",IFERROR((D27-C27)/C27*100,""))</f>
        <v>55.009137306774683</v>
      </c>
      <c r="G27" s="4">
        <f t="shared" si="0"/>
        <v>3.4472418176250283E-2</v>
      </c>
    </row>
    <row r="28" spans="2:7" ht="14.1" customHeight="1">
      <c r="B28" s="299" t="str">
        <f>IF(Indice_index!$Z$1=1,"017 - Agricultura e Pescas","017 - Agriculture and Fisheries")</f>
        <v>017 - Agricultura e Pescas</v>
      </c>
      <c r="C28" s="4">
        <v>735.19914420000009</v>
      </c>
      <c r="D28" s="4">
        <v>607.37953792999997</v>
      </c>
      <c r="E28" s="4">
        <f t="shared" ref="E28" si="5">+D28-C28</f>
        <v>-127.81960627000012</v>
      </c>
      <c r="F28" s="4">
        <f t="shared" ref="F28" si="6">IF(IFERROR((D28-C28)/C28*100,"")&gt;500,"-",IFERROR((D28-C28)/C28*100,""))</f>
        <v>-17.38571205888519</v>
      </c>
      <c r="G28" s="4">
        <f t="shared" ref="G28" si="7">IFERROR((D28-C28)/$C$33*100,"")</f>
        <v>-0.2345123111554708</v>
      </c>
    </row>
    <row r="29" spans="2:7" ht="14.1" customHeight="1">
      <c r="B29" s="299" t="str">
        <f>IF(Indice_index!$Z$1=1,"018 - Cultura","018 - Culture")</f>
        <v>018 - Cultura</v>
      </c>
      <c r="C29" s="4">
        <v>192.70274056</v>
      </c>
      <c r="D29" s="4">
        <v>202.32120874</v>
      </c>
      <c r="E29" s="4">
        <f t="shared" si="1"/>
        <v>9.6184681800000078</v>
      </c>
      <c r="F29" s="4">
        <f t="shared" si="2"/>
        <v>4.9913499683753582</v>
      </c>
      <c r="G29" s="4">
        <f t="shared" si="0"/>
        <v>1.7647129955184099E-2</v>
      </c>
    </row>
    <row r="30" spans="2:7" ht="14.1" customHeight="1">
      <c r="B30" s="30" t="str">
        <f>IF(Indice_index!$Z$1=1,"Subtotal despesa efetiva consolidada dos Programas Orçamentais (1)","Subtotal consolidated effective expenditure of the Budget Programs (1)")</f>
        <v>Subtotal despesa efetiva consolidada dos Programas Orçamentais (1)</v>
      </c>
      <c r="C30" s="18">
        <f>SUM(C12:C29)</f>
        <v>55038.349228559986</v>
      </c>
      <c r="D30" s="18">
        <f>SUM(D12:D29)</f>
        <v>58418.858321289998</v>
      </c>
      <c r="E30" s="18">
        <f>SUM(E12:E29)</f>
        <v>3380.5090927300075</v>
      </c>
      <c r="F30" s="18">
        <f t="shared" si="2"/>
        <v>6.1420975376489482</v>
      </c>
      <c r="G30" s="18"/>
    </row>
    <row r="31" spans="2:7" ht="14.1" customHeight="1">
      <c r="B31" s="174" t="str">
        <f>IF(Indice_index!$Z$1=1,"Fluxos para outros Programas Orçamentais (2)","Flows to other Budget Programs (2)")</f>
        <v>Fluxos para outros Programas Orçamentais (2)</v>
      </c>
      <c r="C31" s="134">
        <v>863.58694910998531</v>
      </c>
      <c r="D31" s="134">
        <v>1386.5424325999679</v>
      </c>
      <c r="E31" s="134">
        <f>+D31-C31</f>
        <v>522.95548348998261</v>
      </c>
      <c r="F31" s="134">
        <f t="shared" si="2"/>
        <v>60.556205027060884</v>
      </c>
      <c r="G31" s="134"/>
    </row>
    <row r="32" spans="2:7" ht="14.1" customHeight="1">
      <c r="B32" s="299" t="str">
        <f>IF(Indice_index!$Z$1=1,"Diferenças de consolidação (3)","Consolidation differences (3)")</f>
        <v>Diferenças de consolidação (3)</v>
      </c>
      <c r="C32" s="4">
        <f>SUM('4 - Conta AC'!E42,'4 - Conta AC'!E49)</f>
        <v>329.67104442000095</v>
      </c>
      <c r="D32" s="4">
        <f>SUM('4 - Conta AC'!F42,'4 - Conta AC'!F49)</f>
        <v>197.79151367000253</v>
      </c>
      <c r="E32" s="4">
        <f>+D32-C32</f>
        <v>-131.87953074999842</v>
      </c>
      <c r="F32" s="4"/>
      <c r="G32" s="4"/>
    </row>
    <row r="33" spans="2:7" ht="14.1" customHeight="1">
      <c r="B33" s="92" t="str">
        <f>IF(Indice_index!$Z$1=1,"Total da despesa efetiva consolidada da Administração Central (4)=(1)-(2)+(3)","Total Consolidated Effective Expenditure of the Central Government")</f>
        <v>Total da despesa efetiva consolidada da Administração Central (4)=(1)-(2)+(3)</v>
      </c>
      <c r="C33" s="27">
        <f>C30-C31+C32</f>
        <v>54504.433323869998</v>
      </c>
      <c r="D33" s="27">
        <f>D30-D31+D32</f>
        <v>57230.10740236003</v>
      </c>
      <c r="E33" s="27">
        <f>E30-E31</f>
        <v>2857.5536092400248</v>
      </c>
      <c r="F33" s="27">
        <f t="shared" si="2"/>
        <v>5.000830046785083</v>
      </c>
      <c r="G33" s="27"/>
    </row>
    <row r="34" spans="2:7" ht="15">
      <c r="B34" s="147" t="str">
        <f>IF(Indice_index!$Z$1=1,"Notas:","Notes:")</f>
        <v>Notas:</v>
      </c>
      <c r="C34" s="155"/>
      <c r="D34" s="155"/>
      <c r="E34" s="52"/>
      <c r="F34" s="156"/>
      <c r="G34" s="156"/>
    </row>
    <row r="35" spans="2:7" ht="15">
      <c r="B35" s="465" t="str">
        <f>IF(Indice_index!$Z$1=1,"Os valores de execução orçamental dos Programas Orçamentais encontram-se consolidados de fluxos internos aos mesmos.","The budget execution figures for the Budgetary Programs are consolidated from their internal flows.")</f>
        <v>Os valores de execução orçamental dos Programas Orçamentais encontram-se consolidados de fluxos internos aos mesmos.</v>
      </c>
      <c r="C35" s="465"/>
      <c r="D35" s="465"/>
      <c r="E35" s="465"/>
      <c r="F35" s="465"/>
      <c r="G35" s="465"/>
    </row>
    <row r="36" spans="2:7" ht="15">
      <c r="B36" s="465" t="str">
        <f>IF(Indice_index!$Z$1=1,"As diferenças de consolidação correspondem às constantes da despesa da conta consolidada da Administração Central.","Consolidation differences correspond to those contained in the expense of the consolidated account of Central Administration.")</f>
        <v>As diferenças de consolidação correspondem às constantes da despesa da conta consolidada da Administração Central.</v>
      </c>
      <c r="C36" s="465"/>
      <c r="D36" s="465"/>
      <c r="E36" s="465"/>
      <c r="F36" s="465"/>
      <c r="G36" s="465"/>
    </row>
    <row r="37" spans="2:7" ht="15">
      <c r="B37" s="147" t="str">
        <f>IF(Indice_index!$Z$1=1,"Fonte: Entidade Orçamental.","Source: Budgetary Entity.")</f>
        <v>Fonte: Entidade Orçamental.</v>
      </c>
      <c r="C37" s="156"/>
      <c r="D37" s="156"/>
      <c r="E37" s="156"/>
      <c r="F37" s="156"/>
      <c r="G37" s="61"/>
    </row>
    <row r="38" spans="2:7" ht="15">
      <c r="B38" s="397"/>
      <c r="C38" s="397"/>
      <c r="D38" s="397"/>
      <c r="E38" s="397"/>
      <c r="F38" s="397"/>
      <c r="G38" s="397"/>
    </row>
    <row r="39" spans="2:7" ht="15" hidden="1">
      <c r="B39" s="398"/>
      <c r="C39" s="398"/>
      <c r="D39" s="398"/>
      <c r="E39" s="398"/>
      <c r="F39" s="398"/>
      <c r="G39" s="398"/>
    </row>
    <row r="40" spans="2:7" ht="15" hidden="1">
      <c r="B40" s="398"/>
      <c r="C40" s="398"/>
      <c r="D40" s="398"/>
      <c r="E40" s="398"/>
      <c r="F40" s="398"/>
      <c r="G40" s="398"/>
    </row>
    <row r="41" spans="2:7" ht="15" hidden="1">
      <c r="B41" s="397"/>
      <c r="C41" s="397"/>
      <c r="D41" s="397"/>
      <c r="E41" s="397"/>
      <c r="F41" s="397"/>
      <c r="G41" s="397"/>
    </row>
    <row r="42" spans="2:7" ht="15" hidden="1">
      <c r="B42" s="397"/>
      <c r="C42" s="397"/>
      <c r="D42" s="397"/>
      <c r="E42" s="397"/>
      <c r="F42" s="397"/>
      <c r="G42" s="397"/>
    </row>
    <row r="43" spans="2:7" ht="15" hidden="1">
      <c r="B43" s="398"/>
      <c r="C43" s="398"/>
      <c r="D43" s="398"/>
      <c r="E43" s="398"/>
      <c r="F43" s="398"/>
      <c r="G43" s="398"/>
    </row>
  </sheetData>
  <mergeCells count="12">
    <mergeCell ref="B40:G40"/>
    <mergeCell ref="B41:G41"/>
    <mergeCell ref="B42:G42"/>
    <mergeCell ref="B43:G43"/>
    <mergeCell ref="B10:B11"/>
    <mergeCell ref="C10:D10"/>
    <mergeCell ref="E10:F10"/>
    <mergeCell ref="G10:G11"/>
    <mergeCell ref="B35:G35"/>
    <mergeCell ref="B36:G36"/>
    <mergeCell ref="B38:G38"/>
    <mergeCell ref="B39:G39"/>
  </mergeCells>
  <conditionalFormatting sqref="C12:F29">
    <cfRule type="cellIs" dxfId="4" priority="2" operator="equal">
      <formula>0</formula>
    </cfRule>
  </conditionalFormatting>
  <conditionalFormatting sqref="C31:G32">
    <cfRule type="cellIs" dxfId="3" priority="1" operator="equal">
      <formula>0</formula>
    </cfRule>
  </conditionalFormatting>
  <pageMargins left="0.70866141732283472" right="0.70866141732283472" top="0.74803149606299213" bottom="0.74803149606299213" header="0.31496062992125984" footer="0.31496062992125984"/>
  <pageSetup paperSize="9" scale="84" orientation="portrait" r:id="rId1"/>
  <ignoredErrors>
    <ignoredError sqref="C30:D30" formulaRange="1"/>
    <ignoredError sqref="E30" formula="1" formulaRange="1"/>
  </ignoredErrors>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6A305C-3F2B-4CB6-9923-209534772316}">
  <sheetPr>
    <pageSetUpPr fitToPage="1"/>
  </sheetPr>
  <dimension ref="A1:BK101"/>
  <sheetViews>
    <sheetView showGridLines="0" workbookViewId="0"/>
  </sheetViews>
  <sheetFormatPr defaultColWidth="0" defaultRowHeight="14.85" customHeight="1" zeroHeight="1"/>
  <cols>
    <col min="1" max="1" width="8.5703125" style="50" customWidth="1"/>
    <col min="2" max="2" width="8" style="31" customWidth="1"/>
    <col min="3" max="3" width="18.5703125" style="31" customWidth="1"/>
    <col min="4" max="4" width="14.28515625" style="31" customWidth="1"/>
    <col min="5" max="5" width="21.85546875" style="31" customWidth="1"/>
    <col min="6" max="6" width="5.7109375" style="31" hidden="1" customWidth="1"/>
    <col min="7" max="10" width="4.5703125" style="31" hidden="1" customWidth="1"/>
    <col min="11" max="13" width="4.5703125" style="31" customWidth="1"/>
    <col min="14" max="17" width="4.5703125" style="31" hidden="1" customWidth="1"/>
    <col min="18" max="18" width="9.7109375" style="31" customWidth="1"/>
    <col min="19" max="23" width="4.5703125" style="31" hidden="1" customWidth="1"/>
    <col min="24" max="26" width="4.5703125" style="31" customWidth="1"/>
    <col min="27" max="30" width="4.5703125" style="31" hidden="1" customWidth="1"/>
    <col min="31" max="31" width="9.7109375" style="31" bestFit="1" customWidth="1"/>
    <col min="32" max="32" width="5" style="31" customWidth="1"/>
    <col min="33" max="37" width="4.5703125" style="31" hidden="1" customWidth="1"/>
    <col min="38" max="40" width="4.5703125" style="31" customWidth="1"/>
    <col min="41" max="44" width="4.5703125" style="31" hidden="1" customWidth="1"/>
    <col min="45" max="45" width="9.7109375" style="31" customWidth="1"/>
    <col min="46" max="50" width="4.5703125" style="31" hidden="1" customWidth="1"/>
    <col min="51" max="53" width="4.5703125" style="31" customWidth="1"/>
    <col min="54" max="57" width="4.5703125" style="31" hidden="1" customWidth="1"/>
    <col min="58" max="58" width="9.7109375" style="31" bestFit="1" customWidth="1"/>
    <col min="59" max="59" width="4.5703125" style="31" customWidth="1"/>
    <col min="60" max="60" width="7.28515625" style="31" customWidth="1"/>
    <col min="61" max="61" width="10.5703125" customWidth="1"/>
    <col min="62" max="62" width="10.5703125" hidden="1" customWidth="1"/>
    <col min="63" max="63" width="9.42578125" hidden="1" customWidth="1"/>
    <col min="64" max="16384" width="9.42578125" hidden="1"/>
  </cols>
  <sheetData>
    <row r="1" spans="1:62" ht="15">
      <c r="F1" s="50"/>
      <c r="G1" s="50"/>
      <c r="H1" s="50"/>
      <c r="I1" s="50"/>
      <c r="J1" s="50"/>
      <c r="K1" s="50"/>
      <c r="L1" s="50"/>
      <c r="M1" s="50"/>
      <c r="N1" s="50"/>
      <c r="O1" s="50"/>
      <c r="P1" s="50"/>
      <c r="Q1" s="50"/>
      <c r="R1" s="50"/>
      <c r="S1" s="50"/>
      <c r="T1" s="50"/>
      <c r="U1" s="50"/>
      <c r="V1" s="50"/>
      <c r="W1" s="50"/>
      <c r="X1" s="50"/>
      <c r="Y1" s="50"/>
      <c r="Z1" s="50"/>
      <c r="AA1" s="50"/>
      <c r="AB1" s="50"/>
      <c r="AC1" s="50"/>
      <c r="AD1" s="50"/>
      <c r="AE1" s="50"/>
      <c r="AF1"/>
      <c r="AG1"/>
      <c r="AH1"/>
      <c r="AI1"/>
      <c r="AJ1" s="50"/>
      <c r="AK1" s="50"/>
      <c r="AL1" s="50"/>
      <c r="AM1" s="50"/>
      <c r="AN1" s="50"/>
      <c r="AO1" s="50"/>
      <c r="AP1" s="50"/>
      <c r="AQ1" s="50"/>
      <c r="AR1" s="50"/>
      <c r="AS1"/>
      <c r="AT1"/>
      <c r="AU1"/>
      <c r="AV1"/>
      <c r="AW1" s="50"/>
      <c r="AX1" s="50"/>
      <c r="AY1" s="50"/>
      <c r="AZ1" s="50"/>
      <c r="BA1" s="50"/>
      <c r="BB1" s="50"/>
      <c r="BC1" s="50"/>
      <c r="BD1" s="50"/>
      <c r="BE1" s="50"/>
      <c r="BF1"/>
      <c r="BG1"/>
      <c r="BH1"/>
    </row>
    <row r="2" spans="1:62" ht="15">
      <c r="F2" s="50"/>
      <c r="G2" s="50"/>
      <c r="H2" s="50"/>
      <c r="I2" s="50"/>
      <c r="J2" s="50"/>
      <c r="K2" s="50"/>
      <c r="L2" s="50"/>
      <c r="M2" s="50"/>
      <c r="N2" s="50"/>
      <c r="O2" s="50"/>
      <c r="P2" s="50"/>
      <c r="Q2" s="50"/>
      <c r="R2" s="50"/>
      <c r="S2" s="50"/>
      <c r="T2" s="50"/>
      <c r="U2" s="50"/>
      <c r="V2" s="50"/>
      <c r="W2" s="50"/>
      <c r="X2" s="50"/>
      <c r="Y2" s="50"/>
      <c r="Z2" s="50"/>
      <c r="AA2" s="50"/>
      <c r="AB2" s="50"/>
      <c r="AC2" s="50"/>
      <c r="AD2" s="50"/>
      <c r="AE2" s="50"/>
      <c r="AF2"/>
      <c r="AG2"/>
      <c r="AH2"/>
      <c r="AI2"/>
      <c r="AJ2" s="50"/>
      <c r="AK2" s="50"/>
      <c r="AL2" s="50"/>
      <c r="AM2" s="50"/>
      <c r="AN2" s="50"/>
      <c r="AO2" s="50"/>
      <c r="AP2" s="50"/>
      <c r="AQ2" s="50"/>
      <c r="AR2" s="50"/>
      <c r="AS2"/>
      <c r="AT2"/>
      <c r="AU2"/>
      <c r="AV2"/>
      <c r="AW2" s="50"/>
      <c r="AX2" s="50"/>
      <c r="AY2" s="50"/>
      <c r="AZ2" s="50"/>
      <c r="BA2" s="50"/>
      <c r="BB2" s="50"/>
      <c r="BC2" s="50"/>
      <c r="BD2" s="50"/>
      <c r="BE2" s="50"/>
      <c r="BF2"/>
      <c r="BG2"/>
      <c r="BH2"/>
    </row>
    <row r="3" spans="1:62" ht="15">
      <c r="F3" s="50"/>
      <c r="G3" s="50"/>
      <c r="H3" s="50"/>
      <c r="I3" s="50"/>
      <c r="J3" s="50"/>
      <c r="K3" s="50"/>
      <c r="L3" s="50"/>
      <c r="M3" s="50"/>
      <c r="N3" s="50"/>
      <c r="O3" s="50"/>
      <c r="P3" s="50"/>
      <c r="Q3" s="50"/>
      <c r="R3" s="50"/>
      <c r="S3" s="50"/>
      <c r="T3" s="50"/>
      <c r="U3" s="50"/>
      <c r="V3" s="50"/>
      <c r="W3" s="50"/>
      <c r="X3" s="50"/>
      <c r="Y3" s="50"/>
      <c r="Z3" s="50"/>
      <c r="AA3" s="50"/>
      <c r="AB3" s="50"/>
      <c r="AC3" s="50"/>
      <c r="AD3" s="50"/>
      <c r="AE3" s="50"/>
      <c r="AF3"/>
      <c r="AG3"/>
      <c r="AH3"/>
      <c r="AI3"/>
      <c r="AJ3" s="50"/>
      <c r="AK3" s="50"/>
      <c r="AL3" s="50"/>
      <c r="AM3" s="50"/>
      <c r="AN3" s="50"/>
      <c r="AO3" s="50"/>
      <c r="AP3" s="50"/>
      <c r="AQ3" s="50"/>
      <c r="AR3" s="50"/>
      <c r="AS3"/>
      <c r="AT3"/>
      <c r="AU3"/>
      <c r="AV3"/>
      <c r="AW3" s="50"/>
      <c r="AX3" s="50"/>
      <c r="AY3" s="50"/>
      <c r="AZ3" s="50"/>
      <c r="BA3" s="50"/>
      <c r="BB3" s="50"/>
      <c r="BC3" s="50"/>
      <c r="BD3" s="50"/>
      <c r="BE3" s="50"/>
      <c r="BF3"/>
      <c r="BG3"/>
      <c r="BH3"/>
    </row>
    <row r="4" spans="1:62" ht="15">
      <c r="F4" s="50"/>
      <c r="G4" s="50"/>
      <c r="H4" s="50"/>
      <c r="I4" s="50"/>
      <c r="J4" s="50"/>
      <c r="K4" s="50"/>
      <c r="L4" s="50"/>
      <c r="M4" s="50"/>
      <c r="N4" s="50"/>
      <c r="O4" s="50"/>
      <c r="P4" s="50"/>
      <c r="Q4" s="50"/>
      <c r="R4" s="50"/>
      <c r="S4" s="50"/>
      <c r="T4" s="50"/>
      <c r="U4" s="50"/>
      <c r="V4" s="50"/>
      <c r="W4" s="50"/>
      <c r="X4" s="50"/>
      <c r="Y4" s="50"/>
      <c r="Z4" s="50"/>
      <c r="AA4" s="50"/>
      <c r="AB4" s="50"/>
      <c r="AC4" s="50"/>
      <c r="AD4" s="50"/>
      <c r="AE4" s="50"/>
      <c r="AF4"/>
      <c r="AG4"/>
      <c r="AH4"/>
      <c r="AI4"/>
      <c r="AJ4" s="50"/>
      <c r="AK4" s="50"/>
      <c r="AL4" s="50"/>
      <c r="AM4" s="50"/>
      <c r="AN4" s="50"/>
      <c r="AO4" s="50"/>
      <c r="AP4" s="50"/>
      <c r="AQ4" s="50"/>
      <c r="AR4" s="50"/>
      <c r="AS4"/>
      <c r="AT4"/>
      <c r="AU4"/>
      <c r="AV4"/>
      <c r="AW4" s="50"/>
      <c r="AX4" s="50"/>
      <c r="AY4" s="50"/>
      <c r="AZ4" s="50"/>
      <c r="BA4" s="50"/>
      <c r="BB4" s="50"/>
      <c r="BC4" s="50"/>
      <c r="BD4" s="50"/>
      <c r="BE4" s="50"/>
      <c r="BF4"/>
      <c r="BG4"/>
      <c r="BH4"/>
    </row>
    <row r="5" spans="1:62" ht="18" customHeight="1">
      <c r="A5"/>
      <c r="B5" s="270" t="str">
        <f>IF(Indice_index!$Z$1=1,"ANEXOS ESTATÍSTICOS","STATISTICAL ANNEXES")</f>
        <v>ANEXOS ESTATÍSTICOS</v>
      </c>
      <c r="C5"/>
      <c r="D5"/>
      <c r="E5"/>
      <c r="F5"/>
      <c r="G5"/>
      <c r="H5"/>
      <c r="I5"/>
      <c r="J5"/>
      <c r="K5"/>
      <c r="L5"/>
      <c r="M5"/>
      <c r="N5"/>
      <c r="O5"/>
      <c r="P5"/>
      <c r="Q5"/>
      <c r="R5"/>
      <c r="S5"/>
      <c r="T5"/>
      <c r="U5"/>
      <c r="V5"/>
      <c r="W5"/>
      <c r="X5"/>
      <c r="Y5"/>
      <c r="Z5"/>
      <c r="AA5"/>
      <c r="AB5"/>
      <c r="AC5"/>
      <c r="AD5"/>
      <c r="AE5"/>
      <c r="AF5"/>
      <c r="AG5"/>
      <c r="AH5"/>
      <c r="AI5"/>
      <c r="AJ5"/>
      <c r="AK5"/>
      <c r="AL5"/>
      <c r="AM5"/>
      <c r="AN5"/>
      <c r="AO5"/>
      <c r="AP5"/>
      <c r="AQ5"/>
      <c r="AR5"/>
      <c r="AS5"/>
      <c r="AT5"/>
      <c r="AU5"/>
      <c r="AV5"/>
      <c r="AW5"/>
      <c r="AX5"/>
      <c r="AY5"/>
      <c r="AZ5"/>
      <c r="BA5"/>
      <c r="BB5"/>
      <c r="BC5"/>
      <c r="BD5"/>
      <c r="BE5"/>
      <c r="BF5"/>
      <c r="BG5"/>
      <c r="BH5"/>
    </row>
    <row r="6" spans="1:62" ht="18" customHeight="1">
      <c r="A6"/>
      <c r="B6" s="271" t="str">
        <f>IF(Indice_index!$Z$1=1,"Agosto de 2025","August 2025")</f>
        <v>Agosto de 2025</v>
      </c>
      <c r="C6"/>
      <c r="D6"/>
      <c r="E6"/>
      <c r="F6"/>
      <c r="G6"/>
      <c r="H6"/>
      <c r="I6"/>
      <c r="J6"/>
      <c r="K6"/>
      <c r="L6"/>
      <c r="M6"/>
      <c r="N6"/>
      <c r="O6"/>
      <c r="P6"/>
      <c r="Q6"/>
      <c r="R6"/>
      <c r="S6"/>
      <c r="T6"/>
      <c r="U6"/>
      <c r="V6"/>
      <c r="W6"/>
      <c r="X6"/>
      <c r="Y6"/>
      <c r="Z6"/>
      <c r="AA6"/>
      <c r="AB6"/>
      <c r="AC6"/>
      <c r="AD6"/>
      <c r="AE6"/>
      <c r="AF6"/>
      <c r="AG6"/>
      <c r="AH6"/>
      <c r="AI6"/>
      <c r="AJ6"/>
      <c r="AK6"/>
      <c r="AL6"/>
      <c r="AM6"/>
      <c r="AN6"/>
      <c r="AO6"/>
      <c r="AP6"/>
      <c r="AQ6"/>
      <c r="AR6"/>
      <c r="AS6"/>
      <c r="AT6"/>
      <c r="AU6"/>
      <c r="AV6"/>
      <c r="AW6"/>
      <c r="AX6"/>
      <c r="AY6"/>
      <c r="AZ6"/>
      <c r="BA6"/>
      <c r="BB6"/>
      <c r="BC6"/>
      <c r="BD6"/>
      <c r="BE6"/>
      <c r="BF6"/>
      <c r="BG6"/>
      <c r="BH6"/>
    </row>
    <row r="7" spans="1:62" ht="48.75" customHeight="1">
      <c r="A7" s="11"/>
      <c r="B7" s="12"/>
      <c r="C7" s="12"/>
      <c r="D7" s="12"/>
      <c r="E7" s="13"/>
      <c r="F7" s="11"/>
      <c r="G7" s="11"/>
      <c r="H7" s="11"/>
      <c r="I7" s="11"/>
      <c r="J7" s="11"/>
      <c r="K7" s="11"/>
      <c r="L7" s="11"/>
      <c r="M7" s="11"/>
      <c r="N7" s="11"/>
      <c r="O7" s="11"/>
      <c r="P7" s="11"/>
      <c r="Q7" s="11"/>
      <c r="R7" s="11"/>
      <c r="S7" s="11"/>
      <c r="T7" s="11"/>
      <c r="U7" s="11"/>
      <c r="V7" s="11"/>
      <c r="W7" s="11"/>
      <c r="X7" s="11"/>
      <c r="Y7" s="11"/>
      <c r="Z7" s="11"/>
      <c r="AA7" s="11"/>
      <c r="AB7" s="11"/>
      <c r="AC7" s="11"/>
      <c r="AD7" s="11"/>
      <c r="AE7" s="11"/>
      <c r="AF7" s="11"/>
      <c r="AG7" s="11"/>
      <c r="AH7" s="11"/>
      <c r="AI7" s="11"/>
      <c r="AJ7" s="11"/>
      <c r="AK7" s="11"/>
      <c r="AL7" s="11"/>
      <c r="AM7" s="11"/>
      <c r="AN7" s="11"/>
      <c r="AO7" s="11"/>
      <c r="AP7" s="11"/>
      <c r="AQ7" s="11"/>
      <c r="AR7" s="11"/>
      <c r="AS7" s="11"/>
      <c r="AT7" s="10"/>
      <c r="AU7" s="10"/>
      <c r="AV7" s="10"/>
      <c r="AW7" s="11"/>
      <c r="AX7" s="11"/>
      <c r="AY7" s="11"/>
      <c r="AZ7" s="11"/>
      <c r="BA7" s="11"/>
      <c r="BB7" s="11"/>
      <c r="BC7" s="11"/>
      <c r="BD7" s="11"/>
      <c r="BE7" s="11"/>
      <c r="BF7" s="10"/>
      <c r="BG7" s="10"/>
      <c r="BH7" s="10"/>
    </row>
    <row r="8" spans="1:62" ht="15.75">
      <c r="B8" s="116" t="str">
        <f>IF(Indice_index!$Z$1=1,"Quadro 25 - Fatores explicativos com efeito diferenciado em Contas Nacionais","25 - Explanatory Factors with Different Effects in National Accounts")</f>
        <v>Quadro 25 - Fatores explicativos com efeito diferenciado em Contas Nacionais</v>
      </c>
      <c r="C8" s="116"/>
      <c r="D8" s="116"/>
      <c r="E8" s="116"/>
      <c r="F8" s="116"/>
      <c r="G8" s="116"/>
      <c r="H8" s="116"/>
      <c r="I8" s="116"/>
      <c r="J8" s="116"/>
      <c r="K8" s="116"/>
      <c r="L8" s="116"/>
      <c r="M8" s="116"/>
      <c r="N8" s="116"/>
      <c r="O8" s="116"/>
      <c r="P8" s="116"/>
      <c r="Q8" s="116"/>
      <c r="R8" s="116"/>
      <c r="S8" s="116"/>
      <c r="T8" s="116"/>
      <c r="U8" s="116"/>
      <c r="V8" s="116"/>
      <c r="W8" s="116"/>
      <c r="X8" s="116"/>
      <c r="Y8" s="116"/>
      <c r="Z8" s="116"/>
      <c r="AA8" s="116"/>
      <c r="AB8" s="116"/>
      <c r="AC8" s="116"/>
      <c r="AD8" s="116"/>
      <c r="AE8" s="116"/>
      <c r="AF8" s="116"/>
      <c r="AG8" s="116"/>
      <c r="AH8" s="116"/>
      <c r="AI8" s="116"/>
      <c r="AJ8" s="116"/>
      <c r="AK8" s="116"/>
      <c r="AL8" s="116"/>
      <c r="AM8" s="116"/>
      <c r="AN8" s="116"/>
      <c r="AO8" s="116"/>
      <c r="AP8" s="116"/>
      <c r="AQ8" s="116"/>
      <c r="AR8" s="116"/>
      <c r="AS8" s="116"/>
      <c r="AT8" s="116"/>
      <c r="AU8" s="116"/>
      <c r="AV8" s="116"/>
      <c r="AW8" s="116"/>
      <c r="AX8" s="116"/>
      <c r="AY8" s="116"/>
      <c r="AZ8" s="116"/>
      <c r="BA8" s="116"/>
      <c r="BB8" s="116"/>
      <c r="BC8" s="116"/>
      <c r="BD8" s="116"/>
      <c r="BE8" s="116"/>
      <c r="BF8" s="116"/>
      <c r="BG8" s="116"/>
      <c r="BH8" s="2"/>
    </row>
    <row r="9" spans="1:62" ht="15">
      <c r="B9" s="3" t="str">
        <f>+'3 - Conta AC + SS'!B9</f>
        <v>Período: janeiro a agosto</v>
      </c>
      <c r="C9" s="3"/>
      <c r="D9" s="3"/>
      <c r="E9" s="3"/>
      <c r="F9" s="3"/>
      <c r="G9" s="3"/>
      <c r="H9" s="3"/>
      <c r="I9" s="3"/>
      <c r="J9" s="3"/>
      <c r="K9" s="3"/>
      <c r="L9" s="3"/>
      <c r="M9" s="3"/>
      <c r="N9" s="3"/>
      <c r="O9" s="3"/>
      <c r="P9" s="3"/>
      <c r="Q9" s="3"/>
      <c r="R9" s="3"/>
      <c r="S9" s="3"/>
      <c r="T9" s="3"/>
      <c r="U9" s="3"/>
      <c r="V9" s="3"/>
      <c r="W9" s="3"/>
      <c r="X9" s="3"/>
      <c r="Y9" s="3"/>
      <c r="Z9" s="3"/>
      <c r="AA9" s="3"/>
      <c r="AB9" s="3"/>
      <c r="AC9" s="3"/>
      <c r="AD9" s="3"/>
      <c r="AE9" s="3"/>
      <c r="AF9" s="3"/>
      <c r="AG9" s="3"/>
      <c r="AH9" s="3"/>
      <c r="AI9" s="3"/>
      <c r="AJ9" s="3"/>
      <c r="AK9" s="3"/>
      <c r="AL9" s="3"/>
      <c r="AM9" s="3"/>
      <c r="AN9" s="3"/>
      <c r="AO9" s="3"/>
      <c r="AP9" s="3"/>
      <c r="AQ9" s="3"/>
      <c r="AR9" s="3"/>
      <c r="AS9" s="3"/>
      <c r="AT9" s="3"/>
      <c r="AU9" s="3"/>
      <c r="AV9" s="3"/>
      <c r="AW9" s="3"/>
      <c r="AX9" s="3"/>
      <c r="AY9" s="3"/>
      <c r="AZ9" s="3"/>
      <c r="BA9" s="3"/>
      <c r="BB9" s="3"/>
      <c r="BC9" s="3"/>
      <c r="BD9" s="3"/>
      <c r="BE9" s="3"/>
      <c r="BF9" s="3"/>
      <c r="BG9" s="3"/>
      <c r="BH9" s="3" t="str">
        <f>IF(Indice_index!$Z$1=1,"€ Milhões","€ Millions")</f>
        <v>€ Milhões</v>
      </c>
      <c r="BJ9" s="3"/>
    </row>
    <row r="10" spans="1:62" ht="26.25" customHeight="1">
      <c r="B10" s="483"/>
      <c r="C10" s="483" t="str">
        <f>IF(Indice_index!$Z$1=1,"Classificação económica","Economic classification")</f>
        <v>Classificação económica</v>
      </c>
      <c r="D10" s="483" t="str">
        <f>IF(Indice_index!$Z$1=1,"Operação contas nacionais","National accounts transaction")</f>
        <v>Operação contas nacionais</v>
      </c>
      <c r="E10" s="483" t="str">
        <f>IF(Indice_index!$Z$1=1,"Descrição da operação","Transaction Description")</f>
        <v>Descrição da operação</v>
      </c>
      <c r="F10" s="378" t="str">
        <f>IF(Indice_index!$Z$1=1,"Impacto em Contabilidade Pública (CP)","Impact on Public Accounting (PA)")</f>
        <v>Impacto em Contabilidade Pública (CP)</v>
      </c>
      <c r="G10" s="379"/>
      <c r="H10" s="379"/>
      <c r="I10" s="379"/>
      <c r="J10" s="379"/>
      <c r="K10" s="379"/>
      <c r="L10" s="379"/>
      <c r="M10" s="379"/>
      <c r="N10" s="379"/>
      <c r="O10" s="379"/>
      <c r="P10" s="379"/>
      <c r="Q10" s="379"/>
      <c r="R10" s="379"/>
      <c r="S10" s="379"/>
      <c r="T10" s="379"/>
      <c r="U10" s="379"/>
      <c r="V10" s="379"/>
      <c r="W10" s="379"/>
      <c r="X10" s="379"/>
      <c r="Y10" s="379"/>
      <c r="Z10" s="379"/>
      <c r="AA10" s="379"/>
      <c r="AB10" s="379"/>
      <c r="AC10" s="379"/>
      <c r="AD10" s="379"/>
      <c r="AE10" s="379"/>
      <c r="AF10" s="380"/>
      <c r="AG10" s="480" t="str">
        <f>IF(Indice_index!$Z$1=1,"Impacto em Contabilidade Nacional (CN)","Impact on National Accounts (NA)")</f>
        <v>Impacto em Contabilidade Nacional (CN)</v>
      </c>
      <c r="AH10" s="481"/>
      <c r="AI10" s="481"/>
      <c r="AJ10" s="481"/>
      <c r="AK10" s="481"/>
      <c r="AL10" s="481"/>
      <c r="AM10" s="481"/>
      <c r="AN10" s="481"/>
      <c r="AO10" s="481"/>
      <c r="AP10" s="481"/>
      <c r="AQ10" s="481"/>
      <c r="AR10" s="481"/>
      <c r="AS10" s="481"/>
      <c r="AT10" s="481"/>
      <c r="AU10" s="481"/>
      <c r="AV10" s="481"/>
      <c r="AW10" s="481"/>
      <c r="AX10" s="481"/>
      <c r="AY10" s="481"/>
      <c r="AZ10" s="481"/>
      <c r="BA10" s="481"/>
      <c r="BB10" s="481"/>
      <c r="BC10" s="481"/>
      <c r="BD10" s="481"/>
      <c r="BE10" s="481"/>
      <c r="BF10" s="481"/>
      <c r="BG10" s="482"/>
      <c r="BH10" s="247" t="str">
        <f>IF(Indice_index!$Z$1=1,"CN vs CP [*]","NA vs PA [*]")</f>
        <v>CN vs CP [*]</v>
      </c>
    </row>
    <row r="11" spans="1:62" ht="15">
      <c r="B11" s="485"/>
      <c r="C11" s="485"/>
      <c r="D11" s="485"/>
      <c r="E11" s="485"/>
      <c r="F11" s="378">
        <v>2024</v>
      </c>
      <c r="G11" s="379"/>
      <c r="H11" s="379"/>
      <c r="I11" s="379"/>
      <c r="J11" s="379"/>
      <c r="K11" s="379"/>
      <c r="L11" s="379"/>
      <c r="M11" s="379"/>
      <c r="N11" s="379"/>
      <c r="O11" s="379"/>
      <c r="P11" s="379"/>
      <c r="Q11" s="379"/>
      <c r="R11" s="380"/>
      <c r="S11" s="378">
        <v>2025</v>
      </c>
      <c r="T11" s="379"/>
      <c r="U11" s="379"/>
      <c r="V11" s="379"/>
      <c r="W11" s="379"/>
      <c r="X11" s="379"/>
      <c r="Y11" s="379"/>
      <c r="Z11" s="379"/>
      <c r="AA11" s="379"/>
      <c r="AB11" s="379"/>
      <c r="AC11" s="379"/>
      <c r="AD11" s="379"/>
      <c r="AE11" s="380"/>
      <c r="AF11" s="483" t="str">
        <f>IF(Indice_index!$Z$1=1,"VHA","Y-O-Y")</f>
        <v>VHA</v>
      </c>
      <c r="AG11" s="378">
        <v>2024</v>
      </c>
      <c r="AH11" s="379"/>
      <c r="AI11" s="379"/>
      <c r="AJ11" s="379"/>
      <c r="AK11" s="379"/>
      <c r="AL11" s="379"/>
      <c r="AM11" s="379"/>
      <c r="AN11" s="379"/>
      <c r="AO11" s="379"/>
      <c r="AP11" s="379"/>
      <c r="AQ11" s="379"/>
      <c r="AR11" s="379"/>
      <c r="AS11" s="380"/>
      <c r="AT11" s="378">
        <v>2025</v>
      </c>
      <c r="AU11" s="379"/>
      <c r="AV11" s="379"/>
      <c r="AW11" s="379"/>
      <c r="AX11" s="379"/>
      <c r="AY11" s="379"/>
      <c r="AZ11" s="379"/>
      <c r="BA11" s="379"/>
      <c r="BB11" s="379"/>
      <c r="BC11" s="379"/>
      <c r="BD11" s="379"/>
      <c r="BE11" s="379"/>
      <c r="BF11" s="380"/>
      <c r="BG11" s="483" t="str">
        <f>IF(Indice_index!$Z$1=1,"VHA","Y-O-Y")</f>
        <v>VHA</v>
      </c>
      <c r="BH11" s="483" t="str">
        <f>IF(Indice_index!$Z$1=1,"VHA","Y-O-Y")</f>
        <v>VHA</v>
      </c>
    </row>
    <row r="12" spans="1:62" ht="25.9" customHeight="1">
      <c r="B12" s="486"/>
      <c r="C12" s="486"/>
      <c r="D12" s="486"/>
      <c r="E12" s="486"/>
      <c r="F12" s="248" t="str">
        <f>IF(Indice_index!$Z$1=1,"jan","Jan")</f>
        <v>jan</v>
      </c>
      <c r="G12" s="248" t="str">
        <f>IF(Indice_index!$Z$1=1,"fev","Feb")</f>
        <v>fev</v>
      </c>
      <c r="H12" s="248" t="str">
        <f>IF(Indice_index!$Z$1=1,"mar","Mar")</f>
        <v>mar</v>
      </c>
      <c r="I12" s="248" t="str">
        <f>IF(Indice_index!$Z$1=1,"abr","Apr")</f>
        <v>abr</v>
      </c>
      <c r="J12" s="248" t="str">
        <f>IF(Indice_index!$Z$1=1,"mai","May")</f>
        <v>mai</v>
      </c>
      <c r="K12" s="248" t="str">
        <f>IF(Indice_index!$Z$1=1,"jun","Jun")</f>
        <v>jun</v>
      </c>
      <c r="L12" s="248" t="str">
        <f>IF(Indice_index!$Z$1=1,"jul","Jul")</f>
        <v>jul</v>
      </c>
      <c r="M12" s="248" t="str">
        <f>IF(Indice_index!$Z$1=1,"ago","Aug")</f>
        <v>ago</v>
      </c>
      <c r="N12" s="248" t="str">
        <f>IF(Indice_index!$Z$1=1,"set","Sep")</f>
        <v>set</v>
      </c>
      <c r="O12" s="248" t="str">
        <f>IF(Indice_index!$Z$1=1,"out","Oct")</f>
        <v>out</v>
      </c>
      <c r="P12" s="248" t="str">
        <f>IF(Indice_index!$Z$1=1,"nov","Nov")</f>
        <v>nov</v>
      </c>
      <c r="Q12" s="248" t="str">
        <f>IF(Indice_index!$Z$1=1,"dez","Dec")</f>
        <v>dez</v>
      </c>
      <c r="R12" s="248" t="str">
        <f>IF(Indice_index!$Z$1=1,"Acumulado","Accumulated Execution")</f>
        <v>Acumulado</v>
      </c>
      <c r="S12" s="248" t="str">
        <f>IF(Indice_index!$Z$1=1,"jan","Jan")</f>
        <v>jan</v>
      </c>
      <c r="T12" s="248" t="str">
        <f>IF(Indice_index!$Z$1=1,"fev","Feb")</f>
        <v>fev</v>
      </c>
      <c r="U12" s="248" t="str">
        <f>IF(Indice_index!$Z$1=1,"mar","Mar")</f>
        <v>mar</v>
      </c>
      <c r="V12" s="248" t="str">
        <f>IF(Indice_index!$Z$1=1,"abr","Apr")</f>
        <v>abr</v>
      </c>
      <c r="W12" s="248" t="str">
        <f>IF(Indice_index!$Z$1=1,"mai","May")</f>
        <v>mai</v>
      </c>
      <c r="X12" s="248" t="str">
        <f>IF(Indice_index!$Z$1=1,"jun","Jun")</f>
        <v>jun</v>
      </c>
      <c r="Y12" s="248" t="str">
        <f>IF(Indice_index!$Z$1=1,"jul","Jul")</f>
        <v>jul</v>
      </c>
      <c r="Z12" s="248" t="str">
        <f>IF(Indice_index!$Z$1=1,"ago","Aug")</f>
        <v>ago</v>
      </c>
      <c r="AA12" s="248" t="str">
        <f>IF(Indice_index!$Z$1=1,"set","Sep")</f>
        <v>set</v>
      </c>
      <c r="AB12" s="248" t="str">
        <f>IF(Indice_index!$Z$1=1,"out","Oct")</f>
        <v>out</v>
      </c>
      <c r="AC12" s="248" t="str">
        <f>IF(Indice_index!$Z$1=1,"nov","Nov")</f>
        <v>nov</v>
      </c>
      <c r="AD12" s="248" t="str">
        <f>IF(Indice_index!$Z$1=1,"dez","Dec")</f>
        <v>dez</v>
      </c>
      <c r="AE12" s="248" t="str">
        <f>IF(Indice_index!$Z$1=1,"Acumulado","Accumulated Execution")</f>
        <v>Acumulado</v>
      </c>
      <c r="AF12" s="484"/>
      <c r="AG12" s="248" t="str">
        <f>IF(Indice_index!$Z$1=1,"jan","Jan")</f>
        <v>jan</v>
      </c>
      <c r="AH12" s="248" t="str">
        <f>IF(Indice_index!$Z$1=1,"fev","Feb")</f>
        <v>fev</v>
      </c>
      <c r="AI12" s="248" t="str">
        <f>IF(Indice_index!$Z$1=1,"mar","Mar")</f>
        <v>mar</v>
      </c>
      <c r="AJ12" s="248" t="str">
        <f>IF(Indice_index!$Z$1=1,"abr","Apr")</f>
        <v>abr</v>
      </c>
      <c r="AK12" s="248" t="str">
        <f>IF(Indice_index!$Z$1=1,"mai","May")</f>
        <v>mai</v>
      </c>
      <c r="AL12" s="248" t="str">
        <f>IF(Indice_index!$Z$1=1,"jun","Jun")</f>
        <v>jun</v>
      </c>
      <c r="AM12" s="248" t="str">
        <f>IF(Indice_index!$Z$1=1,"jul","Jul")</f>
        <v>jul</v>
      </c>
      <c r="AN12" s="248" t="str">
        <f>IF(Indice_index!$Z$1=1,"ago","Aug")</f>
        <v>ago</v>
      </c>
      <c r="AO12" s="248" t="str">
        <f>IF(Indice_index!$Z$1=1,"set","Sep")</f>
        <v>set</v>
      </c>
      <c r="AP12" s="248" t="str">
        <f>IF(Indice_index!$Z$1=1,"out","Oct")</f>
        <v>out</v>
      </c>
      <c r="AQ12" s="248" t="str">
        <f>IF(Indice_index!$Z$1=1,"nov","Nov")</f>
        <v>nov</v>
      </c>
      <c r="AR12" s="248" t="str">
        <f>IF(Indice_index!$Z$1=1,"dez","Dec")</f>
        <v>dez</v>
      </c>
      <c r="AS12" s="248" t="str">
        <f>IF(Indice_index!$Z$1=1,"Acumulado","Accumulated Execution")</f>
        <v>Acumulado</v>
      </c>
      <c r="AT12" s="248" t="str">
        <f>IF(Indice_index!$Z$1=1,"jan","Jan")</f>
        <v>jan</v>
      </c>
      <c r="AU12" s="248" t="str">
        <f>IF(Indice_index!$Z$1=1,"fev","Feb")</f>
        <v>fev</v>
      </c>
      <c r="AV12" s="248" t="str">
        <f>IF(Indice_index!$Z$1=1,"mar","Mar")</f>
        <v>mar</v>
      </c>
      <c r="AW12" s="248" t="str">
        <f>IF(Indice_index!$Z$1=1,"abr","Apr")</f>
        <v>abr</v>
      </c>
      <c r="AX12" s="248" t="str">
        <f>IF(Indice_index!$Z$1=1,"mai","May")</f>
        <v>mai</v>
      </c>
      <c r="AY12" s="248" t="str">
        <f>IF(Indice_index!$Z$1=1,"jun","Jun")</f>
        <v>jun</v>
      </c>
      <c r="AZ12" s="248" t="str">
        <f>IF(Indice_index!$Z$1=1,"jul","Jul")</f>
        <v>jul</v>
      </c>
      <c r="BA12" s="248" t="str">
        <f>IF(Indice_index!$Z$1=1,"ago","Aug")</f>
        <v>ago</v>
      </c>
      <c r="BB12" s="248" t="str">
        <f>IF(Indice_index!$Z$1=1,"set","Sep")</f>
        <v>set</v>
      </c>
      <c r="BC12" s="248" t="str">
        <f>IF(Indice_index!$Z$1=1,"out","Oct")</f>
        <v>out</v>
      </c>
      <c r="BD12" s="248" t="str">
        <f>IF(Indice_index!$Z$1=1,"nov","Nov")</f>
        <v>nov</v>
      </c>
      <c r="BE12" s="248" t="str">
        <f>IF(Indice_index!$Z$1=1,"dez","Dec")</f>
        <v>dez</v>
      </c>
      <c r="BF12" s="248" t="str">
        <f>IF(Indice_index!$Z$1=1,"Acumulado","Accumulated Execution")</f>
        <v>Acumulado</v>
      </c>
      <c r="BG12" s="484"/>
      <c r="BH12" s="484"/>
    </row>
    <row r="13" spans="1:62" ht="24.75" customHeight="1">
      <c r="B13" s="241" t="str">
        <f>IF(Indice_index!$Z$1=1,"Efeito na Receita","Effect on Revenue")</f>
        <v>Efeito na Receita</v>
      </c>
      <c r="C13" s="242"/>
      <c r="D13" s="242"/>
      <c r="E13" s="242"/>
      <c r="F13" s="252">
        <f>SUM(F14:F18)</f>
        <v>49.004178000000003</v>
      </c>
      <c r="G13" s="252">
        <f t="shared" ref="G13:Q13" si="0">SUM(G14:G18)</f>
        <v>0</v>
      </c>
      <c r="H13" s="252">
        <f t="shared" si="0"/>
        <v>-116.97519762</v>
      </c>
      <c r="I13" s="252">
        <f t="shared" si="0"/>
        <v>0</v>
      </c>
      <c r="J13" s="252">
        <f t="shared" si="0"/>
        <v>0</v>
      </c>
      <c r="K13" s="252">
        <f t="shared" si="0"/>
        <v>32.982836149999997</v>
      </c>
      <c r="L13" s="252">
        <f t="shared" si="0"/>
        <v>200</v>
      </c>
      <c r="M13" s="252">
        <f t="shared" si="0"/>
        <v>8.3006661299999998</v>
      </c>
      <c r="N13" s="252">
        <f t="shared" si="0"/>
        <v>0</v>
      </c>
      <c r="O13" s="252">
        <f t="shared" si="0"/>
        <v>0</v>
      </c>
      <c r="P13" s="252">
        <f t="shared" si="0"/>
        <v>0</v>
      </c>
      <c r="Q13" s="252">
        <f t="shared" si="0"/>
        <v>0</v>
      </c>
      <c r="R13" s="252">
        <f t="shared" ref="R13:R23" si="1">SUM(F13:Q13)</f>
        <v>173.31248266</v>
      </c>
      <c r="S13" s="252">
        <f>SUM(S14:S18)</f>
        <v>0</v>
      </c>
      <c r="T13" s="252">
        <f t="shared" ref="T13:AD13" si="2">SUM(T14:T18)</f>
        <v>65</v>
      </c>
      <c r="U13" s="252">
        <f t="shared" si="2"/>
        <v>0</v>
      </c>
      <c r="V13" s="252">
        <f t="shared" si="2"/>
        <v>0</v>
      </c>
      <c r="W13" s="252">
        <f t="shared" si="2"/>
        <v>0</v>
      </c>
      <c r="X13" s="252">
        <f t="shared" si="2"/>
        <v>22.705269949999998</v>
      </c>
      <c r="Y13" s="252">
        <f t="shared" si="2"/>
        <v>0</v>
      </c>
      <c r="Z13" s="252">
        <f t="shared" si="2"/>
        <v>165.58857262000001</v>
      </c>
      <c r="AA13" s="252">
        <f t="shared" si="2"/>
        <v>0</v>
      </c>
      <c r="AB13" s="252">
        <f t="shared" si="2"/>
        <v>0</v>
      </c>
      <c r="AC13" s="252">
        <f t="shared" si="2"/>
        <v>0</v>
      </c>
      <c r="AD13" s="252">
        <f t="shared" si="2"/>
        <v>0</v>
      </c>
      <c r="AE13" s="252">
        <f t="shared" ref="AE13:AE23" si="3">SUM(S13:AD13)</f>
        <v>253.29384257000001</v>
      </c>
      <c r="AF13" s="252">
        <f>AE13-R13</f>
        <v>79.981359910000009</v>
      </c>
      <c r="AG13" s="252">
        <f>SUM(AG14:AG18)</f>
        <v>145.97784211999999</v>
      </c>
      <c r="AH13" s="252">
        <f t="shared" ref="AH13:AR13" si="4">SUM(AH14:AH18)</f>
        <v>356.26226238999999</v>
      </c>
      <c r="AI13" s="252">
        <f t="shared" si="4"/>
        <v>-158.71203534999995</v>
      </c>
      <c r="AJ13" s="252">
        <f t="shared" si="4"/>
        <v>-137.58254255000006</v>
      </c>
      <c r="AK13" s="252">
        <f t="shared" si="4"/>
        <v>183.36949898000009</v>
      </c>
      <c r="AL13" s="252">
        <f t="shared" si="4"/>
        <v>-82.00898015000007</v>
      </c>
      <c r="AM13" s="252">
        <f t="shared" si="4"/>
        <v>-77.422807389999974</v>
      </c>
      <c r="AN13" s="252">
        <f t="shared" si="4"/>
        <v>377.07670323999992</v>
      </c>
      <c r="AO13" s="252">
        <f t="shared" si="4"/>
        <v>0</v>
      </c>
      <c r="AP13" s="252">
        <f t="shared" si="4"/>
        <v>0</v>
      </c>
      <c r="AQ13" s="252">
        <f t="shared" si="4"/>
        <v>0</v>
      </c>
      <c r="AR13" s="252">
        <f t="shared" si="4"/>
        <v>0</v>
      </c>
      <c r="AS13" s="252">
        <f t="shared" ref="AS13:AS23" si="5">SUM(AG13:AR13)</f>
        <v>606.95994128999996</v>
      </c>
      <c r="AT13" s="252">
        <f>SUM(AT14:AT18)</f>
        <v>157.66350491</v>
      </c>
      <c r="AU13" s="252">
        <f t="shared" ref="AU13:BE13" si="6">SUM(AU14:AU18)</f>
        <v>421.61882452333339</v>
      </c>
      <c r="AV13" s="252">
        <f t="shared" si="6"/>
        <v>-163.61743789000008</v>
      </c>
      <c r="AW13" s="252">
        <f t="shared" si="6"/>
        <v>-152.28502104166665</v>
      </c>
      <c r="AX13" s="252">
        <f t="shared" si="6"/>
        <v>173.46780488666661</v>
      </c>
      <c r="AY13" s="252">
        <f t="shared" si="6"/>
        <v>-92.397827844999995</v>
      </c>
      <c r="AZ13" s="252">
        <f t="shared" si="6"/>
        <v>-79.847401240000011</v>
      </c>
      <c r="BA13" s="252">
        <f t="shared" si="6"/>
        <v>242.13898114333335</v>
      </c>
      <c r="BB13" s="252">
        <f t="shared" si="6"/>
        <v>0</v>
      </c>
      <c r="BC13" s="252">
        <f t="shared" si="6"/>
        <v>0</v>
      </c>
      <c r="BD13" s="252">
        <f t="shared" si="6"/>
        <v>0</v>
      </c>
      <c r="BE13" s="252">
        <f t="shared" si="6"/>
        <v>0</v>
      </c>
      <c r="BF13" s="252">
        <f t="shared" ref="BF13:BF23" si="7">SUM(AT13:BE13)</f>
        <v>506.74142744666665</v>
      </c>
      <c r="BG13" s="252">
        <f t="shared" ref="BG13:BG23" si="8">BF13-AS13</f>
        <v>-100.21851384333331</v>
      </c>
      <c r="BH13" s="252">
        <f t="shared" ref="BH13:BH23" si="9">BG13-AF13</f>
        <v>-180.19987375333332</v>
      </c>
    </row>
    <row r="14" spans="1:62" ht="24.75" customHeight="1">
      <c r="B14" s="344" t="s">
        <v>535</v>
      </c>
      <c r="C14" s="347" t="str">
        <f>IF(Indice_index!$Z$1=1,"Impostos indiretos","Indirect taxes")</f>
        <v>Impostos indiretos</v>
      </c>
      <c r="D14" s="347" t="str">
        <f>IF(Indice_index!$Z$1=1,"Impostos sobre a produção","Taxes on production")</f>
        <v>Impostos sobre a produção</v>
      </c>
      <c r="E14" s="347" t="str">
        <f>IF(Indice_index!$Z$1=1,"Flexibilização de pagamentos de impostos","Flexibility in tax payments")</f>
        <v>Flexibilização de pagamentos de impostos</v>
      </c>
      <c r="F14" s="345">
        <v>0</v>
      </c>
      <c r="G14" s="345">
        <v>0</v>
      </c>
      <c r="H14" s="345">
        <v>0</v>
      </c>
      <c r="I14" s="345">
        <v>0</v>
      </c>
      <c r="J14" s="345">
        <v>0</v>
      </c>
      <c r="K14" s="345">
        <v>0</v>
      </c>
      <c r="L14" s="345">
        <v>0</v>
      </c>
      <c r="M14" s="345">
        <v>0</v>
      </c>
      <c r="N14" s="345"/>
      <c r="O14" s="345"/>
      <c r="P14" s="345"/>
      <c r="Q14" s="345"/>
      <c r="R14" s="345">
        <f t="shared" si="1"/>
        <v>0</v>
      </c>
      <c r="S14" s="345">
        <v>0</v>
      </c>
      <c r="T14" s="345">
        <v>0</v>
      </c>
      <c r="U14" s="345">
        <v>0</v>
      </c>
      <c r="V14" s="345">
        <v>0</v>
      </c>
      <c r="W14" s="345">
        <v>0</v>
      </c>
      <c r="X14" s="345">
        <v>0</v>
      </c>
      <c r="Y14" s="345">
        <v>0</v>
      </c>
      <c r="Z14" s="345">
        <v>0</v>
      </c>
      <c r="AA14" s="345"/>
      <c r="AB14" s="345"/>
      <c r="AC14" s="345"/>
      <c r="AD14" s="345"/>
      <c r="AE14" s="345">
        <f t="shared" si="3"/>
        <v>0</v>
      </c>
      <c r="AF14" s="345">
        <f t="shared" ref="AF14:AF23" si="10">AE14-R14</f>
        <v>0</v>
      </c>
      <c r="AG14" s="345">
        <v>145.97784211999999</v>
      </c>
      <c r="AH14" s="345">
        <v>356.26226238999999</v>
      </c>
      <c r="AI14" s="345">
        <v>-158.71203534999995</v>
      </c>
      <c r="AJ14" s="345">
        <v>-137.58254255000006</v>
      </c>
      <c r="AK14" s="345">
        <v>183.36949898000009</v>
      </c>
      <c r="AL14" s="345">
        <v>-82.00898015000007</v>
      </c>
      <c r="AM14" s="345">
        <v>-77.422807389999974</v>
      </c>
      <c r="AN14" s="345">
        <v>377.07670323999992</v>
      </c>
      <c r="AO14" s="345"/>
      <c r="AP14" s="345"/>
      <c r="AQ14" s="345"/>
      <c r="AR14" s="345"/>
      <c r="AS14" s="345">
        <f t="shared" si="5"/>
        <v>606.95994128999996</v>
      </c>
      <c r="AT14" s="345">
        <v>157.66350491</v>
      </c>
      <c r="AU14" s="345">
        <v>421.61882452333339</v>
      </c>
      <c r="AV14" s="345">
        <v>-163.61743789000008</v>
      </c>
      <c r="AW14" s="345">
        <v>-152.28502104166665</v>
      </c>
      <c r="AX14" s="345">
        <v>173.46780488666661</v>
      </c>
      <c r="AY14" s="345">
        <v>-92.397827844999995</v>
      </c>
      <c r="AZ14" s="345">
        <v>-79.847401240000011</v>
      </c>
      <c r="BA14" s="345">
        <v>242.13898114333335</v>
      </c>
      <c r="BB14" s="345"/>
      <c r="BC14" s="345"/>
      <c r="BD14" s="345"/>
      <c r="BE14" s="345"/>
      <c r="BF14" s="345">
        <f t="shared" si="7"/>
        <v>506.74142744666665</v>
      </c>
      <c r="BG14" s="345">
        <f t="shared" si="8"/>
        <v>-100.21851384333331</v>
      </c>
      <c r="BH14" s="345">
        <f t="shared" si="9"/>
        <v>-100.21851384333331</v>
      </c>
    </row>
    <row r="15" spans="1:62" ht="24.75" customHeight="1">
      <c r="B15" s="344" t="s">
        <v>536</v>
      </c>
      <c r="C15" s="347" t="str">
        <f>IF(Indice_index!$Z$1=1,"Reposições não abatidas aos pagamentos","Refunds not deducted from payments")</f>
        <v>Reposições não abatidas aos pagamentos</v>
      </c>
      <c r="D15" s="348" t="s">
        <v>4</v>
      </c>
      <c r="E15" s="347" t="str">
        <f>IF(Indice_index!$Z$1=1,"RNAP - Contribuição financeira EU","EU financial contribution")</f>
        <v>RNAP - Contribuição financeira EU</v>
      </c>
      <c r="F15" s="345">
        <v>49.004178000000003</v>
      </c>
      <c r="G15" s="345">
        <v>0</v>
      </c>
      <c r="H15" s="345">
        <v>0</v>
      </c>
      <c r="I15" s="345">
        <v>0</v>
      </c>
      <c r="J15" s="345">
        <v>0</v>
      </c>
      <c r="K15" s="345">
        <v>0</v>
      </c>
      <c r="L15" s="345">
        <v>0</v>
      </c>
      <c r="M15" s="345">
        <v>0</v>
      </c>
      <c r="N15" s="345"/>
      <c r="O15" s="345"/>
      <c r="P15" s="345"/>
      <c r="Q15" s="345"/>
      <c r="R15" s="345">
        <f t="shared" si="1"/>
        <v>49.004178000000003</v>
      </c>
      <c r="S15" s="345">
        <v>0</v>
      </c>
      <c r="T15" s="345">
        <v>0</v>
      </c>
      <c r="U15" s="345">
        <v>0</v>
      </c>
      <c r="V15" s="345">
        <v>0</v>
      </c>
      <c r="W15" s="345">
        <v>0</v>
      </c>
      <c r="X15" s="345">
        <v>0</v>
      </c>
      <c r="Y15" s="345">
        <v>0</v>
      </c>
      <c r="Z15" s="345">
        <v>0</v>
      </c>
      <c r="AA15" s="345"/>
      <c r="AB15" s="345"/>
      <c r="AC15" s="345"/>
      <c r="AD15" s="345"/>
      <c r="AE15" s="345">
        <f t="shared" si="3"/>
        <v>0</v>
      </c>
      <c r="AF15" s="345">
        <f t="shared" si="10"/>
        <v>-49.004178000000003</v>
      </c>
      <c r="AG15" s="345">
        <v>0</v>
      </c>
      <c r="AH15" s="345">
        <v>0</v>
      </c>
      <c r="AI15" s="345">
        <v>0</v>
      </c>
      <c r="AJ15" s="345">
        <v>0</v>
      </c>
      <c r="AK15" s="345">
        <v>0</v>
      </c>
      <c r="AL15" s="345">
        <v>0</v>
      </c>
      <c r="AM15" s="345">
        <v>0</v>
      </c>
      <c r="AN15" s="345">
        <v>0</v>
      </c>
      <c r="AO15" s="345"/>
      <c r="AP15" s="345"/>
      <c r="AQ15" s="345"/>
      <c r="AR15" s="345"/>
      <c r="AS15" s="345">
        <f t="shared" si="5"/>
        <v>0</v>
      </c>
      <c r="AT15" s="345">
        <v>0</v>
      </c>
      <c r="AU15" s="345">
        <v>0</v>
      </c>
      <c r="AV15" s="345">
        <v>0</v>
      </c>
      <c r="AW15" s="345">
        <v>0</v>
      </c>
      <c r="AX15" s="345">
        <v>0</v>
      </c>
      <c r="AY15" s="345">
        <v>0</v>
      </c>
      <c r="AZ15" s="345">
        <v>0</v>
      </c>
      <c r="BA15" s="345">
        <v>0</v>
      </c>
      <c r="BB15" s="345"/>
      <c r="BC15" s="345"/>
      <c r="BD15" s="345"/>
      <c r="BE15" s="345"/>
      <c r="BF15" s="345">
        <f t="shared" si="7"/>
        <v>0</v>
      </c>
      <c r="BG15" s="345">
        <f t="shared" si="8"/>
        <v>0</v>
      </c>
      <c r="BH15" s="345">
        <f t="shared" si="9"/>
        <v>49.004178000000003</v>
      </c>
    </row>
    <row r="16" spans="1:62" ht="24.75" customHeight="1">
      <c r="B16" s="344" t="s">
        <v>579</v>
      </c>
      <c r="C16" s="347" t="str">
        <f>IF(Indice_index!$Z$1=1,"Reposições não abatidas aos pagamentos","Refunds not deducted from payments")</f>
        <v>Reposições não abatidas aos pagamentos</v>
      </c>
      <c r="D16" s="348" t="s">
        <v>4</v>
      </c>
      <c r="E16" s="347" t="str">
        <f>IF(Indice_index!$Z$1=1,"RNAP - Saldo de gerência","Management Balance")</f>
        <v>RNAP - Saldo de gerência</v>
      </c>
      <c r="F16" s="345">
        <v>0</v>
      </c>
      <c r="G16" s="345">
        <v>0</v>
      </c>
      <c r="H16" s="345">
        <v>0</v>
      </c>
      <c r="I16" s="345">
        <v>0</v>
      </c>
      <c r="J16" s="345">
        <v>0</v>
      </c>
      <c r="K16" s="345">
        <v>32.982836149999997</v>
      </c>
      <c r="L16" s="345">
        <v>0</v>
      </c>
      <c r="M16" s="345">
        <v>0</v>
      </c>
      <c r="N16" s="345"/>
      <c r="O16" s="345"/>
      <c r="P16" s="345"/>
      <c r="Q16" s="345"/>
      <c r="R16" s="345">
        <f t="shared" si="1"/>
        <v>32.982836149999997</v>
      </c>
      <c r="S16" s="345">
        <v>0</v>
      </c>
      <c r="T16" s="345">
        <v>65</v>
      </c>
      <c r="U16" s="345">
        <v>0</v>
      </c>
      <c r="V16" s="345">
        <v>0</v>
      </c>
      <c r="W16" s="345">
        <v>0</v>
      </c>
      <c r="X16" s="345">
        <v>22.705269949999998</v>
      </c>
      <c r="Y16" s="345">
        <v>0</v>
      </c>
      <c r="Z16" s="345">
        <v>165.58857262000001</v>
      </c>
      <c r="AA16" s="345"/>
      <c r="AB16" s="345"/>
      <c r="AC16" s="345"/>
      <c r="AD16" s="345"/>
      <c r="AE16" s="345">
        <f t="shared" si="3"/>
        <v>253.29384257000001</v>
      </c>
      <c r="AF16" s="345">
        <f t="shared" si="10"/>
        <v>220.31100642000001</v>
      </c>
      <c r="AG16" s="345">
        <v>0</v>
      </c>
      <c r="AH16" s="345">
        <v>0</v>
      </c>
      <c r="AI16" s="345">
        <v>0</v>
      </c>
      <c r="AJ16" s="345">
        <v>0</v>
      </c>
      <c r="AK16" s="345">
        <v>0</v>
      </c>
      <c r="AL16" s="345">
        <v>0</v>
      </c>
      <c r="AM16" s="345">
        <v>0</v>
      </c>
      <c r="AN16" s="345">
        <v>0</v>
      </c>
      <c r="AO16" s="345"/>
      <c r="AP16" s="345"/>
      <c r="AQ16" s="345"/>
      <c r="AR16" s="345"/>
      <c r="AS16" s="345">
        <f t="shared" si="5"/>
        <v>0</v>
      </c>
      <c r="AT16" s="345">
        <v>0</v>
      </c>
      <c r="AU16" s="345">
        <v>0</v>
      </c>
      <c r="AV16" s="345">
        <v>0</v>
      </c>
      <c r="AW16" s="345">
        <v>0</v>
      </c>
      <c r="AX16" s="345">
        <v>0</v>
      </c>
      <c r="AY16" s="345">
        <v>0</v>
      </c>
      <c r="AZ16" s="345">
        <v>0</v>
      </c>
      <c r="BA16" s="345">
        <v>0</v>
      </c>
      <c r="BB16" s="345"/>
      <c r="BC16" s="345"/>
      <c r="BD16" s="345"/>
      <c r="BE16" s="345"/>
      <c r="BF16" s="345">
        <f t="shared" si="7"/>
        <v>0</v>
      </c>
      <c r="BG16" s="345">
        <f t="shared" si="8"/>
        <v>0</v>
      </c>
      <c r="BH16" s="345">
        <f t="shared" si="9"/>
        <v>-220.31100642000001</v>
      </c>
    </row>
    <row r="17" spans="2:60" ht="24.75" customHeight="1">
      <c r="B17" s="344" t="s">
        <v>587</v>
      </c>
      <c r="C17" s="347" t="str">
        <f>IF(Indice_index!$Z$1=1,"Impostos diretos ","Direct taxes")</f>
        <v xml:space="preserve">Impostos diretos </v>
      </c>
      <c r="D17" s="348" t="s">
        <v>4</v>
      </c>
      <c r="E17" s="347" t="str">
        <f>IF(Indice_index!$Z$1=1,"Ativos por impostos diferidos","Deferred tax assets")</f>
        <v>Ativos por impostos diferidos</v>
      </c>
      <c r="F17" s="345">
        <v>0</v>
      </c>
      <c r="G17" s="345">
        <v>0</v>
      </c>
      <c r="H17" s="345">
        <v>-116.97519762</v>
      </c>
      <c r="I17" s="345">
        <v>0</v>
      </c>
      <c r="J17" s="345">
        <v>0</v>
      </c>
      <c r="K17" s="345">
        <v>0</v>
      </c>
      <c r="L17" s="345">
        <v>0</v>
      </c>
      <c r="M17" s="345">
        <v>0</v>
      </c>
      <c r="N17" s="345"/>
      <c r="O17" s="345"/>
      <c r="P17" s="345"/>
      <c r="Q17" s="345"/>
      <c r="R17" s="345">
        <f t="shared" si="1"/>
        <v>-116.97519762</v>
      </c>
      <c r="S17" s="345">
        <v>0</v>
      </c>
      <c r="T17" s="345">
        <v>0</v>
      </c>
      <c r="U17" s="345">
        <v>0</v>
      </c>
      <c r="V17" s="345">
        <v>0</v>
      </c>
      <c r="W17" s="345">
        <v>0</v>
      </c>
      <c r="X17" s="345">
        <v>0</v>
      </c>
      <c r="Y17" s="345">
        <v>0</v>
      </c>
      <c r="Z17" s="345">
        <v>0</v>
      </c>
      <c r="AA17" s="345"/>
      <c r="AB17" s="345"/>
      <c r="AC17" s="345"/>
      <c r="AD17" s="345"/>
      <c r="AE17" s="345">
        <f t="shared" ref="AE17:AE18" si="11">SUM(S17:AD17)</f>
        <v>0</v>
      </c>
      <c r="AF17" s="345">
        <f t="shared" ref="AF17:AF18" si="12">AE17-R17</f>
        <v>116.97519762</v>
      </c>
      <c r="AG17" s="345">
        <v>0</v>
      </c>
      <c r="AH17" s="345">
        <v>0</v>
      </c>
      <c r="AI17" s="345">
        <v>0</v>
      </c>
      <c r="AJ17" s="345">
        <v>0</v>
      </c>
      <c r="AK17" s="345">
        <v>0</v>
      </c>
      <c r="AL17" s="345">
        <v>0</v>
      </c>
      <c r="AM17" s="345">
        <v>0</v>
      </c>
      <c r="AN17" s="345">
        <v>0</v>
      </c>
      <c r="AO17" s="345"/>
      <c r="AP17" s="345"/>
      <c r="AQ17" s="345"/>
      <c r="AR17" s="345"/>
      <c r="AS17" s="345">
        <f t="shared" si="5"/>
        <v>0</v>
      </c>
      <c r="AT17" s="345">
        <v>0</v>
      </c>
      <c r="AU17" s="345">
        <v>0</v>
      </c>
      <c r="AV17" s="345">
        <v>0</v>
      </c>
      <c r="AW17" s="345">
        <v>0</v>
      </c>
      <c r="AX17" s="345">
        <v>0</v>
      </c>
      <c r="AY17" s="345">
        <v>0</v>
      </c>
      <c r="AZ17" s="345">
        <v>0</v>
      </c>
      <c r="BA17" s="345">
        <v>0</v>
      </c>
      <c r="BB17" s="345"/>
      <c r="BC17" s="345"/>
      <c r="BD17" s="345"/>
      <c r="BE17" s="345"/>
      <c r="BF17" s="345">
        <f t="shared" ref="BF17:BF18" si="13">SUM(AT17:BE17)</f>
        <v>0</v>
      </c>
      <c r="BG17" s="345">
        <f t="shared" ref="BG17:BG18" si="14">BF17-AS17</f>
        <v>0</v>
      </c>
      <c r="BH17" s="345">
        <f t="shared" ref="BH17:BH18" si="15">BG17-AF17</f>
        <v>-116.97519762</v>
      </c>
    </row>
    <row r="18" spans="2:60" ht="24.75" customHeight="1">
      <c r="B18" s="344" t="s">
        <v>588</v>
      </c>
      <c r="C18" s="347" t="str">
        <f>IF(Indice_index!$Z$1=1,"Reposições não abatidas aos pagamentos","Refunds not deducted from payments")</f>
        <v>Reposições não abatidas aos pagamentos</v>
      </c>
      <c r="D18" s="346" t="s">
        <v>631</v>
      </c>
      <c r="E18" s="347" t="str">
        <f>IF(Indice_index!$Z$1=1,"Regime transitório de estabilização de preços do gás","Extraordinary support for natural gas prices")</f>
        <v>Regime transitório de estabilização de preços do gás</v>
      </c>
      <c r="F18" s="345">
        <v>0</v>
      </c>
      <c r="G18" s="345">
        <v>0</v>
      </c>
      <c r="H18" s="345">
        <v>0</v>
      </c>
      <c r="I18" s="345">
        <v>0</v>
      </c>
      <c r="J18" s="345">
        <v>0</v>
      </c>
      <c r="K18" s="345">
        <v>0</v>
      </c>
      <c r="L18" s="345">
        <v>200</v>
      </c>
      <c r="M18" s="345">
        <v>8.3006661299999998</v>
      </c>
      <c r="N18" s="345"/>
      <c r="O18" s="345"/>
      <c r="P18" s="345"/>
      <c r="Q18" s="345"/>
      <c r="R18" s="345">
        <f t="shared" si="1"/>
        <v>208.30066613</v>
      </c>
      <c r="S18" s="345">
        <v>0</v>
      </c>
      <c r="T18" s="345">
        <v>0</v>
      </c>
      <c r="U18" s="345">
        <v>0</v>
      </c>
      <c r="V18" s="345">
        <v>0</v>
      </c>
      <c r="W18" s="345">
        <v>0</v>
      </c>
      <c r="X18" s="345">
        <v>0</v>
      </c>
      <c r="Y18" s="345">
        <v>0</v>
      </c>
      <c r="Z18" s="345">
        <v>0</v>
      </c>
      <c r="AA18" s="345"/>
      <c r="AB18" s="345"/>
      <c r="AC18" s="345"/>
      <c r="AD18" s="345"/>
      <c r="AE18" s="345">
        <f t="shared" si="11"/>
        <v>0</v>
      </c>
      <c r="AF18" s="345">
        <f t="shared" si="12"/>
        <v>-208.30066613</v>
      </c>
      <c r="AG18" s="345">
        <v>0</v>
      </c>
      <c r="AH18" s="345">
        <v>0</v>
      </c>
      <c r="AI18" s="345">
        <v>0</v>
      </c>
      <c r="AJ18" s="345">
        <v>0</v>
      </c>
      <c r="AK18" s="345">
        <v>0</v>
      </c>
      <c r="AL18" s="345">
        <v>0</v>
      </c>
      <c r="AM18" s="345">
        <v>0</v>
      </c>
      <c r="AN18" s="345">
        <v>0</v>
      </c>
      <c r="AO18" s="345"/>
      <c r="AP18" s="345"/>
      <c r="AQ18" s="345"/>
      <c r="AR18" s="345"/>
      <c r="AS18" s="345">
        <f t="shared" si="5"/>
        <v>0</v>
      </c>
      <c r="AT18" s="345">
        <v>0</v>
      </c>
      <c r="AU18" s="345">
        <v>0</v>
      </c>
      <c r="AV18" s="345">
        <v>0</v>
      </c>
      <c r="AW18" s="345">
        <v>0</v>
      </c>
      <c r="AX18" s="345">
        <v>0</v>
      </c>
      <c r="AY18" s="345">
        <v>0</v>
      </c>
      <c r="AZ18" s="345">
        <v>0</v>
      </c>
      <c r="BA18" s="345">
        <v>0</v>
      </c>
      <c r="BB18" s="345"/>
      <c r="BC18" s="345"/>
      <c r="BD18" s="345"/>
      <c r="BE18" s="345"/>
      <c r="BF18" s="345">
        <f t="shared" si="13"/>
        <v>0</v>
      </c>
      <c r="BG18" s="345">
        <f t="shared" si="14"/>
        <v>0</v>
      </c>
      <c r="BH18" s="345">
        <f t="shared" si="15"/>
        <v>208.30066613</v>
      </c>
    </row>
    <row r="19" spans="2:60" ht="24.75" customHeight="1">
      <c r="B19" s="241" t="str">
        <f>IF(Indice_index!$Z$1=1,"Efeito na Despesa","Effect on Expenditure")</f>
        <v>Efeito na Despesa</v>
      </c>
      <c r="C19" s="242"/>
      <c r="D19" s="242"/>
      <c r="E19" s="242"/>
      <c r="F19" s="252">
        <f>SUM(F20:F22)</f>
        <v>0</v>
      </c>
      <c r="G19" s="252">
        <f t="shared" ref="G19:Q19" si="16">SUM(G20:G22)</f>
        <v>0</v>
      </c>
      <c r="H19" s="252">
        <f t="shared" si="16"/>
        <v>793.63172287999998</v>
      </c>
      <c r="I19" s="252">
        <f t="shared" si="16"/>
        <v>0</v>
      </c>
      <c r="J19" s="252">
        <f t="shared" si="16"/>
        <v>0</v>
      </c>
      <c r="K19" s="252">
        <f t="shared" si="16"/>
        <v>0</v>
      </c>
      <c r="L19" s="252">
        <f t="shared" si="16"/>
        <v>0</v>
      </c>
      <c r="M19" s="252">
        <f t="shared" si="16"/>
        <v>0</v>
      </c>
      <c r="N19" s="252">
        <f t="shared" si="16"/>
        <v>0</v>
      </c>
      <c r="O19" s="252">
        <f t="shared" si="16"/>
        <v>0</v>
      </c>
      <c r="P19" s="252">
        <f t="shared" si="16"/>
        <v>0</v>
      </c>
      <c r="Q19" s="252">
        <f t="shared" si="16"/>
        <v>0</v>
      </c>
      <c r="R19" s="252">
        <f t="shared" si="1"/>
        <v>793.63172287999998</v>
      </c>
      <c r="S19" s="252">
        <f>SUM(S20:S22)</f>
        <v>0</v>
      </c>
      <c r="T19" s="252">
        <f t="shared" ref="T19:AD19" si="17">SUM(T20:T22)</f>
        <v>0</v>
      </c>
      <c r="U19" s="252">
        <f t="shared" si="17"/>
        <v>0</v>
      </c>
      <c r="V19" s="252">
        <f t="shared" si="17"/>
        <v>0</v>
      </c>
      <c r="W19" s="252">
        <f t="shared" si="17"/>
        <v>0</v>
      </c>
      <c r="X19" s="252">
        <f t="shared" si="17"/>
        <v>0</v>
      </c>
      <c r="Y19" s="252">
        <f t="shared" si="17"/>
        <v>0</v>
      </c>
      <c r="Z19" s="252">
        <f t="shared" si="17"/>
        <v>0</v>
      </c>
      <c r="AA19" s="252">
        <f t="shared" si="17"/>
        <v>0</v>
      </c>
      <c r="AB19" s="252">
        <f t="shared" si="17"/>
        <v>0</v>
      </c>
      <c r="AC19" s="252">
        <f t="shared" si="17"/>
        <v>0</v>
      </c>
      <c r="AD19" s="252">
        <f t="shared" si="17"/>
        <v>0</v>
      </c>
      <c r="AE19" s="252">
        <f t="shared" si="3"/>
        <v>0</v>
      </c>
      <c r="AF19" s="252">
        <f>AE19-R19</f>
        <v>-793.63172287999998</v>
      </c>
      <c r="AG19" s="252">
        <f>SUM(AG20:AG22)</f>
        <v>0</v>
      </c>
      <c r="AH19" s="252">
        <f t="shared" ref="AH19:AR19" si="18">SUM(AH20:AH22)</f>
        <v>0</v>
      </c>
      <c r="AI19" s="252">
        <f t="shared" si="18"/>
        <v>383.34126522999998</v>
      </c>
      <c r="AJ19" s="252">
        <f t="shared" si="18"/>
        <v>0</v>
      </c>
      <c r="AK19" s="252">
        <f t="shared" si="18"/>
        <v>0</v>
      </c>
      <c r="AL19" s="252">
        <f t="shared" si="18"/>
        <v>0.97848267</v>
      </c>
      <c r="AM19" s="252">
        <f t="shared" si="18"/>
        <v>0</v>
      </c>
      <c r="AN19" s="252">
        <f t="shared" si="18"/>
        <v>0</v>
      </c>
      <c r="AO19" s="252">
        <f t="shared" si="18"/>
        <v>0</v>
      </c>
      <c r="AP19" s="252">
        <f t="shared" si="18"/>
        <v>0</v>
      </c>
      <c r="AQ19" s="252">
        <f t="shared" si="18"/>
        <v>0</v>
      </c>
      <c r="AR19" s="252">
        <f t="shared" si="18"/>
        <v>0</v>
      </c>
      <c r="AS19" s="252">
        <f t="shared" si="5"/>
        <v>384.31974789999998</v>
      </c>
      <c r="AT19" s="252">
        <f>SUM(AT20:AT22)</f>
        <v>0</v>
      </c>
      <c r="AU19" s="252">
        <f t="shared" ref="AU19:BE19" si="19">SUM(AU20:AU22)</f>
        <v>0</v>
      </c>
      <c r="AV19" s="252">
        <f t="shared" si="19"/>
        <v>0</v>
      </c>
      <c r="AW19" s="252">
        <f t="shared" si="19"/>
        <v>0</v>
      </c>
      <c r="AX19" s="252">
        <f t="shared" si="19"/>
        <v>0</v>
      </c>
      <c r="AY19" s="252">
        <f t="shared" si="19"/>
        <v>0</v>
      </c>
      <c r="AZ19" s="252">
        <f t="shared" si="19"/>
        <v>0</v>
      </c>
      <c r="BA19" s="252">
        <f t="shared" si="19"/>
        <v>0</v>
      </c>
      <c r="BB19" s="252">
        <f t="shared" si="19"/>
        <v>0</v>
      </c>
      <c r="BC19" s="252">
        <f t="shared" si="19"/>
        <v>0</v>
      </c>
      <c r="BD19" s="252">
        <f t="shared" si="19"/>
        <v>0</v>
      </c>
      <c r="BE19" s="252">
        <f t="shared" si="19"/>
        <v>0</v>
      </c>
      <c r="BF19" s="252">
        <f t="shared" si="7"/>
        <v>0</v>
      </c>
      <c r="BG19" s="252">
        <f t="shared" si="8"/>
        <v>-384.31974789999998</v>
      </c>
      <c r="BH19" s="252">
        <f t="shared" si="9"/>
        <v>409.31197498</v>
      </c>
    </row>
    <row r="20" spans="2:60" ht="24.75" customHeight="1">
      <c r="B20" s="344" t="s">
        <v>589</v>
      </c>
      <c r="C20" s="347" t="str">
        <f>IF(Indice_index!$Z$1=1,"Transferências correntes","Current transfers")</f>
        <v>Transferências correntes</v>
      </c>
      <c r="D20" s="347" t="str">
        <f>IF(Indice_index!$Z$1=1,"Outros subsídios à produção","Other subsidies on production")</f>
        <v>Outros subsídios à produção</v>
      </c>
      <c r="E20" s="347" t="str">
        <f>IF(Indice_index!$Z$1=1,"Redução das tarifas de acesso às redes na eletricidade","Reduction of electricity tariffs")</f>
        <v>Redução das tarifas de acesso às redes na eletricidade</v>
      </c>
      <c r="F20" s="345">
        <v>0</v>
      </c>
      <c r="G20" s="345">
        <v>0</v>
      </c>
      <c r="H20" s="345">
        <v>566</v>
      </c>
      <c r="I20" s="345">
        <v>0</v>
      </c>
      <c r="J20" s="345">
        <v>0</v>
      </c>
      <c r="K20" s="345">
        <v>0</v>
      </c>
      <c r="L20" s="345">
        <v>0</v>
      </c>
      <c r="M20" s="345">
        <v>0</v>
      </c>
      <c r="N20" s="345"/>
      <c r="O20" s="345"/>
      <c r="P20" s="345"/>
      <c r="Q20" s="345"/>
      <c r="R20" s="345">
        <f t="shared" si="1"/>
        <v>566</v>
      </c>
      <c r="S20" s="345">
        <v>0</v>
      </c>
      <c r="T20" s="345">
        <v>0</v>
      </c>
      <c r="U20" s="345">
        <v>0</v>
      </c>
      <c r="V20" s="345">
        <v>0</v>
      </c>
      <c r="W20" s="345">
        <v>0</v>
      </c>
      <c r="X20" s="345">
        <v>0</v>
      </c>
      <c r="Y20" s="345">
        <v>0</v>
      </c>
      <c r="Z20" s="345">
        <v>0</v>
      </c>
      <c r="AA20" s="345"/>
      <c r="AB20" s="345"/>
      <c r="AC20" s="345"/>
      <c r="AD20" s="345"/>
      <c r="AE20" s="345">
        <f t="shared" si="3"/>
        <v>0</v>
      </c>
      <c r="AF20" s="345">
        <f t="shared" ref="AF20:AF21" si="20">AE20-R20</f>
        <v>-566</v>
      </c>
      <c r="AG20" s="345">
        <v>0</v>
      </c>
      <c r="AH20" s="345">
        <v>0</v>
      </c>
      <c r="AI20" s="345">
        <v>366</v>
      </c>
      <c r="AJ20" s="345">
        <v>0</v>
      </c>
      <c r="AK20" s="345">
        <v>0</v>
      </c>
      <c r="AL20" s="345">
        <v>0</v>
      </c>
      <c r="AM20" s="345">
        <v>0</v>
      </c>
      <c r="AN20" s="345">
        <v>0</v>
      </c>
      <c r="AO20" s="345"/>
      <c r="AP20" s="345"/>
      <c r="AQ20" s="345"/>
      <c r="AR20" s="345"/>
      <c r="AS20" s="345">
        <f t="shared" si="5"/>
        <v>366</v>
      </c>
      <c r="AT20" s="345">
        <v>0</v>
      </c>
      <c r="AU20" s="345">
        <v>0</v>
      </c>
      <c r="AV20" s="345">
        <v>0</v>
      </c>
      <c r="AW20" s="345">
        <v>0</v>
      </c>
      <c r="AX20" s="345">
        <v>0</v>
      </c>
      <c r="AY20" s="345">
        <v>0</v>
      </c>
      <c r="AZ20" s="345">
        <v>0</v>
      </c>
      <c r="BA20" s="345">
        <v>0</v>
      </c>
      <c r="BB20" s="345"/>
      <c r="BC20" s="345"/>
      <c r="BD20" s="345"/>
      <c r="BE20" s="345"/>
      <c r="BF20" s="345">
        <f t="shared" si="7"/>
        <v>0</v>
      </c>
      <c r="BG20" s="345">
        <f t="shared" si="8"/>
        <v>-366</v>
      </c>
      <c r="BH20" s="345">
        <f t="shared" si="9"/>
        <v>200</v>
      </c>
    </row>
    <row r="21" spans="2:60" ht="24.75" customHeight="1">
      <c r="B21" s="344" t="s">
        <v>632</v>
      </c>
      <c r="C21" s="347" t="str">
        <f>IF(Indice_index!$Z$1=1,"Transferências correntes","Current transfers")</f>
        <v>Transferências correntes</v>
      </c>
      <c r="D21" s="348" t="s">
        <v>4</v>
      </c>
      <c r="E21" s="347" t="str">
        <f>IF(Indice_index!$Z$1=1,"Decisão judicial da Barragem do Fridão","Court decision regarding the Fridão Dam")</f>
        <v>Decisão judicial da Barragem do Fridão</v>
      </c>
      <c r="F21" s="345">
        <v>0</v>
      </c>
      <c r="G21" s="345">
        <v>0</v>
      </c>
      <c r="H21" s="345">
        <v>227.63172288000001</v>
      </c>
      <c r="I21" s="345">
        <v>0</v>
      </c>
      <c r="J21" s="345">
        <v>0</v>
      </c>
      <c r="K21" s="345">
        <v>0</v>
      </c>
      <c r="L21" s="345">
        <v>0</v>
      </c>
      <c r="M21" s="345">
        <v>0</v>
      </c>
      <c r="N21" s="345"/>
      <c r="O21" s="345"/>
      <c r="P21" s="345"/>
      <c r="Q21" s="345"/>
      <c r="R21" s="345">
        <f t="shared" si="1"/>
        <v>227.63172288000001</v>
      </c>
      <c r="S21" s="345">
        <v>0</v>
      </c>
      <c r="T21" s="345">
        <v>0</v>
      </c>
      <c r="U21" s="345">
        <v>0</v>
      </c>
      <c r="V21" s="345">
        <v>0</v>
      </c>
      <c r="W21" s="345">
        <v>0</v>
      </c>
      <c r="X21" s="345">
        <v>0</v>
      </c>
      <c r="Y21" s="345">
        <v>0</v>
      </c>
      <c r="Z21" s="345">
        <v>0</v>
      </c>
      <c r="AA21" s="345"/>
      <c r="AB21" s="345"/>
      <c r="AC21" s="345"/>
      <c r="AD21" s="345"/>
      <c r="AE21" s="345">
        <f t="shared" si="3"/>
        <v>0</v>
      </c>
      <c r="AF21" s="345">
        <f t="shared" si="20"/>
        <v>-227.63172288000001</v>
      </c>
      <c r="AG21" s="345">
        <v>0</v>
      </c>
      <c r="AH21" s="345">
        <v>0</v>
      </c>
      <c r="AI21" s="345">
        <v>0</v>
      </c>
      <c r="AJ21" s="345">
        <v>0</v>
      </c>
      <c r="AK21" s="345">
        <v>0</v>
      </c>
      <c r="AL21" s="345">
        <v>0</v>
      </c>
      <c r="AM21" s="345">
        <v>0</v>
      </c>
      <c r="AN21" s="345">
        <v>0</v>
      </c>
      <c r="AO21" s="345"/>
      <c r="AP21" s="345"/>
      <c r="AQ21" s="345"/>
      <c r="AR21" s="345"/>
      <c r="AS21" s="345">
        <f t="shared" si="5"/>
        <v>0</v>
      </c>
      <c r="AT21" s="345">
        <v>0</v>
      </c>
      <c r="AU21" s="345">
        <v>0</v>
      </c>
      <c r="AV21" s="345">
        <v>0</v>
      </c>
      <c r="AW21" s="345">
        <v>0</v>
      </c>
      <c r="AX21" s="345">
        <v>0</v>
      </c>
      <c r="AY21" s="345">
        <v>0</v>
      </c>
      <c r="AZ21" s="345">
        <v>0</v>
      </c>
      <c r="BA21" s="345">
        <v>0</v>
      </c>
      <c r="BB21" s="345"/>
      <c r="BC21" s="345"/>
      <c r="BD21" s="345"/>
      <c r="BE21" s="345"/>
      <c r="BF21" s="345">
        <f t="shared" si="7"/>
        <v>0</v>
      </c>
      <c r="BG21" s="345">
        <f t="shared" si="8"/>
        <v>0</v>
      </c>
      <c r="BH21" s="345">
        <f t="shared" si="9"/>
        <v>227.63172288000001</v>
      </c>
    </row>
    <row r="22" spans="2:60" ht="24.75" customHeight="1">
      <c r="B22" s="344" t="s">
        <v>633</v>
      </c>
      <c r="C22" s="347" t="str">
        <f>IF(Indice_index!$Z$1=1,"Reposições não abatidas aos pagamentos","Refunds not deducted from payments")</f>
        <v>Reposições não abatidas aos pagamentos</v>
      </c>
      <c r="D22" s="347" t="str">
        <f>IF(Indice_index!$Z$1=1,"Outros subsídios à produção","Other subsidies on production")</f>
        <v>Outros subsídios à produção</v>
      </c>
      <c r="E22" s="347" t="str">
        <f>IF(Indice_index!$Z$1=1,"Regime transitório de estabilização de preços do gás","Extraordinary support for natural gas prices")</f>
        <v>Regime transitório de estabilização de preços do gás</v>
      </c>
      <c r="F22" s="345">
        <v>0</v>
      </c>
      <c r="G22" s="345">
        <v>0</v>
      </c>
      <c r="H22" s="345">
        <v>0</v>
      </c>
      <c r="I22" s="345">
        <v>0</v>
      </c>
      <c r="J22" s="345">
        <v>0</v>
      </c>
      <c r="K22" s="345">
        <v>0</v>
      </c>
      <c r="L22" s="345">
        <v>0</v>
      </c>
      <c r="M22" s="345">
        <v>0</v>
      </c>
      <c r="N22" s="345"/>
      <c r="O22" s="345"/>
      <c r="P22" s="345"/>
      <c r="Q22" s="345"/>
      <c r="R22" s="345">
        <f t="shared" si="1"/>
        <v>0</v>
      </c>
      <c r="S22" s="345">
        <v>0</v>
      </c>
      <c r="T22" s="345">
        <v>0</v>
      </c>
      <c r="U22" s="345">
        <v>0</v>
      </c>
      <c r="V22" s="345">
        <v>0</v>
      </c>
      <c r="W22" s="345">
        <v>0</v>
      </c>
      <c r="X22" s="345">
        <v>0</v>
      </c>
      <c r="Y22" s="345">
        <v>0</v>
      </c>
      <c r="Z22" s="345">
        <v>0</v>
      </c>
      <c r="AA22" s="345"/>
      <c r="AB22" s="345"/>
      <c r="AC22" s="345"/>
      <c r="AD22" s="345"/>
      <c r="AE22" s="345">
        <f t="shared" ref="AE22" si="21">SUM(S22:AD22)</f>
        <v>0</v>
      </c>
      <c r="AF22" s="345">
        <f t="shared" ref="AF22" si="22">AE22-R22</f>
        <v>0</v>
      </c>
      <c r="AG22" s="345">
        <v>0</v>
      </c>
      <c r="AH22" s="345">
        <v>0</v>
      </c>
      <c r="AI22" s="345">
        <v>17.341265230000001</v>
      </c>
      <c r="AJ22" s="345">
        <v>0</v>
      </c>
      <c r="AK22" s="345">
        <v>0</v>
      </c>
      <c r="AL22" s="345">
        <v>0.97848267</v>
      </c>
      <c r="AM22" s="345">
        <v>0</v>
      </c>
      <c r="AN22" s="345">
        <v>0</v>
      </c>
      <c r="AO22" s="345"/>
      <c r="AP22" s="345"/>
      <c r="AQ22" s="345"/>
      <c r="AR22" s="345"/>
      <c r="AS22" s="345">
        <f t="shared" si="5"/>
        <v>18.319747900000003</v>
      </c>
      <c r="AT22" s="345">
        <v>0</v>
      </c>
      <c r="AU22" s="345">
        <v>0</v>
      </c>
      <c r="AV22" s="345">
        <v>0</v>
      </c>
      <c r="AW22" s="345">
        <v>0</v>
      </c>
      <c r="AX22" s="345">
        <v>0</v>
      </c>
      <c r="AY22" s="345">
        <v>0</v>
      </c>
      <c r="AZ22" s="345">
        <v>0</v>
      </c>
      <c r="BA22" s="345">
        <v>0</v>
      </c>
      <c r="BB22" s="345"/>
      <c r="BC22" s="345"/>
      <c r="BD22" s="345"/>
      <c r="BE22" s="345"/>
      <c r="BF22" s="345">
        <f t="shared" ref="BF22" si="23">SUM(AT22:BE22)</f>
        <v>0</v>
      </c>
      <c r="BG22" s="345">
        <f t="shared" ref="BG22" si="24">BF22-AS22</f>
        <v>-18.319747900000003</v>
      </c>
      <c r="BH22" s="345">
        <f t="shared" ref="BH22" si="25">BG22-AF22</f>
        <v>-18.319747900000003</v>
      </c>
    </row>
    <row r="23" spans="2:60" ht="24.75" customHeight="1">
      <c r="B23" s="243" t="str">
        <f>IF(Indice_index!$Z$1=1,"Impacto no Saldo","Balance Impact")</f>
        <v>Impacto no Saldo</v>
      </c>
      <c r="C23" s="244"/>
      <c r="D23" s="244"/>
      <c r="E23" s="244"/>
      <c r="F23" s="253">
        <f>F13-F19</f>
        <v>49.004178000000003</v>
      </c>
      <c r="G23" s="253">
        <f t="shared" ref="G23:BE23" si="26">G13-G19</f>
        <v>0</v>
      </c>
      <c r="H23" s="253">
        <f t="shared" si="26"/>
        <v>-910.6069205</v>
      </c>
      <c r="I23" s="253">
        <f t="shared" si="26"/>
        <v>0</v>
      </c>
      <c r="J23" s="253">
        <f t="shared" si="26"/>
        <v>0</v>
      </c>
      <c r="K23" s="253">
        <f t="shared" si="26"/>
        <v>32.982836149999997</v>
      </c>
      <c r="L23" s="253">
        <f t="shared" si="26"/>
        <v>200</v>
      </c>
      <c r="M23" s="253">
        <f t="shared" si="26"/>
        <v>8.3006661299999998</v>
      </c>
      <c r="N23" s="253">
        <f t="shared" si="26"/>
        <v>0</v>
      </c>
      <c r="O23" s="253">
        <f t="shared" si="26"/>
        <v>0</v>
      </c>
      <c r="P23" s="253">
        <f t="shared" si="26"/>
        <v>0</v>
      </c>
      <c r="Q23" s="253">
        <f t="shared" si="26"/>
        <v>0</v>
      </c>
      <c r="R23" s="253">
        <f t="shared" si="1"/>
        <v>-620.31924021999998</v>
      </c>
      <c r="S23" s="253">
        <f t="shared" si="26"/>
        <v>0</v>
      </c>
      <c r="T23" s="253">
        <f t="shared" si="26"/>
        <v>65</v>
      </c>
      <c r="U23" s="253">
        <f t="shared" si="26"/>
        <v>0</v>
      </c>
      <c r="V23" s="253">
        <f t="shared" si="26"/>
        <v>0</v>
      </c>
      <c r="W23" s="253">
        <f t="shared" si="26"/>
        <v>0</v>
      </c>
      <c r="X23" s="253">
        <f t="shared" si="26"/>
        <v>22.705269949999998</v>
      </c>
      <c r="Y23" s="253">
        <f t="shared" si="26"/>
        <v>0</v>
      </c>
      <c r="Z23" s="253">
        <f t="shared" si="26"/>
        <v>165.58857262000001</v>
      </c>
      <c r="AA23" s="253">
        <f t="shared" si="26"/>
        <v>0</v>
      </c>
      <c r="AB23" s="253">
        <f t="shared" si="26"/>
        <v>0</v>
      </c>
      <c r="AC23" s="253">
        <f t="shared" si="26"/>
        <v>0</v>
      </c>
      <c r="AD23" s="253">
        <f t="shared" si="26"/>
        <v>0</v>
      </c>
      <c r="AE23" s="253">
        <f t="shared" si="3"/>
        <v>253.29384257000001</v>
      </c>
      <c r="AF23" s="253">
        <f t="shared" si="10"/>
        <v>873.61308279000002</v>
      </c>
      <c r="AG23" s="253">
        <f t="shared" si="26"/>
        <v>145.97784211999999</v>
      </c>
      <c r="AH23" s="253">
        <f t="shared" si="26"/>
        <v>356.26226238999999</v>
      </c>
      <c r="AI23" s="253">
        <f t="shared" si="26"/>
        <v>-542.05330057999993</v>
      </c>
      <c r="AJ23" s="253">
        <f t="shared" si="26"/>
        <v>-137.58254255000006</v>
      </c>
      <c r="AK23" s="253">
        <f t="shared" si="26"/>
        <v>183.36949898000009</v>
      </c>
      <c r="AL23" s="253">
        <f t="shared" si="26"/>
        <v>-82.987462820000076</v>
      </c>
      <c r="AM23" s="253">
        <f t="shared" si="26"/>
        <v>-77.422807389999974</v>
      </c>
      <c r="AN23" s="253">
        <f t="shared" si="26"/>
        <v>377.07670323999992</v>
      </c>
      <c r="AO23" s="253">
        <f t="shared" si="26"/>
        <v>0</v>
      </c>
      <c r="AP23" s="253">
        <f t="shared" si="26"/>
        <v>0</v>
      </c>
      <c r="AQ23" s="253">
        <f t="shared" si="26"/>
        <v>0</v>
      </c>
      <c r="AR23" s="253">
        <f t="shared" si="26"/>
        <v>0</v>
      </c>
      <c r="AS23" s="253">
        <f t="shared" si="5"/>
        <v>222.64019338999995</v>
      </c>
      <c r="AT23" s="253">
        <f t="shared" si="26"/>
        <v>157.66350491</v>
      </c>
      <c r="AU23" s="253">
        <f t="shared" si="26"/>
        <v>421.61882452333339</v>
      </c>
      <c r="AV23" s="253">
        <f t="shared" si="26"/>
        <v>-163.61743789000008</v>
      </c>
      <c r="AW23" s="253">
        <f t="shared" si="26"/>
        <v>-152.28502104166665</v>
      </c>
      <c r="AX23" s="253">
        <f t="shared" si="26"/>
        <v>173.46780488666661</v>
      </c>
      <c r="AY23" s="253">
        <f t="shared" si="26"/>
        <v>-92.397827844999995</v>
      </c>
      <c r="AZ23" s="253">
        <f t="shared" si="26"/>
        <v>-79.847401240000011</v>
      </c>
      <c r="BA23" s="253">
        <f t="shared" si="26"/>
        <v>242.13898114333335</v>
      </c>
      <c r="BB23" s="253">
        <f t="shared" si="26"/>
        <v>0</v>
      </c>
      <c r="BC23" s="253">
        <f t="shared" si="26"/>
        <v>0</v>
      </c>
      <c r="BD23" s="253">
        <f t="shared" si="26"/>
        <v>0</v>
      </c>
      <c r="BE23" s="253">
        <f t="shared" si="26"/>
        <v>0</v>
      </c>
      <c r="BF23" s="253">
        <f t="shared" si="7"/>
        <v>506.74142744666665</v>
      </c>
      <c r="BG23" s="253">
        <f t="shared" si="8"/>
        <v>284.10123405666673</v>
      </c>
      <c r="BH23" s="253">
        <f t="shared" si="9"/>
        <v>-589.5118487333333</v>
      </c>
    </row>
    <row r="24" spans="2:60" s="3" customFormat="1" ht="15" customHeight="1">
      <c r="B24" s="9" t="str">
        <f>IF(Indice_index!$Z$1=1,"Notas:","Notes:")</f>
        <v>Notas:</v>
      </c>
      <c r="C24" s="9"/>
      <c r="D24" s="9"/>
      <c r="E24" s="9"/>
      <c r="F24" s="9"/>
      <c r="G24" s="9"/>
      <c r="H24" s="9"/>
      <c r="I24" s="9"/>
      <c r="J24" s="9"/>
      <c r="K24" s="9"/>
      <c r="L24" s="9"/>
      <c r="M24" s="9"/>
      <c r="N24" s="9"/>
      <c r="O24" s="9"/>
      <c r="P24" s="9"/>
      <c r="Q24" s="9"/>
      <c r="R24" s="9"/>
      <c r="S24" s="9"/>
      <c r="T24" s="9"/>
      <c r="U24" s="9"/>
      <c r="V24" s="9"/>
      <c r="W24" s="9"/>
      <c r="X24" s="9"/>
      <c r="Y24" s="9"/>
      <c r="Z24" s="9"/>
      <c r="AA24" s="9"/>
      <c r="AB24" s="9"/>
      <c r="AC24" s="9"/>
      <c r="AD24" s="9"/>
      <c r="AE24" s="9"/>
      <c r="AF24" s="9"/>
      <c r="AG24" s="9"/>
      <c r="AH24" s="9"/>
      <c r="AI24" s="9"/>
      <c r="AJ24" s="9"/>
      <c r="AK24" s="9"/>
      <c r="AL24" s="9"/>
      <c r="AM24" s="9"/>
      <c r="AN24" s="9"/>
      <c r="AO24" s="9"/>
      <c r="AP24" s="9"/>
      <c r="AQ24" s="9"/>
      <c r="AR24" s="9"/>
      <c r="AS24" s="9"/>
      <c r="AT24" s="9"/>
      <c r="AU24" s="9"/>
      <c r="AV24" s="9"/>
      <c r="AW24" s="9"/>
      <c r="AX24" s="9"/>
      <c r="AY24" s="9"/>
      <c r="AZ24" s="9"/>
      <c r="BA24" s="9"/>
      <c r="BB24" s="9"/>
      <c r="BC24" s="9"/>
      <c r="BD24" s="9"/>
      <c r="BE24" s="9"/>
      <c r="BF24" s="9"/>
    </row>
    <row r="25" spans="2:60" ht="13.5" customHeight="1">
      <c r="B25" s="445" t="str">
        <f>IF(Indice_index!$Z$1=1,"[*] O efeito em contas nacionais deve ser analisado como comparação entre variações, e não como impacto no saldo nesta ótica.","[*] The effect on national accounts should be analysed as a comparison of changes, not just as an impact on the balance.")</f>
        <v>[*] O efeito em contas nacionais deve ser analisado como comparação entre variações, e não como impacto no saldo nesta ótica.</v>
      </c>
      <c r="C25" s="445"/>
      <c r="D25" s="445"/>
      <c r="E25" s="445"/>
      <c r="F25" s="445"/>
      <c r="G25" s="445"/>
      <c r="H25" s="445"/>
      <c r="I25" s="445"/>
      <c r="J25" s="445"/>
      <c r="K25" s="445"/>
      <c r="L25" s="445"/>
      <c r="M25" s="445"/>
      <c r="N25" s="445"/>
      <c r="O25" s="445"/>
      <c r="P25" s="445"/>
      <c r="Q25" s="445"/>
      <c r="R25" s="445"/>
      <c r="S25" s="445"/>
      <c r="T25" s="445"/>
      <c r="U25" s="445"/>
      <c r="V25" s="445"/>
      <c r="W25" s="445"/>
      <c r="X25" s="445"/>
      <c r="Y25" s="445"/>
      <c r="Z25" s="445"/>
      <c r="AA25" s="445"/>
      <c r="AB25" s="445"/>
      <c r="AC25" s="445"/>
      <c r="AD25" s="445"/>
      <c r="AE25" s="445"/>
      <c r="AF25" s="445"/>
      <c r="AG25" s="445"/>
      <c r="AH25" s="445"/>
      <c r="AI25" s="445"/>
      <c r="AJ25" s="445"/>
      <c r="AK25" s="445"/>
      <c r="AL25" s="445"/>
      <c r="AM25" s="445"/>
      <c r="AN25" s="445"/>
      <c r="AO25" s="445"/>
      <c r="AP25" s="445"/>
      <c r="AQ25" s="445"/>
      <c r="AR25" s="445"/>
      <c r="AS25" s="445"/>
      <c r="AT25" s="445"/>
      <c r="AU25" s="445"/>
      <c r="AV25" s="445"/>
      <c r="AW25" s="445"/>
      <c r="AX25" s="445"/>
      <c r="AY25" s="445"/>
      <c r="AZ25" s="445"/>
      <c r="BA25" s="445"/>
      <c r="BB25" s="445"/>
      <c r="BC25" s="445"/>
      <c r="BD25" s="445"/>
      <c r="BE25" s="445"/>
      <c r="BF25" s="445"/>
      <c r="BG25" s="445"/>
      <c r="BH25" s="445"/>
    </row>
    <row r="26" spans="2:60" ht="36.75" customHeight="1">
      <c r="B26" s="445" t="str">
        <f>IF(Indice_index!$Z$1=1,B99,B100)</f>
        <v>A informação apresentada na Síntese de Execução Orçamental decorre da aplicação dos princípios de contabilidade pública que reflete as despesas e receitas relativas aos pagamentos e recebimentos ocorridos em determinado período, correspondendo a uma abordagem numa ótica de caixa. A contabilidade nacional é orientada pelo princípio da especialização do exercício, numa ótica de compromisso, sendo registadas as despesas e as receitas assumidas no período, independentemente do momento em que se verifica o correspondente pagamento ou recebimento.</v>
      </c>
      <c r="C26" s="445"/>
      <c r="D26" s="445"/>
      <c r="E26" s="445"/>
      <c r="F26" s="445"/>
      <c r="G26" s="445"/>
      <c r="H26" s="445"/>
      <c r="I26" s="445"/>
      <c r="J26" s="445"/>
      <c r="K26" s="445"/>
      <c r="L26" s="445"/>
      <c r="M26" s="445"/>
      <c r="N26" s="445"/>
      <c r="O26" s="445"/>
      <c r="P26" s="445"/>
      <c r="Q26" s="445"/>
      <c r="R26" s="445"/>
      <c r="S26" s="445"/>
      <c r="T26" s="445"/>
      <c r="U26" s="445"/>
      <c r="V26" s="445"/>
      <c r="W26" s="445"/>
      <c r="X26" s="445"/>
      <c r="Y26" s="445"/>
      <c r="Z26" s="445"/>
      <c r="AA26" s="445"/>
      <c r="AB26" s="445"/>
      <c r="AC26" s="445"/>
      <c r="AD26" s="445"/>
      <c r="AE26" s="445"/>
      <c r="AF26" s="445"/>
      <c r="AG26" s="445"/>
      <c r="AH26" s="445"/>
      <c r="AI26" s="445"/>
      <c r="AJ26" s="445"/>
      <c r="AK26" s="445"/>
      <c r="AL26" s="445"/>
      <c r="AM26" s="445"/>
      <c r="AN26" s="445"/>
      <c r="AO26" s="445"/>
      <c r="AP26" s="445"/>
      <c r="AQ26" s="445"/>
      <c r="AR26" s="445"/>
      <c r="AS26" s="445"/>
      <c r="AT26" s="445"/>
      <c r="AU26" s="445"/>
      <c r="AV26" s="445"/>
      <c r="AW26" s="445"/>
      <c r="AX26" s="445"/>
      <c r="AY26" s="445"/>
      <c r="AZ26" s="445"/>
      <c r="BA26" s="445"/>
      <c r="BB26" s="445"/>
      <c r="BC26" s="445"/>
      <c r="BD26" s="445"/>
      <c r="BE26" s="445"/>
      <c r="BF26" s="445"/>
      <c r="BG26" s="445"/>
      <c r="BH26" s="445"/>
    </row>
    <row r="27" spans="2:60" ht="25.5" customHeight="1">
      <c r="B27" s="445" t="str">
        <f>IF(Indice_index!$Z$1=1,"O quadro apresentado explicita operações específicas, "&amp;"nos períodos orçamentais em análise, que implicam um registo distinto e têm um impacto diferente em contabilidade pública e em contabilidade nacional em função dos princípios preconizados por cada ótica.","The presented table outlines various transactions within the analysed budget periods that involve different recording methods and have distinct impacts on public accounting and national accounts based on their respective principles.")</f>
        <v>O quadro apresentado explicita operações específicas, nos períodos orçamentais em análise, que implicam um registo distinto e têm um impacto diferente em contabilidade pública e em contabilidade nacional em função dos princípios preconizados por cada ótica.</v>
      </c>
      <c r="C27" s="445"/>
      <c r="D27" s="445"/>
      <c r="E27" s="445"/>
      <c r="F27" s="445"/>
      <c r="G27" s="445"/>
      <c r="H27" s="445"/>
      <c r="I27" s="445"/>
      <c r="J27" s="445"/>
      <c r="K27" s="445"/>
      <c r="L27" s="445"/>
      <c r="M27" s="445"/>
      <c r="N27" s="445"/>
      <c r="O27" s="445"/>
      <c r="P27" s="445"/>
      <c r="Q27" s="445"/>
      <c r="R27" s="445"/>
      <c r="S27" s="445"/>
      <c r="T27" s="445"/>
      <c r="U27" s="445"/>
      <c r="V27" s="445"/>
      <c r="W27" s="445"/>
      <c r="X27" s="445"/>
      <c r="Y27" s="445"/>
      <c r="Z27" s="445"/>
      <c r="AA27" s="445"/>
      <c r="AB27" s="445"/>
      <c r="AC27" s="445"/>
      <c r="AD27" s="445"/>
      <c r="AE27" s="445"/>
      <c r="AF27" s="445"/>
      <c r="AG27" s="445"/>
      <c r="AH27" s="445"/>
      <c r="AI27" s="445"/>
      <c r="AJ27" s="445"/>
      <c r="AK27" s="445"/>
      <c r="AL27" s="445"/>
      <c r="AM27" s="445"/>
      <c r="AN27" s="445"/>
      <c r="AO27" s="445"/>
      <c r="AP27" s="445"/>
      <c r="AQ27" s="445"/>
      <c r="AR27" s="445"/>
      <c r="AS27" s="445"/>
      <c r="AT27" s="445"/>
      <c r="AU27" s="445"/>
      <c r="AV27" s="445"/>
      <c r="AW27" s="445"/>
      <c r="AX27" s="445"/>
      <c r="AY27" s="445"/>
      <c r="AZ27" s="445"/>
      <c r="BA27" s="445"/>
      <c r="BB27" s="445"/>
      <c r="BC27" s="445"/>
      <c r="BD27" s="445"/>
      <c r="BE27" s="445"/>
      <c r="BF27" s="445"/>
      <c r="BG27" s="445"/>
      <c r="BH27" s="445"/>
    </row>
    <row r="28" spans="2:60" ht="15" customHeight="1">
      <c r="B28" s="487" t="str">
        <f>IF(Indice_index!$Z$1=1,"Fonte: Entidade Orçamental.","Source: Budgetary Entity.")</f>
        <v>Fonte: Entidade Orçamental.</v>
      </c>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7"/>
      <c r="AM28" s="487"/>
      <c r="AN28" s="487"/>
      <c r="AO28" s="487"/>
      <c r="AP28" s="487"/>
      <c r="AQ28" s="487"/>
      <c r="AR28" s="487"/>
      <c r="AS28" s="487"/>
      <c r="AT28" s="487"/>
      <c r="AU28" s="487"/>
      <c r="AV28" s="487"/>
      <c r="AW28" s="487"/>
      <c r="AX28" s="487"/>
      <c r="AY28" s="487"/>
      <c r="AZ28" s="487"/>
      <c r="BA28" s="487"/>
      <c r="BB28" s="487"/>
      <c r="BC28" s="487"/>
      <c r="BD28" s="487"/>
      <c r="BE28" s="487"/>
      <c r="BF28" s="487"/>
      <c r="BG28" s="487"/>
      <c r="BH28" s="487"/>
    </row>
    <row r="29" spans="2:60" ht="14.1" customHeight="1">
      <c r="B29" s="240"/>
      <c r="C29" s="182"/>
      <c r="D29" s="182"/>
      <c r="E29" s="182"/>
      <c r="F29" s="182"/>
      <c r="G29" s="182"/>
      <c r="H29" s="182"/>
      <c r="I29" s="182"/>
      <c r="J29" s="182"/>
      <c r="K29" s="182"/>
      <c r="L29" s="182"/>
      <c r="M29" s="182"/>
      <c r="N29" s="182"/>
      <c r="O29" s="182"/>
      <c r="P29" s="182"/>
      <c r="Q29" s="182"/>
      <c r="R29" s="182"/>
      <c r="S29" s="182"/>
      <c r="T29" s="182"/>
      <c r="U29" s="182"/>
      <c r="V29" s="182"/>
      <c r="W29" s="182"/>
      <c r="X29" s="182"/>
      <c r="Y29" s="182"/>
      <c r="Z29" s="182"/>
      <c r="AA29" s="182"/>
      <c r="AB29" s="182"/>
      <c r="AC29" s="182"/>
      <c r="AD29" s="182"/>
      <c r="AE29" s="182"/>
      <c r="AF29" s="182"/>
      <c r="AG29" s="182"/>
      <c r="AH29" s="182"/>
      <c r="AI29" s="182"/>
      <c r="AJ29" s="182"/>
      <c r="AK29" s="182"/>
      <c r="AL29" s="182"/>
      <c r="AM29" s="182"/>
      <c r="AN29" s="182"/>
      <c r="AO29" s="182"/>
      <c r="AP29" s="182"/>
      <c r="AQ29" s="182"/>
      <c r="AR29" s="182"/>
      <c r="AS29" s="182"/>
      <c r="AT29" s="182"/>
      <c r="AU29" s="182"/>
      <c r="AV29" s="182"/>
      <c r="AW29" s="182"/>
      <c r="AX29" s="182"/>
      <c r="AY29" s="182"/>
      <c r="AZ29" s="182"/>
      <c r="BA29" s="182"/>
      <c r="BB29" s="182"/>
      <c r="BC29" s="182"/>
      <c r="BD29" s="182"/>
      <c r="BE29" s="182"/>
      <c r="BF29" s="182"/>
      <c r="BG29" s="182"/>
      <c r="BH29" s="182"/>
    </row>
    <row r="30" spans="2:60" ht="14.1" customHeight="1">
      <c r="B30" s="240"/>
      <c r="C30" s="182"/>
      <c r="D30" s="182"/>
      <c r="E30" s="182"/>
      <c r="F30" s="182"/>
      <c r="G30" s="182"/>
      <c r="H30" s="182"/>
      <c r="I30" s="182"/>
      <c r="J30" s="182"/>
      <c r="K30" s="182"/>
      <c r="L30" s="182"/>
      <c r="M30" s="182"/>
      <c r="N30" s="182"/>
      <c r="O30" s="182"/>
      <c r="P30" s="182"/>
      <c r="Q30" s="182"/>
      <c r="R30" s="182"/>
      <c r="S30" s="182"/>
      <c r="T30" s="182"/>
      <c r="U30" s="182"/>
      <c r="V30" s="182"/>
      <c r="W30" s="182"/>
      <c r="X30" s="182"/>
      <c r="Y30" s="182"/>
      <c r="Z30" s="182"/>
      <c r="AA30" s="182"/>
      <c r="AB30" s="182"/>
      <c r="AC30" s="182"/>
      <c r="AD30" s="182"/>
      <c r="AE30" s="182"/>
      <c r="AF30" s="182"/>
      <c r="AG30" s="182"/>
      <c r="AH30" s="182"/>
      <c r="AI30" s="182"/>
      <c r="AJ30" s="182"/>
      <c r="AK30" s="182"/>
      <c r="AL30" s="182"/>
      <c r="AM30" s="182"/>
      <c r="AN30" s="182"/>
      <c r="AO30" s="182"/>
      <c r="AP30" s="182"/>
      <c r="AQ30" s="182"/>
      <c r="AR30" s="182"/>
      <c r="AS30" s="182"/>
      <c r="AT30" s="182"/>
      <c r="AU30" s="182"/>
      <c r="AV30" s="182"/>
      <c r="AW30" s="182"/>
      <c r="AX30" s="182"/>
      <c r="AY30" s="182"/>
      <c r="AZ30" s="182"/>
      <c r="BA30" s="182"/>
      <c r="BB30" s="182"/>
      <c r="BC30" s="182"/>
      <c r="BD30" s="182"/>
      <c r="BE30" s="182"/>
      <c r="BF30" s="182"/>
      <c r="BG30" s="182"/>
      <c r="BH30" s="182"/>
    </row>
    <row r="31" spans="2:60" ht="14.1" hidden="1" customHeight="1">
      <c r="B31" s="240"/>
      <c r="C31" s="182"/>
      <c r="D31" s="182"/>
      <c r="E31" s="182"/>
      <c r="F31" s="182"/>
      <c r="G31" s="182"/>
      <c r="H31" s="182"/>
      <c r="I31" s="182"/>
      <c r="J31" s="182"/>
      <c r="K31" s="182"/>
      <c r="L31" s="182"/>
      <c r="M31" s="182"/>
      <c r="N31" s="182"/>
      <c r="O31" s="182"/>
      <c r="P31" s="182"/>
      <c r="Q31" s="182"/>
      <c r="R31" s="182"/>
      <c r="S31" s="182"/>
      <c r="T31" s="182"/>
      <c r="U31" s="182"/>
      <c r="V31" s="182"/>
      <c r="W31" s="182"/>
      <c r="X31" s="182"/>
      <c r="Y31" s="182"/>
      <c r="Z31" s="182"/>
      <c r="AA31" s="182"/>
      <c r="AB31" s="182"/>
      <c r="AC31" s="182"/>
      <c r="AD31" s="182"/>
      <c r="AE31" s="182"/>
      <c r="AF31" s="182"/>
      <c r="AG31" s="182"/>
      <c r="AH31" s="182"/>
      <c r="AI31" s="182"/>
      <c r="AJ31" s="182"/>
      <c r="AK31" s="182"/>
      <c r="AL31" s="182"/>
      <c r="AM31" s="182"/>
      <c r="AN31" s="182"/>
      <c r="AO31" s="182"/>
      <c r="AP31" s="182"/>
      <c r="AQ31" s="182"/>
      <c r="AR31" s="182"/>
      <c r="AS31" s="182"/>
      <c r="AT31" s="182"/>
      <c r="AU31" s="182"/>
      <c r="AV31" s="182"/>
      <c r="AW31" s="182"/>
      <c r="AX31" s="182"/>
      <c r="AY31" s="182"/>
      <c r="AZ31" s="182"/>
      <c r="BA31" s="182"/>
      <c r="BB31" s="182"/>
      <c r="BC31" s="182"/>
      <c r="BD31" s="182"/>
      <c r="BE31" s="182"/>
      <c r="BF31" s="182"/>
      <c r="BG31" s="182"/>
      <c r="BH31" s="182"/>
    </row>
    <row r="32" spans="2:60" ht="14.1" hidden="1" customHeight="1">
      <c r="B32" s="240"/>
      <c r="C32" s="182"/>
      <c r="D32" s="182"/>
      <c r="E32" s="182"/>
      <c r="F32" s="182"/>
      <c r="G32" s="182"/>
      <c r="H32" s="182"/>
      <c r="I32" s="182"/>
      <c r="J32" s="182"/>
      <c r="K32" s="182"/>
      <c r="L32" s="182"/>
      <c r="M32" s="182"/>
      <c r="N32" s="182"/>
      <c r="O32" s="182"/>
      <c r="P32" s="182"/>
      <c r="Q32" s="182"/>
      <c r="R32" s="182"/>
      <c r="S32" s="182"/>
      <c r="T32" s="182"/>
      <c r="U32" s="182"/>
      <c r="V32" s="182"/>
      <c r="W32" s="182"/>
      <c r="X32" s="182"/>
      <c r="Y32" s="182"/>
      <c r="Z32" s="182"/>
      <c r="AA32" s="182"/>
      <c r="AB32" s="182"/>
      <c r="AC32" s="182"/>
      <c r="AD32" s="182"/>
      <c r="AE32" s="182"/>
      <c r="AF32" s="182"/>
      <c r="AG32" s="182"/>
      <c r="AH32" s="182"/>
      <c r="AI32" s="182"/>
      <c r="AJ32" s="182"/>
      <c r="AK32" s="182"/>
      <c r="AL32" s="182"/>
      <c r="AM32" s="182"/>
      <c r="AN32" s="182"/>
      <c r="AO32" s="182"/>
      <c r="AP32" s="182"/>
      <c r="AQ32" s="182"/>
      <c r="AR32" s="182"/>
      <c r="AS32" s="182"/>
      <c r="AT32" s="182"/>
      <c r="AU32" s="182"/>
      <c r="AV32" s="182"/>
      <c r="AW32" s="182"/>
      <c r="AX32" s="182"/>
      <c r="AY32" s="182"/>
      <c r="AZ32" s="182"/>
      <c r="BA32" s="182"/>
      <c r="BB32" s="182"/>
      <c r="BC32" s="182"/>
      <c r="BD32" s="182"/>
      <c r="BE32" s="182"/>
      <c r="BF32" s="182"/>
      <c r="BG32" s="182"/>
      <c r="BH32" s="182"/>
    </row>
    <row r="33" spans="2:63" ht="14.1" hidden="1" customHeight="1">
      <c r="B33" s="240"/>
      <c r="C33" s="182"/>
      <c r="D33" s="182"/>
      <c r="E33" s="182"/>
      <c r="F33" s="182"/>
      <c r="G33" s="182"/>
      <c r="H33" s="182"/>
      <c r="I33" s="182"/>
      <c r="J33" s="182"/>
      <c r="K33" s="182"/>
      <c r="L33" s="182"/>
      <c r="M33" s="182"/>
      <c r="N33" s="182"/>
      <c r="O33" s="182"/>
      <c r="P33" s="182"/>
      <c r="Q33" s="182"/>
      <c r="R33" s="182"/>
      <c r="S33" s="182"/>
      <c r="T33" s="182"/>
      <c r="U33" s="182"/>
      <c r="V33" s="182"/>
      <c r="W33" s="182"/>
      <c r="X33" s="182"/>
      <c r="Y33" s="182"/>
      <c r="Z33" s="182"/>
      <c r="AA33" s="182"/>
      <c r="AB33" s="182"/>
      <c r="AC33" s="182"/>
      <c r="AD33" s="182"/>
      <c r="AE33" s="182"/>
      <c r="AF33" s="182"/>
      <c r="AG33" s="182"/>
      <c r="AH33" s="182"/>
      <c r="AI33" s="182"/>
      <c r="AJ33" s="182"/>
      <c r="AK33" s="182"/>
      <c r="AL33" s="182"/>
      <c r="AM33" s="182"/>
      <c r="AN33" s="182"/>
      <c r="AO33" s="182"/>
      <c r="AP33" s="182"/>
      <c r="AQ33" s="182"/>
      <c r="AR33" s="182"/>
      <c r="AS33" s="182"/>
      <c r="AT33" s="182"/>
      <c r="AU33" s="182"/>
      <c r="AV33" s="182"/>
      <c r="AW33" s="182"/>
      <c r="AX33" s="182"/>
      <c r="AY33" s="182"/>
      <c r="AZ33" s="182"/>
      <c r="BA33" s="182"/>
      <c r="BB33" s="182"/>
      <c r="BC33" s="182"/>
      <c r="BD33" s="182"/>
      <c r="BE33" s="182"/>
      <c r="BF33" s="182"/>
      <c r="BG33" s="182"/>
      <c r="BH33" s="182"/>
    </row>
    <row r="34" spans="2:63" ht="14.1" hidden="1" customHeight="1">
      <c r="B34" s="240"/>
      <c r="C34" s="182"/>
      <c r="D34" s="182"/>
      <c r="E34" s="182"/>
      <c r="F34" s="182"/>
      <c r="G34" s="182"/>
      <c r="H34" s="182"/>
      <c r="I34" s="182"/>
      <c r="J34" s="182"/>
      <c r="K34" s="182"/>
      <c r="L34" s="182"/>
      <c r="M34" s="182"/>
      <c r="N34" s="182"/>
      <c r="O34" s="182"/>
      <c r="P34" s="182"/>
      <c r="Q34" s="182"/>
      <c r="R34" s="182"/>
      <c r="S34" s="182"/>
      <c r="T34" s="182"/>
      <c r="U34" s="182"/>
      <c r="V34" s="182"/>
      <c r="W34" s="182"/>
      <c r="X34" s="182"/>
      <c r="Y34" s="182"/>
      <c r="Z34" s="182"/>
      <c r="AA34" s="182"/>
      <c r="AB34" s="182"/>
      <c r="AC34" s="182"/>
      <c r="AD34" s="182"/>
      <c r="AE34" s="182"/>
      <c r="AF34" s="182"/>
      <c r="AG34" s="182"/>
      <c r="AH34" s="182"/>
      <c r="AI34" s="182"/>
      <c r="AJ34" s="182"/>
      <c r="AK34" s="182"/>
      <c r="AL34" s="182"/>
      <c r="AM34" s="182"/>
      <c r="AN34" s="182"/>
      <c r="AO34" s="182"/>
      <c r="AP34" s="182"/>
      <c r="AQ34" s="182"/>
      <c r="AR34" s="182"/>
      <c r="AS34" s="182"/>
      <c r="AT34" s="182"/>
      <c r="AU34" s="182"/>
      <c r="AV34" s="182"/>
      <c r="AW34" s="182"/>
      <c r="AX34" s="182"/>
      <c r="AY34" s="182"/>
      <c r="AZ34" s="182"/>
      <c r="BA34" s="182"/>
      <c r="BB34" s="182"/>
      <c r="BC34" s="182"/>
      <c r="BD34" s="182"/>
      <c r="BE34" s="182"/>
      <c r="BF34" s="182"/>
      <c r="BG34" s="182"/>
      <c r="BH34" s="182"/>
    </row>
    <row r="35" spans="2:63" ht="14.1" hidden="1" customHeight="1">
      <c r="B35" s="240"/>
      <c r="C35" s="182"/>
      <c r="D35" s="182"/>
      <c r="E35" s="182"/>
      <c r="F35" s="182"/>
      <c r="G35" s="182"/>
      <c r="H35" s="182"/>
      <c r="I35" s="182"/>
      <c r="J35" s="182"/>
      <c r="K35" s="182"/>
      <c r="L35" s="182"/>
      <c r="M35" s="182"/>
      <c r="N35" s="182"/>
      <c r="O35" s="182"/>
      <c r="P35" s="182"/>
      <c r="Q35" s="182"/>
      <c r="R35" s="182"/>
      <c r="S35" s="182"/>
      <c r="T35" s="182"/>
      <c r="U35" s="182"/>
      <c r="V35" s="182"/>
      <c r="W35" s="182"/>
      <c r="X35" s="182"/>
      <c r="Y35" s="182"/>
      <c r="Z35" s="182"/>
      <c r="AA35" s="182"/>
      <c r="AB35" s="182"/>
      <c r="AC35" s="182"/>
      <c r="AD35" s="182"/>
      <c r="AE35" s="182"/>
      <c r="AF35" s="182"/>
      <c r="AG35" s="182"/>
      <c r="AH35" s="182"/>
      <c r="AI35" s="182"/>
      <c r="AJ35" s="182"/>
      <c r="AK35" s="182"/>
      <c r="AL35" s="182"/>
      <c r="AM35" s="182"/>
      <c r="AN35" s="182"/>
      <c r="AO35" s="182"/>
      <c r="AP35" s="182"/>
      <c r="AQ35" s="182"/>
      <c r="AR35" s="182"/>
      <c r="AS35" s="182"/>
      <c r="AT35" s="182"/>
      <c r="AU35" s="182"/>
      <c r="AV35" s="182"/>
      <c r="AW35" s="182"/>
      <c r="AX35" s="182"/>
      <c r="AY35" s="182"/>
      <c r="AZ35" s="182"/>
      <c r="BA35" s="182"/>
      <c r="BB35" s="182"/>
      <c r="BC35" s="182"/>
      <c r="BD35" s="182"/>
      <c r="BE35" s="182"/>
      <c r="BF35" s="182"/>
      <c r="BG35" s="182"/>
      <c r="BH35" s="182"/>
    </row>
    <row r="36" spans="2:63" ht="14.1" hidden="1" customHeight="1">
      <c r="B36" s="240"/>
      <c r="C36" s="182"/>
      <c r="D36" s="182"/>
      <c r="E36" s="182"/>
      <c r="F36" s="182"/>
      <c r="G36" s="182"/>
      <c r="H36" s="182"/>
      <c r="I36" s="182"/>
      <c r="J36" s="182"/>
      <c r="K36" s="182"/>
      <c r="L36" s="182"/>
      <c r="M36" s="182"/>
      <c r="N36" s="182"/>
      <c r="O36" s="182"/>
      <c r="P36" s="182"/>
      <c r="Q36" s="182"/>
      <c r="R36" s="182"/>
      <c r="S36" s="182"/>
      <c r="T36" s="182"/>
      <c r="U36" s="182"/>
      <c r="V36" s="182"/>
      <c r="W36" s="182"/>
      <c r="X36" s="182"/>
      <c r="Y36" s="182"/>
      <c r="Z36" s="182"/>
      <c r="AA36" s="182"/>
      <c r="AB36" s="182"/>
      <c r="AC36" s="182"/>
      <c r="AD36" s="182"/>
      <c r="AE36" s="182"/>
      <c r="AF36" s="182"/>
      <c r="AG36" s="182"/>
      <c r="AH36" s="182"/>
      <c r="AI36" s="182"/>
      <c r="AJ36" s="182"/>
      <c r="AK36" s="182"/>
      <c r="AL36" s="182"/>
      <c r="AM36" s="182"/>
      <c r="AN36" s="182"/>
      <c r="AO36" s="182"/>
      <c r="AP36" s="182"/>
      <c r="AQ36" s="182"/>
      <c r="AR36" s="182"/>
      <c r="AS36" s="182"/>
      <c r="AT36" s="182"/>
      <c r="AU36" s="182"/>
      <c r="AV36" s="182"/>
      <c r="AW36" s="182"/>
      <c r="AX36" s="182"/>
      <c r="AY36" s="182"/>
      <c r="AZ36" s="182"/>
      <c r="BA36" s="182"/>
      <c r="BB36" s="182"/>
      <c r="BC36" s="182"/>
      <c r="BD36" s="182"/>
      <c r="BE36" s="182"/>
      <c r="BF36" s="182"/>
      <c r="BG36" s="182"/>
      <c r="BH36" s="182"/>
    </row>
    <row r="37" spans="2:63" ht="24" hidden="1" customHeight="1">
      <c r="B37" s="246"/>
      <c r="C37" s="182"/>
      <c r="D37" s="182"/>
      <c r="E37" s="182"/>
      <c r="F37" s="182"/>
      <c r="G37" s="182"/>
      <c r="H37" s="182"/>
      <c r="I37" s="182"/>
      <c r="J37" s="182"/>
      <c r="K37" s="182"/>
      <c r="L37" s="182"/>
      <c r="M37" s="182"/>
      <c r="N37" s="182"/>
      <c r="O37" s="182"/>
      <c r="P37" s="182"/>
      <c r="Q37" s="182"/>
      <c r="R37" s="182"/>
      <c r="S37" s="182"/>
      <c r="T37" s="182"/>
      <c r="U37" s="182"/>
      <c r="V37" s="182"/>
      <c r="W37" s="182"/>
      <c r="X37" s="182"/>
      <c r="Y37" s="182"/>
      <c r="Z37" s="182"/>
      <c r="AA37" s="182"/>
      <c r="AB37" s="182"/>
      <c r="AC37" s="182"/>
      <c r="AD37" s="182"/>
      <c r="AE37" s="182"/>
      <c r="AF37" s="182"/>
      <c r="AG37" s="182"/>
      <c r="AH37" s="182"/>
      <c r="AI37" s="182"/>
      <c r="AJ37" s="182"/>
      <c r="AK37" s="182"/>
      <c r="AL37" s="182"/>
      <c r="AM37" s="182"/>
      <c r="AN37" s="182"/>
      <c r="AO37" s="182"/>
      <c r="AP37" s="182"/>
      <c r="AQ37" s="182"/>
      <c r="AR37" s="182"/>
      <c r="AS37" s="182"/>
      <c r="AT37" s="182"/>
      <c r="AU37" s="182"/>
      <c r="AV37" s="182"/>
      <c r="AW37" s="182"/>
      <c r="AX37" s="182"/>
      <c r="AY37" s="182"/>
      <c r="AZ37" s="182"/>
      <c r="BA37" s="182"/>
      <c r="BB37" s="182"/>
      <c r="BC37" s="182"/>
      <c r="BD37" s="182"/>
      <c r="BE37" s="182"/>
      <c r="BF37" s="182"/>
      <c r="BG37" s="182"/>
      <c r="BH37" s="182"/>
    </row>
    <row r="38" spans="2:63" ht="14.1" hidden="1" customHeight="1">
      <c r="B38" s="240"/>
      <c r="C38" s="182"/>
      <c r="D38" s="182"/>
      <c r="E38" s="182"/>
      <c r="F38" s="182"/>
      <c r="G38" s="182"/>
      <c r="H38" s="182"/>
      <c r="I38" s="182"/>
      <c r="J38" s="182"/>
      <c r="K38" s="182"/>
      <c r="L38" s="182"/>
      <c r="M38" s="182"/>
      <c r="N38" s="182"/>
      <c r="O38" s="182"/>
      <c r="P38" s="182"/>
      <c r="Q38" s="182"/>
      <c r="R38" s="182"/>
      <c r="S38" s="182"/>
      <c r="T38" s="182"/>
      <c r="U38" s="182"/>
      <c r="V38" s="182"/>
      <c r="W38" s="182"/>
      <c r="X38" s="182"/>
      <c r="Y38" s="182"/>
      <c r="Z38" s="182"/>
      <c r="AA38" s="182"/>
      <c r="AB38" s="182"/>
      <c r="AC38" s="182"/>
      <c r="AD38" s="182"/>
      <c r="AE38" s="182"/>
      <c r="AF38" s="182"/>
      <c r="AG38" s="182"/>
      <c r="AH38" s="182"/>
      <c r="AI38" s="182"/>
      <c r="AJ38" s="182"/>
      <c r="AK38" s="182"/>
      <c r="AL38" s="182"/>
      <c r="AM38" s="182"/>
      <c r="AN38" s="182"/>
      <c r="AO38" s="182"/>
      <c r="AP38" s="182"/>
      <c r="AQ38" s="182"/>
      <c r="AR38" s="182"/>
      <c r="AS38" s="182"/>
      <c r="AT38" s="182"/>
      <c r="AU38" s="182"/>
      <c r="AV38" s="182"/>
      <c r="AW38" s="182"/>
      <c r="AX38" s="182"/>
      <c r="AY38" s="182"/>
      <c r="AZ38" s="182"/>
      <c r="BA38" s="182"/>
      <c r="BB38" s="182"/>
      <c r="BC38" s="182"/>
      <c r="BD38" s="182"/>
      <c r="BE38" s="182"/>
      <c r="BF38" s="182"/>
      <c r="BG38" s="182"/>
      <c r="BH38" s="182"/>
    </row>
    <row r="39" spans="2:63" ht="14.1" hidden="1" customHeight="1">
      <c r="B39" s="245"/>
      <c r="C39" s="183"/>
      <c r="D39" s="183"/>
      <c r="E39" s="183"/>
      <c r="F39" s="183"/>
      <c r="G39" s="183"/>
      <c r="H39" s="183"/>
      <c r="I39" s="183"/>
      <c r="J39" s="183"/>
      <c r="K39" s="183"/>
      <c r="L39" s="183"/>
      <c r="M39" s="183"/>
      <c r="N39" s="183"/>
      <c r="O39" s="183"/>
      <c r="P39" s="183"/>
      <c r="Q39" s="183"/>
      <c r="R39" s="183"/>
      <c r="S39" s="183"/>
      <c r="T39" s="183"/>
      <c r="U39" s="183"/>
      <c r="V39" s="183"/>
      <c r="W39" s="183"/>
      <c r="X39" s="183"/>
      <c r="Y39" s="183"/>
      <c r="Z39" s="183"/>
      <c r="AA39" s="183"/>
      <c r="AB39" s="183"/>
      <c r="AC39" s="183"/>
      <c r="AD39" s="183"/>
      <c r="AE39" s="183"/>
      <c r="AF39" s="183"/>
      <c r="AG39" s="183"/>
      <c r="AH39" s="183"/>
      <c r="AI39" s="183"/>
      <c r="AJ39" s="183"/>
      <c r="AK39" s="183"/>
      <c r="AL39" s="183"/>
      <c r="AM39" s="183"/>
      <c r="AN39" s="183"/>
      <c r="AO39" s="183"/>
      <c r="AP39" s="183"/>
      <c r="AQ39" s="183"/>
      <c r="AR39" s="183"/>
      <c r="AS39" s="183"/>
      <c r="AT39" s="183"/>
      <c r="AU39" s="183"/>
      <c r="AV39" s="183"/>
      <c r="AW39" s="183"/>
      <c r="AX39" s="183"/>
      <c r="AY39" s="183"/>
      <c r="AZ39" s="183"/>
      <c r="BA39" s="183"/>
      <c r="BB39" s="183"/>
      <c r="BC39" s="183"/>
      <c r="BD39" s="183"/>
      <c r="BE39" s="183"/>
      <c r="BF39" s="183"/>
      <c r="BG39" s="183"/>
      <c r="BH39" s="183"/>
    </row>
    <row r="40" spans="2:63" ht="14.1" hidden="1" customHeight="1">
      <c r="B40" s="245"/>
      <c r="C40" s="183"/>
      <c r="D40" s="183"/>
      <c r="E40" s="183"/>
      <c r="F40" s="183"/>
      <c r="G40" s="183"/>
      <c r="H40" s="183"/>
      <c r="I40" s="183"/>
      <c r="J40" s="183"/>
      <c r="K40" s="183"/>
      <c r="L40" s="183"/>
      <c r="M40" s="183"/>
      <c r="N40" s="183"/>
      <c r="O40" s="183"/>
      <c r="P40" s="183"/>
      <c r="Q40" s="183"/>
      <c r="R40" s="183"/>
      <c r="S40" s="183"/>
      <c r="T40" s="183"/>
      <c r="U40" s="183"/>
      <c r="V40" s="183"/>
      <c r="W40" s="183"/>
      <c r="X40" s="183"/>
      <c r="Y40" s="183"/>
      <c r="Z40" s="183"/>
      <c r="AA40" s="183"/>
      <c r="AB40" s="183"/>
      <c r="AC40" s="183"/>
      <c r="AD40" s="183"/>
      <c r="AE40" s="183"/>
      <c r="AF40" s="183"/>
      <c r="AG40" s="183"/>
      <c r="AH40" s="183"/>
      <c r="AI40" s="183"/>
      <c r="AJ40" s="183"/>
      <c r="AK40" s="183"/>
      <c r="AL40" s="183"/>
      <c r="AM40" s="183"/>
      <c r="AN40" s="183"/>
      <c r="AO40" s="183"/>
      <c r="AP40" s="183"/>
      <c r="AQ40" s="183"/>
      <c r="AR40" s="183"/>
      <c r="AS40" s="183"/>
      <c r="AT40" s="183"/>
      <c r="AU40" s="183"/>
      <c r="AV40" s="183"/>
      <c r="AW40" s="183"/>
      <c r="AX40" s="183"/>
      <c r="AY40" s="183"/>
      <c r="AZ40" s="183"/>
      <c r="BA40" s="183"/>
      <c r="BB40" s="183"/>
      <c r="BC40" s="183"/>
      <c r="BD40" s="183"/>
      <c r="BE40" s="183"/>
      <c r="BF40" s="183"/>
      <c r="BG40" s="183"/>
      <c r="BH40" s="183"/>
    </row>
    <row r="41" spans="2:63" ht="15" hidden="1">
      <c r="B41" s="9"/>
      <c r="C41" s="9"/>
      <c r="D41" s="9"/>
      <c r="E41" s="9"/>
      <c r="F41" s="9"/>
      <c r="G41" s="9"/>
      <c r="H41" s="9"/>
      <c r="I41" s="9"/>
      <c r="J41" s="9"/>
      <c r="K41" s="9"/>
      <c r="L41" s="9"/>
      <c r="M41" s="9"/>
      <c r="N41" s="9"/>
      <c r="O41" s="9"/>
      <c r="P41" s="9"/>
      <c r="Q41" s="9"/>
      <c r="R41" s="9"/>
      <c r="S41" s="9"/>
      <c r="T41" s="9"/>
      <c r="U41" s="9"/>
      <c r="V41" s="9"/>
      <c r="W41" s="9"/>
      <c r="X41" s="9"/>
      <c r="Y41" s="9"/>
      <c r="Z41" s="9"/>
      <c r="AA41" s="9"/>
      <c r="AB41" s="9"/>
      <c r="AC41" s="9"/>
      <c r="AD41" s="9"/>
      <c r="AE41" s="9"/>
      <c r="AF41" s="9"/>
      <c r="AG41" s="9"/>
      <c r="AH41" s="9"/>
      <c r="AI41" s="9"/>
      <c r="AJ41" s="9"/>
      <c r="AK41" s="9"/>
      <c r="AL41" s="9"/>
      <c r="AM41" s="9"/>
      <c r="AN41" s="9"/>
      <c r="AO41" s="9"/>
      <c r="AP41" s="9"/>
      <c r="AQ41" s="9"/>
      <c r="AR41" s="9"/>
      <c r="AS41" s="9"/>
      <c r="AT41" s="9"/>
      <c r="AU41" s="9"/>
      <c r="AV41" s="9"/>
      <c r="AW41" s="9"/>
      <c r="AX41" s="9"/>
      <c r="AY41" s="9"/>
      <c r="AZ41" s="9"/>
      <c r="BA41" s="9"/>
      <c r="BB41" s="9"/>
      <c r="BC41" s="9"/>
      <c r="BD41" s="9"/>
      <c r="BE41" s="9"/>
      <c r="BF41" s="9"/>
      <c r="BG41" s="9"/>
      <c r="BH41" s="9"/>
      <c r="BI41" s="9"/>
      <c r="BJ41" s="9"/>
      <c r="BK41" s="9"/>
    </row>
    <row r="42" spans="2:63" ht="24.75" hidden="1" customHeight="1">
      <c r="BI42" s="239"/>
      <c r="BJ42" s="239"/>
      <c r="BK42" s="31"/>
    </row>
    <row r="43" spans="2:63" ht="15" hidden="1">
      <c r="B43" s="152"/>
      <c r="C43" s="152"/>
      <c r="D43" s="152"/>
      <c r="E43" s="152"/>
      <c r="F43" s="152"/>
      <c r="G43" s="152"/>
      <c r="H43" s="152"/>
      <c r="I43" s="152"/>
      <c r="J43" s="152"/>
      <c r="K43" s="152"/>
      <c r="L43" s="152"/>
      <c r="M43" s="152"/>
      <c r="N43" s="152"/>
      <c r="O43" s="152"/>
      <c r="P43" s="152"/>
      <c r="Q43" s="152"/>
      <c r="R43" s="152"/>
      <c r="S43" s="152"/>
      <c r="T43" s="152"/>
      <c r="U43" s="152"/>
      <c r="V43" s="152"/>
      <c r="W43" s="152"/>
      <c r="X43" s="152"/>
      <c r="Y43" s="152"/>
      <c r="Z43" s="152"/>
      <c r="AA43" s="152"/>
      <c r="AB43" s="152"/>
      <c r="AC43" s="152"/>
      <c r="AD43" s="152"/>
      <c r="AE43" s="152"/>
      <c r="AF43" s="152"/>
      <c r="AG43" s="152"/>
      <c r="AH43" s="152"/>
      <c r="AI43" s="152"/>
      <c r="AJ43" s="152"/>
      <c r="AK43" s="152"/>
      <c r="AL43" s="152"/>
      <c r="AM43" s="152"/>
      <c r="AN43" s="152"/>
      <c r="AO43" s="152"/>
      <c r="AP43" s="152"/>
      <c r="AQ43" s="152"/>
      <c r="AR43" s="152"/>
      <c r="AS43" s="152"/>
      <c r="AT43" s="152"/>
      <c r="AU43" s="152"/>
      <c r="AV43" s="152"/>
      <c r="AW43" s="152"/>
      <c r="AX43" s="152"/>
      <c r="AY43" s="152"/>
      <c r="AZ43" s="152"/>
      <c r="BA43" s="152"/>
      <c r="BB43" s="152"/>
      <c r="BC43" s="152"/>
      <c r="BD43" s="152"/>
      <c r="BE43" s="152"/>
      <c r="BF43" s="152"/>
      <c r="BG43" s="152"/>
      <c r="BH43" s="152"/>
      <c r="BI43" s="28"/>
      <c r="BJ43" s="28"/>
      <c r="BK43" s="153"/>
    </row>
    <row r="44" spans="2:63" ht="15" hidden="1">
      <c r="B44" s="398"/>
      <c r="C44" s="398"/>
      <c r="D44" s="398"/>
      <c r="E44" s="398"/>
      <c r="F44" s="398"/>
      <c r="G44" s="398"/>
      <c r="H44" s="398"/>
      <c r="I44" s="398"/>
      <c r="J44" s="398"/>
      <c r="K44" s="398"/>
      <c r="L44" s="398"/>
      <c r="M44" s="398"/>
      <c r="N44" s="398"/>
      <c r="O44" s="398"/>
      <c r="P44" s="398"/>
      <c r="Q44" s="398"/>
      <c r="R44" s="398"/>
      <c r="S44" s="398"/>
      <c r="T44" s="398"/>
      <c r="U44" s="398"/>
      <c r="V44" s="398"/>
      <c r="W44" s="398"/>
      <c r="X44" s="398"/>
      <c r="Y44" s="398"/>
      <c r="Z44" s="398"/>
      <c r="AA44" s="398"/>
      <c r="AB44" s="398"/>
      <c r="AC44" s="398"/>
      <c r="AD44" s="398"/>
      <c r="AE44" s="398"/>
      <c r="AF44" s="398"/>
      <c r="AG44" s="398"/>
      <c r="AH44" s="398"/>
      <c r="AI44" s="398"/>
      <c r="AJ44" s="398"/>
      <c r="AK44" s="398"/>
      <c r="AL44" s="398"/>
      <c r="AM44" s="398"/>
      <c r="AN44" s="398"/>
      <c r="AO44" s="398"/>
      <c r="AP44" s="398"/>
      <c r="AQ44" s="398"/>
      <c r="AR44" s="398"/>
      <c r="AS44" s="398"/>
      <c r="AT44" s="398"/>
      <c r="AU44" s="398"/>
      <c r="AV44" s="398"/>
      <c r="AW44" s="398"/>
      <c r="AX44" s="398"/>
      <c r="AY44" s="398"/>
      <c r="AZ44" s="398"/>
      <c r="BA44" s="398"/>
      <c r="BB44" s="398"/>
      <c r="BC44" s="398"/>
      <c r="BD44" s="398"/>
      <c r="BE44" s="398"/>
      <c r="BF44" s="398"/>
      <c r="BG44" s="398"/>
      <c r="BH44" s="398"/>
    </row>
    <row r="45" spans="2:63" ht="15" hidden="1">
      <c r="B45" s="397"/>
      <c r="C45" s="397"/>
      <c r="D45" s="397"/>
      <c r="E45" s="397"/>
      <c r="F45" s="397"/>
      <c r="G45" s="397"/>
      <c r="H45" s="397"/>
      <c r="I45" s="397"/>
      <c r="J45" s="397"/>
      <c r="K45" s="397"/>
      <c r="L45" s="397"/>
      <c r="M45" s="397"/>
      <c r="N45" s="397"/>
      <c r="O45" s="397"/>
      <c r="P45" s="397"/>
      <c r="Q45" s="397"/>
      <c r="R45" s="397"/>
      <c r="S45" s="397"/>
      <c r="T45" s="397"/>
      <c r="U45" s="397"/>
      <c r="V45" s="397"/>
      <c r="W45" s="397"/>
      <c r="X45" s="397"/>
      <c r="Y45" s="397"/>
      <c r="Z45" s="397"/>
      <c r="AA45" s="397"/>
      <c r="AB45" s="397"/>
      <c r="AC45" s="397"/>
      <c r="AD45" s="397"/>
      <c r="AE45" s="397"/>
      <c r="AF45" s="397"/>
      <c r="AG45" s="397"/>
      <c r="AH45" s="397"/>
      <c r="AI45" s="397"/>
      <c r="AJ45" s="397"/>
      <c r="AK45" s="397"/>
      <c r="AL45" s="397"/>
      <c r="AM45" s="397"/>
      <c r="AN45" s="397"/>
      <c r="AO45" s="397"/>
      <c r="AP45" s="397"/>
      <c r="AQ45" s="397"/>
      <c r="AR45" s="397"/>
      <c r="AS45" s="397"/>
      <c r="AT45" s="397"/>
      <c r="AU45" s="397"/>
      <c r="AV45" s="397"/>
      <c r="AW45" s="397"/>
      <c r="AX45" s="397"/>
      <c r="AY45" s="397"/>
      <c r="AZ45" s="397"/>
      <c r="BA45" s="397"/>
      <c r="BB45" s="397"/>
      <c r="BC45" s="397"/>
      <c r="BD45" s="397"/>
      <c r="BE45" s="397"/>
      <c r="BF45" s="397"/>
      <c r="BG45" s="397"/>
      <c r="BH45" s="397"/>
    </row>
    <row r="46" spans="2:63" ht="15" hidden="1">
      <c r="B46" s="397"/>
      <c r="C46" s="397"/>
      <c r="D46" s="397"/>
      <c r="E46" s="397"/>
      <c r="F46" s="397"/>
      <c r="G46" s="397"/>
      <c r="H46" s="397"/>
      <c r="I46" s="397"/>
      <c r="J46" s="397"/>
      <c r="K46" s="397"/>
      <c r="L46" s="397"/>
      <c r="M46" s="397"/>
      <c r="N46" s="397"/>
      <c r="O46" s="397"/>
      <c r="P46" s="397"/>
      <c r="Q46" s="397"/>
      <c r="R46" s="397"/>
      <c r="S46" s="397"/>
      <c r="T46" s="397"/>
      <c r="U46" s="397"/>
      <c r="V46" s="397"/>
      <c r="W46" s="397"/>
      <c r="X46" s="397"/>
      <c r="Y46" s="397"/>
      <c r="Z46" s="397"/>
      <c r="AA46" s="397"/>
      <c r="AB46" s="397"/>
      <c r="AC46" s="397"/>
      <c r="AD46" s="397"/>
      <c r="AE46" s="397"/>
      <c r="AF46" s="397"/>
      <c r="AG46" s="397"/>
      <c r="AH46" s="397"/>
      <c r="AI46" s="397"/>
      <c r="AJ46" s="397"/>
      <c r="AK46" s="397"/>
      <c r="AL46" s="397"/>
      <c r="AM46" s="397"/>
      <c r="AN46" s="397"/>
      <c r="AO46" s="397"/>
      <c r="AP46" s="397"/>
      <c r="AQ46" s="397"/>
      <c r="AR46" s="397"/>
      <c r="AS46" s="397"/>
      <c r="AT46" s="397"/>
      <c r="AU46" s="397"/>
      <c r="AV46" s="397"/>
      <c r="AW46" s="397"/>
      <c r="AX46" s="397"/>
      <c r="AY46" s="397"/>
      <c r="AZ46" s="397"/>
      <c r="BA46" s="397"/>
      <c r="BB46" s="397"/>
      <c r="BC46" s="397"/>
      <c r="BD46" s="397"/>
      <c r="BE46" s="397"/>
      <c r="BF46" s="397"/>
      <c r="BG46" s="397"/>
      <c r="BH46" s="397"/>
    </row>
    <row r="47" spans="2:63" ht="15" hidden="1">
      <c r="B47" s="398"/>
      <c r="C47" s="398"/>
      <c r="D47" s="398"/>
      <c r="E47" s="398"/>
      <c r="F47" s="398"/>
      <c r="G47" s="398"/>
      <c r="H47" s="398"/>
      <c r="I47" s="398"/>
      <c r="J47" s="398"/>
      <c r="K47" s="398"/>
      <c r="L47" s="398"/>
      <c r="M47" s="398"/>
      <c r="N47" s="398"/>
      <c r="O47" s="398"/>
      <c r="P47" s="398"/>
      <c r="Q47" s="398"/>
      <c r="R47" s="398"/>
      <c r="S47" s="398"/>
      <c r="T47" s="398"/>
      <c r="U47" s="398"/>
      <c r="V47" s="398"/>
      <c r="W47" s="398"/>
      <c r="X47" s="398"/>
      <c r="Y47" s="398"/>
      <c r="Z47" s="398"/>
      <c r="AA47" s="398"/>
      <c r="AB47" s="398"/>
      <c r="AC47" s="398"/>
      <c r="AD47" s="398"/>
      <c r="AE47" s="398"/>
      <c r="AF47" s="398"/>
      <c r="AG47" s="398"/>
      <c r="AH47" s="398"/>
      <c r="AI47" s="398"/>
      <c r="AJ47" s="398"/>
      <c r="AK47" s="398"/>
      <c r="AL47" s="398"/>
      <c r="AM47" s="398"/>
      <c r="AN47" s="398"/>
      <c r="AO47" s="398"/>
      <c r="AP47" s="398"/>
      <c r="AQ47" s="398"/>
      <c r="AR47" s="398"/>
      <c r="AS47" s="398"/>
      <c r="AT47" s="398"/>
      <c r="AU47" s="398"/>
      <c r="AV47" s="398"/>
      <c r="AW47" s="398"/>
      <c r="AX47" s="398"/>
      <c r="AY47" s="398"/>
      <c r="AZ47" s="398"/>
      <c r="BA47" s="398"/>
      <c r="BB47" s="398"/>
      <c r="BC47" s="398"/>
      <c r="BD47" s="398"/>
      <c r="BE47" s="398"/>
      <c r="BF47" s="398"/>
      <c r="BG47" s="398"/>
      <c r="BH47" s="398"/>
    </row>
    <row r="51" ht="14.85" customHeight="1"/>
    <row r="67" ht="14.85" customHeight="1"/>
    <row r="83" ht="14.85" customHeight="1"/>
    <row r="84" ht="14.85" customHeight="1"/>
    <row r="87" ht="14.85" customHeight="1"/>
    <row r="97" spans="2:60" ht="14.85" customHeight="1"/>
    <row r="98" spans="2:60" ht="14.85" customHeight="1"/>
    <row r="99" spans="2:60" ht="34.35" hidden="1" customHeight="1">
      <c r="B99" s="445" t="s">
        <v>537</v>
      </c>
      <c r="C99" s="445"/>
      <c r="D99" s="445"/>
      <c r="E99" s="445"/>
      <c r="F99" s="445"/>
      <c r="G99" s="445"/>
      <c r="H99" s="445"/>
      <c r="I99" s="445"/>
      <c r="J99" s="445"/>
      <c r="K99" s="445"/>
      <c r="L99" s="445"/>
      <c r="M99" s="445"/>
      <c r="N99" s="445"/>
      <c r="O99" s="445"/>
      <c r="P99" s="445"/>
      <c r="Q99" s="445"/>
      <c r="R99" s="445"/>
      <c r="S99" s="445"/>
      <c r="T99" s="445"/>
      <c r="U99" s="445"/>
      <c r="V99" s="445"/>
      <c r="W99" s="445"/>
      <c r="X99" s="445"/>
      <c r="Y99" s="445"/>
      <c r="Z99" s="445"/>
      <c r="AA99" s="445"/>
      <c r="AB99" s="445"/>
      <c r="AC99" s="445"/>
      <c r="AD99" s="445"/>
      <c r="AE99" s="445"/>
      <c r="AF99" s="445"/>
      <c r="AG99" s="445"/>
      <c r="AH99" s="445"/>
      <c r="AI99" s="445"/>
      <c r="AJ99" s="445"/>
      <c r="AK99" s="445"/>
      <c r="AL99" s="445"/>
      <c r="AM99" s="445"/>
      <c r="AN99" s="445"/>
      <c r="AO99" s="445"/>
      <c r="AP99" s="445"/>
      <c r="AQ99" s="445"/>
      <c r="AR99" s="445"/>
      <c r="AS99" s="445"/>
      <c r="AT99" s="445"/>
      <c r="AU99" s="445"/>
      <c r="AV99" s="445"/>
      <c r="AW99" s="445"/>
      <c r="AX99" s="445"/>
      <c r="AY99" s="445"/>
      <c r="AZ99" s="445"/>
      <c r="BA99" s="445"/>
      <c r="BB99" s="445"/>
      <c r="BC99" s="445"/>
      <c r="BD99" s="445"/>
      <c r="BE99" s="445"/>
      <c r="BF99" s="445"/>
      <c r="BG99" s="445"/>
      <c r="BH99" s="445"/>
    </row>
    <row r="100" spans="2:60" ht="24.6" hidden="1" customHeight="1">
      <c r="B100" s="445" t="s">
        <v>573</v>
      </c>
      <c r="C100" s="445"/>
      <c r="D100" s="445"/>
      <c r="E100" s="445"/>
      <c r="F100" s="445"/>
      <c r="G100" s="445"/>
      <c r="H100" s="445"/>
      <c r="I100" s="445"/>
      <c r="J100" s="445"/>
      <c r="K100" s="445"/>
      <c r="L100" s="445"/>
      <c r="M100" s="445"/>
      <c r="N100" s="445"/>
      <c r="O100" s="445"/>
      <c r="P100" s="445"/>
      <c r="Q100" s="445"/>
      <c r="R100" s="445"/>
      <c r="S100" s="445"/>
      <c r="T100" s="445"/>
      <c r="U100" s="445"/>
      <c r="V100" s="445"/>
      <c r="W100" s="445"/>
      <c r="X100" s="445"/>
      <c r="Y100" s="445"/>
      <c r="Z100" s="445"/>
      <c r="AA100" s="445"/>
      <c r="AB100" s="445"/>
      <c r="AC100" s="445"/>
      <c r="AD100" s="445"/>
      <c r="AE100" s="445"/>
      <c r="AF100" s="445"/>
      <c r="AG100" s="445"/>
      <c r="AH100" s="445"/>
      <c r="AI100" s="445"/>
      <c r="AJ100" s="445"/>
      <c r="AK100" s="445"/>
      <c r="AL100" s="445"/>
      <c r="AM100" s="445"/>
      <c r="AN100" s="445"/>
      <c r="AO100" s="445"/>
      <c r="AP100" s="445"/>
      <c r="AQ100" s="445"/>
      <c r="AR100" s="445"/>
      <c r="AS100" s="445"/>
      <c r="AT100" s="445"/>
      <c r="AU100" s="445"/>
      <c r="AV100" s="445"/>
      <c r="AW100" s="445"/>
      <c r="AX100" s="445"/>
      <c r="AY100" s="445"/>
      <c r="AZ100" s="445"/>
      <c r="BA100" s="445"/>
      <c r="BB100" s="445"/>
      <c r="BC100" s="445"/>
      <c r="BD100" s="445"/>
      <c r="BE100" s="445"/>
      <c r="BF100" s="445"/>
      <c r="BG100" s="445"/>
      <c r="BH100" s="445"/>
    </row>
    <row r="101" spans="2:60" ht="14.85" customHeight="1"/>
  </sheetData>
  <mergeCells count="23">
    <mergeCell ref="B99:BH99"/>
    <mergeCell ref="B100:BH100"/>
    <mergeCell ref="B47:BH47"/>
    <mergeCell ref="F11:R11"/>
    <mergeCell ref="S11:AE11"/>
    <mergeCell ref="AG11:AS11"/>
    <mergeCell ref="AT11:BF11"/>
    <mergeCell ref="F10:AF10"/>
    <mergeCell ref="AG10:BG10"/>
    <mergeCell ref="AF11:AF12"/>
    <mergeCell ref="BH11:BH12"/>
    <mergeCell ref="B46:BH46"/>
    <mergeCell ref="E10:E12"/>
    <mergeCell ref="D10:D12"/>
    <mergeCell ref="C10:C12"/>
    <mergeCell ref="B10:B12"/>
    <mergeCell ref="BG11:BG12"/>
    <mergeCell ref="B25:BH25"/>
    <mergeCell ref="B44:BH44"/>
    <mergeCell ref="B45:BH45"/>
    <mergeCell ref="B28:BH28"/>
    <mergeCell ref="B26:BH26"/>
    <mergeCell ref="B27:BH27"/>
  </mergeCells>
  <conditionalFormatting sqref="C10:E10 F12:BH12 C24:BH24 C29:BH38">
    <cfRule type="cellIs" dxfId="2" priority="27" operator="equal">
      <formula>0</formula>
    </cfRule>
  </conditionalFormatting>
  <conditionalFormatting sqref="C13:E23">
    <cfRule type="cellIs" dxfId="1" priority="1" operator="equal">
      <formula>0</formula>
    </cfRule>
  </conditionalFormatting>
  <conditionalFormatting sqref="F14:BH18 F20:BH22">
    <cfRule type="cellIs" dxfId="0" priority="8"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R13 AS13 AS19 AS23 R19 R23 C17" formula="1"/>
  </ignoredErrors>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codeName="Folha28">
    <pageSetUpPr fitToPage="1"/>
  </sheetPr>
  <dimension ref="A1:AG532"/>
  <sheetViews>
    <sheetView showGridLines="0" zoomScaleNormal="100" workbookViewId="0"/>
  </sheetViews>
  <sheetFormatPr defaultColWidth="0" defaultRowHeight="15" zeroHeight="1"/>
  <cols>
    <col min="1" max="1" width="8.5703125" style="93" customWidth="1"/>
    <col min="2" max="2" width="94" customWidth="1"/>
    <col min="3" max="3" width="9.42578125" customWidth="1"/>
    <col min="4" max="33" width="0" hidden="1" customWidth="1"/>
    <col min="34" max="16384" width="9.42578125" hidden="1"/>
  </cols>
  <sheetData>
    <row r="1" spans="1:2"/>
    <row r="2" spans="1:2"/>
    <row r="3" spans="1:2"/>
    <row r="4" spans="1:2"/>
    <row r="5" spans="1:2" ht="18" customHeight="1">
      <c r="A5"/>
      <c r="B5" s="270" t="str">
        <f>IF(Indice_index!$Z$1=1,"ANEXOS ESTATÍSTICOS","STATISTICAL ANNEXES")</f>
        <v>ANEXOS ESTATÍSTICOS</v>
      </c>
    </row>
    <row r="6" spans="1:2" ht="18" customHeight="1">
      <c r="A6"/>
      <c r="B6" s="271" t="str">
        <f>IF(Indice_index!$Z$1=1,"Agosto de 2025","Aug 2025")</f>
        <v>Agosto de 2025</v>
      </c>
    </row>
    <row r="7" spans="1:2" ht="48.75" customHeight="1">
      <c r="B7" s="12"/>
    </row>
    <row r="8" spans="1:2" ht="15.75">
      <c r="B8" s="116" t="str">
        <f>IF(Indice_index!$Z$1=1,"Quadro 26 - Lista de entidades da Administração Central em 2025","26 - Central Administration's list of entities in 2025")</f>
        <v>Quadro 26 - Lista de entidades da Administração Central em 2025</v>
      </c>
    </row>
    <row r="9" spans="1:2">
      <c r="B9" s="3"/>
    </row>
    <row r="10" spans="1:2" s="123" customFormat="1" ht="18" customHeight="1">
      <c r="B10" s="207" t="s">
        <v>509</v>
      </c>
    </row>
    <row r="11" spans="1:2" ht="14.1" customHeight="1">
      <c r="B11" s="208" t="s">
        <v>56</v>
      </c>
    </row>
    <row r="12" spans="1:2" ht="14.1" customHeight="1">
      <c r="B12" s="208" t="s">
        <v>57</v>
      </c>
    </row>
    <row r="13" spans="1:2" ht="14.1" customHeight="1">
      <c r="B13" s="208" t="s">
        <v>58</v>
      </c>
    </row>
    <row r="14" spans="1:2" ht="14.1" customHeight="1">
      <c r="B14" s="208" t="s">
        <v>59</v>
      </c>
    </row>
    <row r="15" spans="1:2" ht="14.1" customHeight="1">
      <c r="B15" s="208" t="s">
        <v>60</v>
      </c>
    </row>
    <row r="16" spans="1:2" ht="14.1" customHeight="1">
      <c r="B16" s="208" t="s">
        <v>61</v>
      </c>
    </row>
    <row r="17" spans="2:2" ht="14.1" customHeight="1">
      <c r="B17" s="208" t="s">
        <v>62</v>
      </c>
    </row>
    <row r="18" spans="2:2" ht="14.1" customHeight="1">
      <c r="B18" s="208" t="s">
        <v>538</v>
      </c>
    </row>
    <row r="19" spans="2:2" ht="14.1" customHeight="1">
      <c r="B19" s="208" t="s">
        <v>63</v>
      </c>
    </row>
    <row r="20" spans="2:2" ht="14.1" customHeight="1">
      <c r="B20" s="208" t="s">
        <v>64</v>
      </c>
    </row>
    <row r="21" spans="2:2" ht="14.1" customHeight="1">
      <c r="B21" s="208" t="s">
        <v>65</v>
      </c>
    </row>
    <row r="22" spans="2:2" ht="14.1" customHeight="1">
      <c r="B22" s="208" t="s">
        <v>487</v>
      </c>
    </row>
    <row r="23" spans="2:2" ht="14.1" customHeight="1">
      <c r="B23" s="208" t="s">
        <v>66</v>
      </c>
    </row>
    <row r="24" spans="2:2" ht="14.1" customHeight="1">
      <c r="B24" s="208" t="s">
        <v>447</v>
      </c>
    </row>
    <row r="25" spans="2:2" ht="14.1" customHeight="1">
      <c r="B25" s="208" t="s">
        <v>67</v>
      </c>
    </row>
    <row r="26" spans="2:2" ht="14.1" customHeight="1">
      <c r="B26" s="208" t="s">
        <v>68</v>
      </c>
    </row>
    <row r="27" spans="2:2" ht="14.1" customHeight="1">
      <c r="B27" s="208" t="s">
        <v>69</v>
      </c>
    </row>
    <row r="28" spans="2:2" ht="14.1" customHeight="1">
      <c r="B28" s="208" t="s">
        <v>70</v>
      </c>
    </row>
    <row r="29" spans="2:2" ht="14.1" customHeight="1">
      <c r="B29" s="208" t="s">
        <v>71</v>
      </c>
    </row>
    <row r="30" spans="2:2" ht="14.1" customHeight="1">
      <c r="B30" s="208" t="s">
        <v>72</v>
      </c>
    </row>
    <row r="31" spans="2:2" ht="14.1" customHeight="1">
      <c r="B31" s="208" t="s">
        <v>510</v>
      </c>
    </row>
    <row r="32" spans="2:2" ht="14.1" customHeight="1">
      <c r="B32" s="208" t="s">
        <v>73</v>
      </c>
    </row>
    <row r="33" spans="2:2" ht="14.1" customHeight="1">
      <c r="B33" s="208" t="s">
        <v>74</v>
      </c>
    </row>
    <row r="34" spans="2:2" ht="14.1" customHeight="1">
      <c r="B34" s="208" t="s">
        <v>75</v>
      </c>
    </row>
    <row r="35" spans="2:2" ht="14.1" customHeight="1">
      <c r="B35" s="208" t="s">
        <v>76</v>
      </c>
    </row>
    <row r="36" spans="2:2" ht="14.1" customHeight="1">
      <c r="B36" s="208" t="s">
        <v>77</v>
      </c>
    </row>
    <row r="37" spans="2:2" ht="14.1" customHeight="1">
      <c r="B37" s="208" t="s">
        <v>78</v>
      </c>
    </row>
    <row r="38" spans="2:2" s="123" customFormat="1" ht="13.5" customHeight="1">
      <c r="B38" s="208" t="s">
        <v>79</v>
      </c>
    </row>
    <row r="39" spans="2:2" ht="18" customHeight="1">
      <c r="B39" s="207" t="s">
        <v>511</v>
      </c>
    </row>
    <row r="40" spans="2:2" ht="14.1" customHeight="1">
      <c r="B40" s="208" t="s">
        <v>443</v>
      </c>
    </row>
    <row r="41" spans="2:2" ht="14.1" customHeight="1">
      <c r="B41" s="208" t="s">
        <v>81</v>
      </c>
    </row>
    <row r="42" spans="2:2" ht="14.1" customHeight="1">
      <c r="B42" s="208" t="s">
        <v>82</v>
      </c>
    </row>
    <row r="43" spans="2:2" ht="14.1" customHeight="1">
      <c r="B43" s="208" t="s">
        <v>83</v>
      </c>
    </row>
    <row r="44" spans="2:2" ht="14.1" customHeight="1">
      <c r="B44" s="208" t="s">
        <v>84</v>
      </c>
    </row>
    <row r="45" spans="2:2" ht="14.1" customHeight="1">
      <c r="B45" s="208" t="s">
        <v>85</v>
      </c>
    </row>
    <row r="46" spans="2:2" ht="14.1" customHeight="1">
      <c r="B46" s="208" t="s">
        <v>86</v>
      </c>
    </row>
    <row r="47" spans="2:2" ht="14.1" customHeight="1">
      <c r="B47" s="208" t="s">
        <v>87</v>
      </c>
    </row>
    <row r="48" spans="2:2" ht="14.1" customHeight="1">
      <c r="B48" s="208" t="s">
        <v>88</v>
      </c>
    </row>
    <row r="49" spans="2:2" ht="14.1" customHeight="1">
      <c r="B49" s="208" t="s">
        <v>89</v>
      </c>
    </row>
    <row r="50" spans="2:2" ht="14.1" customHeight="1">
      <c r="B50" s="208" t="s">
        <v>90</v>
      </c>
    </row>
    <row r="51" spans="2:2" ht="14.1" customHeight="1">
      <c r="B51" s="208" t="s">
        <v>91</v>
      </c>
    </row>
    <row r="52" spans="2:2" ht="14.1" customHeight="1">
      <c r="B52" s="208" t="s">
        <v>539</v>
      </c>
    </row>
    <row r="53" spans="2:2" ht="14.1" customHeight="1">
      <c r="B53" s="208" t="s">
        <v>522</v>
      </c>
    </row>
    <row r="54" spans="2:2" ht="14.1" customHeight="1">
      <c r="B54" s="208" t="s">
        <v>93</v>
      </c>
    </row>
    <row r="55" spans="2:2" ht="14.1" customHeight="1">
      <c r="B55" s="208" t="s">
        <v>94</v>
      </c>
    </row>
    <row r="56" spans="2:2" ht="14.1" customHeight="1">
      <c r="B56" s="208" t="s">
        <v>95</v>
      </c>
    </row>
    <row r="57" spans="2:2" ht="14.1" customHeight="1">
      <c r="B57" s="208" t="s">
        <v>96</v>
      </c>
    </row>
    <row r="58" spans="2:2" ht="14.1" customHeight="1">
      <c r="B58" s="208" t="s">
        <v>97</v>
      </c>
    </row>
    <row r="59" spans="2:2" ht="14.1" customHeight="1">
      <c r="B59" s="208" t="s">
        <v>98</v>
      </c>
    </row>
    <row r="60" spans="2:2" ht="14.1" customHeight="1">
      <c r="B60" s="208" t="s">
        <v>99</v>
      </c>
    </row>
    <row r="61" spans="2:2" ht="14.1" customHeight="1">
      <c r="B61" s="208" t="s">
        <v>100</v>
      </c>
    </row>
    <row r="62" spans="2:2" ht="14.1" customHeight="1">
      <c r="B62" s="208" t="s">
        <v>102</v>
      </c>
    </row>
    <row r="63" spans="2:2" ht="14.1" customHeight="1">
      <c r="B63" s="208" t="s">
        <v>103</v>
      </c>
    </row>
    <row r="64" spans="2:2" ht="14.1" customHeight="1">
      <c r="B64" s="208" t="s">
        <v>104</v>
      </c>
    </row>
    <row r="65" spans="2:2" ht="14.1" customHeight="1">
      <c r="B65" s="208" t="s">
        <v>221</v>
      </c>
    </row>
    <row r="66" spans="2:2" ht="14.1" customHeight="1">
      <c r="B66" s="208" t="s">
        <v>105</v>
      </c>
    </row>
    <row r="67" spans="2:2" ht="14.1" customHeight="1">
      <c r="B67" s="209" t="s">
        <v>106</v>
      </c>
    </row>
    <row r="68" spans="2:2" ht="14.1" customHeight="1">
      <c r="B68" s="208" t="s">
        <v>108</v>
      </c>
    </row>
    <row r="69" spans="2:2" ht="18" customHeight="1">
      <c r="B69" s="207" t="s">
        <v>512</v>
      </c>
    </row>
    <row r="70" spans="2:2" ht="14.1" customHeight="1">
      <c r="B70" s="208" t="s">
        <v>109</v>
      </c>
    </row>
    <row r="71" spans="2:2" s="123" customFormat="1" ht="13.5" customHeight="1">
      <c r="B71" s="208" t="s">
        <v>111</v>
      </c>
    </row>
    <row r="72" spans="2:2" ht="14.1" customHeight="1">
      <c r="B72" s="208" t="s">
        <v>112</v>
      </c>
    </row>
    <row r="73" spans="2:2" ht="13.5" customHeight="1">
      <c r="B73" s="208" t="s">
        <v>113</v>
      </c>
    </row>
    <row r="74" spans="2:2" ht="14.1" customHeight="1">
      <c r="B74" s="208" t="s">
        <v>114</v>
      </c>
    </row>
    <row r="75" spans="2:2" ht="18" customHeight="1">
      <c r="B75" s="207" t="s">
        <v>540</v>
      </c>
    </row>
    <row r="76" spans="2:2" ht="13.5" customHeight="1">
      <c r="B76" s="208" t="s">
        <v>161</v>
      </c>
    </row>
    <row r="77" spans="2:2" ht="13.5" customHeight="1">
      <c r="B77" s="208" t="s">
        <v>448</v>
      </c>
    </row>
    <row r="78" spans="2:2" ht="13.5" customHeight="1">
      <c r="B78" s="208" t="s">
        <v>162</v>
      </c>
    </row>
    <row r="79" spans="2:2" ht="13.5" customHeight="1">
      <c r="B79" s="208" t="s">
        <v>163</v>
      </c>
    </row>
    <row r="80" spans="2:2" ht="13.5" customHeight="1">
      <c r="B80" s="208" t="s">
        <v>164</v>
      </c>
    </row>
    <row r="81" spans="2:2" ht="13.5" customHeight="1">
      <c r="B81" s="208" t="s">
        <v>165</v>
      </c>
    </row>
    <row r="82" spans="2:2" ht="13.5" customHeight="1">
      <c r="B82" s="208" t="s">
        <v>166</v>
      </c>
    </row>
    <row r="83" spans="2:2" ht="13.5" customHeight="1">
      <c r="B83" s="208" t="s">
        <v>167</v>
      </c>
    </row>
    <row r="84" spans="2:2" ht="13.5" customHeight="1">
      <c r="B84" s="208" t="s">
        <v>168</v>
      </c>
    </row>
    <row r="85" spans="2:2" ht="13.5" customHeight="1">
      <c r="B85" s="208" t="s">
        <v>169</v>
      </c>
    </row>
    <row r="86" spans="2:2" ht="13.5" customHeight="1">
      <c r="B86" s="208" t="s">
        <v>541</v>
      </c>
    </row>
    <row r="87" spans="2:2" ht="13.5" customHeight="1">
      <c r="B87" s="208" t="s">
        <v>618</v>
      </c>
    </row>
    <row r="88" spans="2:2" ht="13.5" customHeight="1">
      <c r="B88" s="208" t="s">
        <v>617</v>
      </c>
    </row>
    <row r="89" spans="2:2" ht="13.5" customHeight="1">
      <c r="B89" s="208" t="s">
        <v>92</v>
      </c>
    </row>
    <row r="90" spans="2:2" ht="13.5" customHeight="1">
      <c r="B90" s="208" t="s">
        <v>170</v>
      </c>
    </row>
    <row r="91" spans="2:2" ht="13.5" customHeight="1">
      <c r="B91" s="208" t="s">
        <v>171</v>
      </c>
    </row>
    <row r="92" spans="2:2" ht="13.5" customHeight="1">
      <c r="B92" s="208" t="s">
        <v>172</v>
      </c>
    </row>
    <row r="93" spans="2:2" ht="13.5" customHeight="1">
      <c r="B93" s="208" t="s">
        <v>173</v>
      </c>
    </row>
    <row r="94" spans="2:2" ht="13.5" customHeight="1">
      <c r="B94" s="208" t="s">
        <v>174</v>
      </c>
    </row>
    <row r="95" spans="2:2" ht="13.5" customHeight="1">
      <c r="B95" s="208" t="s">
        <v>175</v>
      </c>
    </row>
    <row r="96" spans="2:2" ht="13.5" customHeight="1">
      <c r="B96" s="208" t="s">
        <v>176</v>
      </c>
    </row>
    <row r="97" spans="2:2" s="123" customFormat="1" ht="13.5" customHeight="1">
      <c r="B97" s="208" t="s">
        <v>177</v>
      </c>
    </row>
    <row r="98" spans="2:2" ht="13.5" customHeight="1">
      <c r="B98" s="208" t="s">
        <v>178</v>
      </c>
    </row>
    <row r="99" spans="2:2" ht="13.5" customHeight="1">
      <c r="B99" s="208" t="s">
        <v>179</v>
      </c>
    </row>
    <row r="100" spans="2:2" ht="13.5" customHeight="1">
      <c r="B100" s="208" t="s">
        <v>101</v>
      </c>
    </row>
    <row r="101" spans="2:2" ht="13.5" customHeight="1">
      <c r="B101" s="208" t="s">
        <v>180</v>
      </c>
    </row>
    <row r="102" spans="2:2" ht="14.1" customHeight="1">
      <c r="B102" s="208" t="s">
        <v>181</v>
      </c>
    </row>
    <row r="103" spans="2:2" ht="14.1" customHeight="1">
      <c r="B103" s="208" t="s">
        <v>182</v>
      </c>
    </row>
    <row r="104" spans="2:2" ht="14.1" customHeight="1">
      <c r="B104" s="208" t="s">
        <v>183</v>
      </c>
    </row>
    <row r="105" spans="2:2" ht="14.1" customHeight="1">
      <c r="B105" s="208" t="s">
        <v>184</v>
      </c>
    </row>
    <row r="106" spans="2:2" ht="14.1" customHeight="1">
      <c r="B106" s="208" t="s">
        <v>107</v>
      </c>
    </row>
    <row r="107" spans="2:2" ht="14.1" customHeight="1">
      <c r="B107" s="208" t="s">
        <v>185</v>
      </c>
    </row>
    <row r="108" spans="2:2" ht="14.1" customHeight="1">
      <c r="B108" s="208" t="s">
        <v>616</v>
      </c>
    </row>
    <row r="109" spans="2:2" ht="14.1" customHeight="1">
      <c r="B109" s="208" t="s">
        <v>612</v>
      </c>
    </row>
    <row r="110" spans="2:2" ht="13.5" customHeight="1">
      <c r="B110" s="208" t="s">
        <v>186</v>
      </c>
    </row>
    <row r="111" spans="2:2" ht="18" customHeight="1">
      <c r="B111" s="207" t="s">
        <v>542</v>
      </c>
    </row>
    <row r="112" spans="2:2" ht="14.1" customHeight="1">
      <c r="B112" s="208" t="s">
        <v>187</v>
      </c>
    </row>
    <row r="113" spans="2:2" ht="18" customHeight="1">
      <c r="B113" s="207" t="s">
        <v>543</v>
      </c>
    </row>
    <row r="114" spans="2:2" ht="14.1" customHeight="1">
      <c r="B114" s="208" t="s">
        <v>115</v>
      </c>
    </row>
    <row r="115" spans="2:2" ht="14.1" customHeight="1">
      <c r="B115" s="208" t="s">
        <v>513</v>
      </c>
    </row>
    <row r="116" spans="2:2" ht="13.5" customHeight="1">
      <c r="B116" s="208" t="s">
        <v>116</v>
      </c>
    </row>
    <row r="117" spans="2:2" s="123" customFormat="1" ht="13.5" customHeight="1">
      <c r="B117" s="208" t="s">
        <v>117</v>
      </c>
    </row>
    <row r="118" spans="2:2" ht="14.1" customHeight="1">
      <c r="B118" s="208" t="s">
        <v>118</v>
      </c>
    </row>
    <row r="119" spans="2:2" ht="14.1" customHeight="1">
      <c r="B119" s="208" t="s">
        <v>119</v>
      </c>
    </row>
    <row r="120" spans="2:2" ht="14.1" customHeight="1">
      <c r="B120" s="208" t="s">
        <v>120</v>
      </c>
    </row>
    <row r="121" spans="2:2" ht="14.1" customHeight="1">
      <c r="B121" s="208" t="s">
        <v>121</v>
      </c>
    </row>
    <row r="122" spans="2:2" ht="14.1" customHeight="1">
      <c r="B122" s="208" t="s">
        <v>122</v>
      </c>
    </row>
    <row r="123" spans="2:2" ht="14.1" customHeight="1">
      <c r="B123" s="208" t="s">
        <v>123</v>
      </c>
    </row>
    <row r="124" spans="2:2" ht="14.1" customHeight="1">
      <c r="B124" s="208" t="s">
        <v>124</v>
      </c>
    </row>
    <row r="125" spans="2:2" ht="14.1" customHeight="1">
      <c r="B125" s="208" t="s">
        <v>125</v>
      </c>
    </row>
    <row r="126" spans="2:2" ht="14.1" customHeight="1">
      <c r="B126" s="208" t="s">
        <v>126</v>
      </c>
    </row>
    <row r="127" spans="2:2" ht="14.1" customHeight="1">
      <c r="B127" s="208" t="s">
        <v>127</v>
      </c>
    </row>
    <row r="128" spans="2:2" ht="14.1" customHeight="1">
      <c r="B128" s="208" t="s">
        <v>128</v>
      </c>
    </row>
    <row r="129" spans="2:2" ht="14.1" customHeight="1">
      <c r="B129" s="208" t="s">
        <v>129</v>
      </c>
    </row>
    <row r="130" spans="2:2" ht="14.1" customHeight="1">
      <c r="B130" s="208" t="s">
        <v>544</v>
      </c>
    </row>
    <row r="131" spans="2:2" ht="18" customHeight="1">
      <c r="B131" s="207" t="s">
        <v>545</v>
      </c>
    </row>
    <row r="132" spans="2:2" ht="14.1" customHeight="1">
      <c r="B132" s="208" t="s">
        <v>141</v>
      </c>
    </row>
    <row r="133" spans="2:2" ht="14.1" customHeight="1">
      <c r="B133" s="208" t="s">
        <v>142</v>
      </c>
    </row>
    <row r="134" spans="2:2" s="123" customFormat="1" ht="13.5" customHeight="1">
      <c r="B134" s="208" t="s">
        <v>143</v>
      </c>
    </row>
    <row r="135" spans="2:2" ht="14.1" customHeight="1">
      <c r="B135" s="208" t="s">
        <v>144</v>
      </c>
    </row>
    <row r="136" spans="2:2" ht="14.1" customHeight="1">
      <c r="B136" s="208" t="s">
        <v>145</v>
      </c>
    </row>
    <row r="137" spans="2:2" ht="14.1" customHeight="1">
      <c r="B137" s="208" t="s">
        <v>146</v>
      </c>
    </row>
    <row r="138" spans="2:2" ht="14.1" customHeight="1">
      <c r="B138" s="208" t="s">
        <v>147</v>
      </c>
    </row>
    <row r="139" spans="2:2" ht="14.1" customHeight="1">
      <c r="B139" s="208" t="s">
        <v>148</v>
      </c>
    </row>
    <row r="140" spans="2:2" ht="14.1" customHeight="1">
      <c r="B140" s="208" t="s">
        <v>149</v>
      </c>
    </row>
    <row r="141" spans="2:2" ht="14.1" customHeight="1">
      <c r="B141" s="208" t="s">
        <v>150</v>
      </c>
    </row>
    <row r="142" spans="2:2" ht="14.1" customHeight="1">
      <c r="B142" s="208" t="s">
        <v>151</v>
      </c>
    </row>
    <row r="143" spans="2:2" ht="14.1" customHeight="1">
      <c r="B143" s="208" t="s">
        <v>152</v>
      </c>
    </row>
    <row r="144" spans="2:2" ht="14.1" customHeight="1">
      <c r="B144" s="208" t="s">
        <v>153</v>
      </c>
    </row>
    <row r="145" spans="2:2" ht="14.1" customHeight="1">
      <c r="B145" s="208" t="s">
        <v>154</v>
      </c>
    </row>
    <row r="146" spans="2:2" ht="14.1" customHeight="1">
      <c r="B146" s="208" t="s">
        <v>155</v>
      </c>
    </row>
    <row r="147" spans="2:2" ht="14.1" customHeight="1">
      <c r="B147" s="208" t="s">
        <v>514</v>
      </c>
    </row>
    <row r="148" spans="2:2" ht="14.1" customHeight="1">
      <c r="B148" s="208" t="s">
        <v>515</v>
      </c>
    </row>
    <row r="149" spans="2:2" ht="14.1" customHeight="1">
      <c r="B149" s="208" t="s">
        <v>516</v>
      </c>
    </row>
    <row r="150" spans="2:2" ht="14.1" customHeight="1">
      <c r="B150" s="208" t="s">
        <v>156</v>
      </c>
    </row>
    <row r="151" spans="2:2" ht="14.1" customHeight="1">
      <c r="B151" s="208" t="s">
        <v>157</v>
      </c>
    </row>
    <row r="152" spans="2:2" ht="14.1" customHeight="1">
      <c r="B152" s="208" t="s">
        <v>158</v>
      </c>
    </row>
    <row r="153" spans="2:2" ht="14.1" customHeight="1">
      <c r="B153" s="208" t="s">
        <v>159</v>
      </c>
    </row>
    <row r="154" spans="2:2" ht="14.1" customHeight="1">
      <c r="B154" s="208" t="s">
        <v>160</v>
      </c>
    </row>
    <row r="155" spans="2:2" ht="18" customHeight="1">
      <c r="B155" s="207" t="s">
        <v>546</v>
      </c>
    </row>
    <row r="156" spans="2:2" ht="14.1" customHeight="1">
      <c r="B156" s="208" t="s">
        <v>130</v>
      </c>
    </row>
    <row r="157" spans="2:2" ht="14.1" customHeight="1">
      <c r="B157" s="208" t="s">
        <v>131</v>
      </c>
    </row>
    <row r="158" spans="2:2" ht="14.1" customHeight="1">
      <c r="B158" s="208" t="s">
        <v>132</v>
      </c>
    </row>
    <row r="159" spans="2:2" ht="14.1" customHeight="1">
      <c r="B159" s="208" t="s">
        <v>133</v>
      </c>
    </row>
    <row r="160" spans="2:2" ht="14.1" customHeight="1">
      <c r="B160" s="208" t="s">
        <v>134</v>
      </c>
    </row>
    <row r="161" spans="2:2" ht="14.1" customHeight="1">
      <c r="B161" s="208" t="s">
        <v>135</v>
      </c>
    </row>
    <row r="162" spans="2:2" ht="14.1" customHeight="1">
      <c r="B162" s="208" t="s">
        <v>136</v>
      </c>
    </row>
    <row r="163" spans="2:2" ht="14.1" customHeight="1">
      <c r="B163" s="208" t="s">
        <v>137</v>
      </c>
    </row>
    <row r="164" spans="2:2" ht="14.1" customHeight="1">
      <c r="B164" s="208" t="s">
        <v>138</v>
      </c>
    </row>
    <row r="165" spans="2:2" ht="14.1" customHeight="1">
      <c r="B165" s="208" t="s">
        <v>139</v>
      </c>
    </row>
    <row r="166" spans="2:2" ht="14.1" customHeight="1">
      <c r="B166" s="208" t="s">
        <v>140</v>
      </c>
    </row>
    <row r="167" spans="2:2" ht="14.1" customHeight="1">
      <c r="B167" s="208" t="s">
        <v>547</v>
      </c>
    </row>
    <row r="168" spans="2:2" ht="18" customHeight="1">
      <c r="B168" s="207" t="s">
        <v>548</v>
      </c>
    </row>
    <row r="169" spans="2:2" ht="14.1" customHeight="1">
      <c r="B169" s="208" t="s">
        <v>309</v>
      </c>
    </row>
    <row r="170" spans="2:2" ht="14.1" customHeight="1">
      <c r="B170" s="208" t="s">
        <v>310</v>
      </c>
    </row>
    <row r="171" spans="2:2" ht="14.1" customHeight="1">
      <c r="B171" s="208" t="s">
        <v>311</v>
      </c>
    </row>
    <row r="172" spans="2:2" ht="14.1" customHeight="1">
      <c r="B172" s="208" t="s">
        <v>312</v>
      </c>
    </row>
    <row r="173" spans="2:2" ht="14.1" customHeight="1">
      <c r="B173" s="208" t="s">
        <v>313</v>
      </c>
    </row>
    <row r="174" spans="2:2" ht="14.1" customHeight="1">
      <c r="B174" s="208" t="s">
        <v>314</v>
      </c>
    </row>
    <row r="175" spans="2:2" ht="14.1" customHeight="1">
      <c r="B175" s="208" t="s">
        <v>315</v>
      </c>
    </row>
    <row r="176" spans="2:2" ht="14.1" customHeight="1">
      <c r="B176" s="208" t="s">
        <v>316</v>
      </c>
    </row>
    <row r="177" spans="2:2" ht="14.1" customHeight="1">
      <c r="B177" s="208" t="s">
        <v>317</v>
      </c>
    </row>
    <row r="178" spans="2:2" ht="14.1" customHeight="1">
      <c r="B178" s="208" t="s">
        <v>318</v>
      </c>
    </row>
    <row r="179" spans="2:2" ht="14.1" customHeight="1">
      <c r="B179" s="208" t="s">
        <v>319</v>
      </c>
    </row>
    <row r="180" spans="2:2" ht="14.1" customHeight="1">
      <c r="B180" s="208" t="s">
        <v>320</v>
      </c>
    </row>
    <row r="181" spans="2:2" ht="13.5" customHeight="1">
      <c r="B181" s="208" t="s">
        <v>321</v>
      </c>
    </row>
    <row r="182" spans="2:2" ht="13.5" customHeight="1">
      <c r="B182" s="208" t="s">
        <v>322</v>
      </c>
    </row>
    <row r="183" spans="2:2" ht="13.5" customHeight="1">
      <c r="B183" s="208" t="s">
        <v>323</v>
      </c>
    </row>
    <row r="184" spans="2:2" s="123" customFormat="1" ht="13.5" customHeight="1">
      <c r="B184" s="208" t="s">
        <v>324</v>
      </c>
    </row>
    <row r="185" spans="2:2" ht="14.1" customHeight="1">
      <c r="B185" s="208" t="s">
        <v>325</v>
      </c>
    </row>
    <row r="186" spans="2:2" ht="18" customHeight="1">
      <c r="B186" s="207" t="s">
        <v>549</v>
      </c>
    </row>
    <row r="187" spans="2:2" ht="14.1" customHeight="1">
      <c r="B187" s="208" t="s">
        <v>223</v>
      </c>
    </row>
    <row r="188" spans="2:2" ht="14.1" customHeight="1">
      <c r="B188" s="208" t="s">
        <v>550</v>
      </c>
    </row>
    <row r="189" spans="2:2" ht="14.1" customHeight="1">
      <c r="B189" s="208" t="s">
        <v>615</v>
      </c>
    </row>
    <row r="190" spans="2:2" ht="14.1" customHeight="1">
      <c r="B190" s="208" t="s">
        <v>224</v>
      </c>
    </row>
    <row r="191" spans="2:2" ht="14.1" customHeight="1">
      <c r="B191" s="208" t="s">
        <v>225</v>
      </c>
    </row>
    <row r="192" spans="2:2" ht="14.1" customHeight="1">
      <c r="B192" s="208" t="s">
        <v>226</v>
      </c>
    </row>
    <row r="193" spans="2:2" ht="14.1" customHeight="1">
      <c r="B193" s="208" t="s">
        <v>227</v>
      </c>
    </row>
    <row r="194" spans="2:2" ht="14.1" customHeight="1">
      <c r="B194" s="208" t="s">
        <v>228</v>
      </c>
    </row>
    <row r="195" spans="2:2" ht="14.1" customHeight="1">
      <c r="B195" s="208" t="s">
        <v>229</v>
      </c>
    </row>
    <row r="196" spans="2:2" ht="14.1" customHeight="1">
      <c r="B196" s="208" t="s">
        <v>230</v>
      </c>
    </row>
    <row r="197" spans="2:2" ht="14.1" customHeight="1">
      <c r="B197" s="208" t="s">
        <v>231</v>
      </c>
    </row>
    <row r="198" spans="2:2" ht="14.1" customHeight="1">
      <c r="B198" s="208" t="s">
        <v>232</v>
      </c>
    </row>
    <row r="199" spans="2:2" ht="14.1" customHeight="1">
      <c r="B199" s="208" t="s">
        <v>233</v>
      </c>
    </row>
    <row r="200" spans="2:2" ht="14.1" customHeight="1">
      <c r="B200" s="208" t="s">
        <v>234</v>
      </c>
    </row>
    <row r="201" spans="2:2" ht="14.1" customHeight="1">
      <c r="B201" s="208" t="s">
        <v>235</v>
      </c>
    </row>
    <row r="202" spans="2:2" ht="14.1" customHeight="1">
      <c r="B202" s="208" t="s">
        <v>236</v>
      </c>
    </row>
    <row r="203" spans="2:2" ht="14.1" customHeight="1">
      <c r="B203" s="208" t="s">
        <v>452</v>
      </c>
    </row>
    <row r="204" spans="2:2" ht="14.1" customHeight="1">
      <c r="B204" s="208" t="s">
        <v>237</v>
      </c>
    </row>
    <row r="205" spans="2:2" ht="14.1" customHeight="1">
      <c r="B205" s="208" t="s">
        <v>238</v>
      </c>
    </row>
    <row r="206" spans="2:2" ht="14.1" customHeight="1">
      <c r="B206" s="208" t="s">
        <v>239</v>
      </c>
    </row>
    <row r="207" spans="2:2" ht="14.1" customHeight="1">
      <c r="B207" s="208" t="s">
        <v>240</v>
      </c>
    </row>
    <row r="208" spans="2:2" ht="14.1" customHeight="1">
      <c r="B208" s="208" t="s">
        <v>241</v>
      </c>
    </row>
    <row r="209" spans="2:2" ht="14.1" customHeight="1">
      <c r="B209" s="208" t="s">
        <v>242</v>
      </c>
    </row>
    <row r="210" spans="2:2" ht="14.1" customHeight="1">
      <c r="B210" s="208" t="s">
        <v>243</v>
      </c>
    </row>
    <row r="211" spans="2:2" ht="14.1" customHeight="1">
      <c r="B211" s="208" t="s">
        <v>244</v>
      </c>
    </row>
    <row r="212" spans="2:2" ht="14.1" customHeight="1">
      <c r="B212" s="208" t="s">
        <v>245</v>
      </c>
    </row>
    <row r="213" spans="2:2" ht="14.1" customHeight="1">
      <c r="B213" s="208" t="s">
        <v>246</v>
      </c>
    </row>
    <row r="214" spans="2:2" ht="14.1" customHeight="1">
      <c r="B214" s="208" t="s">
        <v>247</v>
      </c>
    </row>
    <row r="215" spans="2:2" ht="14.1" customHeight="1">
      <c r="B215" s="208" t="s">
        <v>248</v>
      </c>
    </row>
    <row r="216" spans="2:2" ht="14.1" customHeight="1">
      <c r="B216" s="208" t="s">
        <v>249</v>
      </c>
    </row>
    <row r="217" spans="2:2" ht="14.1" customHeight="1">
      <c r="B217" s="208" t="s">
        <v>250</v>
      </c>
    </row>
    <row r="218" spans="2:2" ht="14.1" customHeight="1">
      <c r="B218" s="208" t="s">
        <v>251</v>
      </c>
    </row>
    <row r="219" spans="2:2" ht="14.1" customHeight="1">
      <c r="B219" s="208" t="s">
        <v>252</v>
      </c>
    </row>
    <row r="220" spans="2:2" ht="14.1" customHeight="1">
      <c r="B220" s="208" t="s">
        <v>253</v>
      </c>
    </row>
    <row r="221" spans="2:2" ht="14.1" customHeight="1">
      <c r="B221" s="208" t="s">
        <v>254</v>
      </c>
    </row>
    <row r="222" spans="2:2" ht="14.1" customHeight="1">
      <c r="B222" s="208" t="s">
        <v>255</v>
      </c>
    </row>
    <row r="223" spans="2:2" ht="14.1" customHeight="1">
      <c r="B223" s="208" t="s">
        <v>256</v>
      </c>
    </row>
    <row r="224" spans="2:2" ht="14.1" customHeight="1">
      <c r="B224" s="208" t="s">
        <v>257</v>
      </c>
    </row>
    <row r="225" spans="2:2" ht="14.1" customHeight="1">
      <c r="B225" s="208" t="s">
        <v>258</v>
      </c>
    </row>
    <row r="226" spans="2:2" ht="14.1" customHeight="1">
      <c r="B226" s="208" t="s">
        <v>259</v>
      </c>
    </row>
    <row r="227" spans="2:2" ht="14.1" customHeight="1">
      <c r="B227" s="208" t="s">
        <v>260</v>
      </c>
    </row>
    <row r="228" spans="2:2" ht="14.1" customHeight="1">
      <c r="B228" s="208" t="s">
        <v>261</v>
      </c>
    </row>
    <row r="229" spans="2:2" ht="14.1" customHeight="1">
      <c r="B229" s="208" t="s">
        <v>262</v>
      </c>
    </row>
    <row r="230" spans="2:2" ht="14.1" customHeight="1">
      <c r="B230" s="208" t="s">
        <v>263</v>
      </c>
    </row>
    <row r="231" spans="2:2" ht="14.1" customHeight="1">
      <c r="B231" s="208" t="s">
        <v>264</v>
      </c>
    </row>
    <row r="232" spans="2:2" ht="14.1" customHeight="1">
      <c r="B232" s="208" t="s">
        <v>265</v>
      </c>
    </row>
    <row r="233" spans="2:2" ht="14.1" customHeight="1">
      <c r="B233" s="208" t="s">
        <v>266</v>
      </c>
    </row>
    <row r="234" spans="2:2" ht="14.1" customHeight="1">
      <c r="B234" s="208" t="s">
        <v>267</v>
      </c>
    </row>
    <row r="235" spans="2:2" ht="14.1" customHeight="1">
      <c r="B235" s="208" t="s">
        <v>268</v>
      </c>
    </row>
    <row r="236" spans="2:2" ht="14.1" customHeight="1">
      <c r="B236" s="208" t="s">
        <v>269</v>
      </c>
    </row>
    <row r="237" spans="2:2" ht="14.1" customHeight="1">
      <c r="B237" s="208" t="s">
        <v>270</v>
      </c>
    </row>
    <row r="238" spans="2:2" ht="14.1" customHeight="1">
      <c r="B238" s="208" t="s">
        <v>271</v>
      </c>
    </row>
    <row r="239" spans="2:2" ht="14.1" customHeight="1">
      <c r="B239" s="208" t="s">
        <v>272</v>
      </c>
    </row>
    <row r="240" spans="2:2" ht="14.1" customHeight="1">
      <c r="B240" s="208" t="s">
        <v>273</v>
      </c>
    </row>
    <row r="241" spans="2:2" ht="14.1" customHeight="1">
      <c r="B241" s="208" t="s">
        <v>274</v>
      </c>
    </row>
    <row r="242" spans="2:2" ht="14.1" customHeight="1">
      <c r="B242" s="208" t="s">
        <v>275</v>
      </c>
    </row>
    <row r="243" spans="2:2" ht="14.1" customHeight="1">
      <c r="B243" s="208" t="s">
        <v>276</v>
      </c>
    </row>
    <row r="244" spans="2:2" ht="14.1" customHeight="1">
      <c r="B244" s="208" t="s">
        <v>277</v>
      </c>
    </row>
    <row r="245" spans="2:2" ht="14.1" customHeight="1">
      <c r="B245" s="208" t="s">
        <v>278</v>
      </c>
    </row>
    <row r="246" spans="2:2" ht="14.1" customHeight="1">
      <c r="B246" s="208" t="s">
        <v>279</v>
      </c>
    </row>
    <row r="247" spans="2:2" ht="14.1" customHeight="1">
      <c r="B247" s="208" t="s">
        <v>280</v>
      </c>
    </row>
    <row r="248" spans="2:2" ht="14.1" customHeight="1">
      <c r="B248" s="208" t="s">
        <v>281</v>
      </c>
    </row>
    <row r="249" spans="2:2" ht="14.1" customHeight="1">
      <c r="B249" s="208" t="s">
        <v>282</v>
      </c>
    </row>
    <row r="250" spans="2:2" ht="14.1" customHeight="1">
      <c r="B250" s="208" t="s">
        <v>283</v>
      </c>
    </row>
    <row r="251" spans="2:2" ht="14.1" customHeight="1">
      <c r="B251" s="208" t="s">
        <v>284</v>
      </c>
    </row>
    <row r="252" spans="2:2" ht="14.1" customHeight="1">
      <c r="B252" s="208" t="s">
        <v>285</v>
      </c>
    </row>
    <row r="253" spans="2:2" ht="14.1" customHeight="1">
      <c r="B253" s="208" t="s">
        <v>286</v>
      </c>
    </row>
    <row r="254" spans="2:2" ht="14.1" customHeight="1">
      <c r="B254" s="208" t="s">
        <v>287</v>
      </c>
    </row>
    <row r="255" spans="2:2" ht="14.1" customHeight="1">
      <c r="B255" s="208" t="s">
        <v>288</v>
      </c>
    </row>
    <row r="256" spans="2:2" ht="14.1" customHeight="1">
      <c r="B256" s="208" t="s">
        <v>289</v>
      </c>
    </row>
    <row r="257" spans="2:2" ht="14.1" customHeight="1">
      <c r="B257" s="208" t="s">
        <v>290</v>
      </c>
    </row>
    <row r="258" spans="2:2" ht="14.1" customHeight="1">
      <c r="B258" s="208" t="s">
        <v>291</v>
      </c>
    </row>
    <row r="259" spans="2:2" ht="14.1" customHeight="1">
      <c r="B259" s="208" t="s">
        <v>292</v>
      </c>
    </row>
    <row r="260" spans="2:2" ht="14.1" customHeight="1">
      <c r="B260" s="208" t="s">
        <v>293</v>
      </c>
    </row>
    <row r="261" spans="2:2" ht="14.1" customHeight="1">
      <c r="B261" s="208" t="s">
        <v>294</v>
      </c>
    </row>
    <row r="262" spans="2:2" ht="14.1" customHeight="1">
      <c r="B262" s="208" t="s">
        <v>295</v>
      </c>
    </row>
    <row r="263" spans="2:2" ht="14.1" customHeight="1">
      <c r="B263" s="208" t="s">
        <v>296</v>
      </c>
    </row>
    <row r="264" spans="2:2" ht="14.1" customHeight="1">
      <c r="B264" s="208" t="s">
        <v>297</v>
      </c>
    </row>
    <row r="265" spans="2:2" ht="14.1" customHeight="1">
      <c r="B265" s="208" t="s">
        <v>298</v>
      </c>
    </row>
    <row r="266" spans="2:2" ht="14.1" customHeight="1">
      <c r="B266" s="208" t="s">
        <v>299</v>
      </c>
    </row>
    <row r="267" spans="2:2" ht="14.1" customHeight="1">
      <c r="B267" s="208" t="s">
        <v>300</v>
      </c>
    </row>
    <row r="268" spans="2:2" ht="14.1" customHeight="1">
      <c r="B268" s="208" t="s">
        <v>301</v>
      </c>
    </row>
    <row r="269" spans="2:2" ht="14.1" customHeight="1">
      <c r="B269" s="208" t="s">
        <v>302</v>
      </c>
    </row>
    <row r="270" spans="2:2" ht="14.1" customHeight="1">
      <c r="B270" s="208" t="s">
        <v>517</v>
      </c>
    </row>
    <row r="271" spans="2:2" ht="14.1" customHeight="1">
      <c r="B271" s="208" t="s">
        <v>303</v>
      </c>
    </row>
    <row r="272" spans="2:2" ht="14.1" customHeight="1">
      <c r="B272" s="208" t="s">
        <v>304</v>
      </c>
    </row>
    <row r="273" spans="2:2" ht="14.1" customHeight="1">
      <c r="B273" s="208" t="s">
        <v>305</v>
      </c>
    </row>
    <row r="274" spans="2:2" ht="14.1" customHeight="1">
      <c r="B274" s="208" t="s">
        <v>306</v>
      </c>
    </row>
    <row r="275" spans="2:2" ht="13.5" customHeight="1">
      <c r="B275" s="208" t="s">
        <v>307</v>
      </c>
    </row>
    <row r="276" spans="2:2" ht="13.5" customHeight="1">
      <c r="B276" s="208" t="s">
        <v>308</v>
      </c>
    </row>
    <row r="277" spans="2:2" s="123" customFormat="1" ht="18" customHeight="1">
      <c r="B277" s="207" t="s">
        <v>551</v>
      </c>
    </row>
    <row r="278" spans="2:2" ht="14.1" customHeight="1">
      <c r="B278" s="208" t="s">
        <v>367</v>
      </c>
    </row>
    <row r="279" spans="2:2" ht="14.1" customHeight="1">
      <c r="B279" s="208" t="s">
        <v>368</v>
      </c>
    </row>
    <row r="280" spans="2:2" ht="14.1" customHeight="1">
      <c r="B280" s="208" t="s">
        <v>580</v>
      </c>
    </row>
    <row r="281" spans="2:2" ht="14.1" customHeight="1">
      <c r="B281" s="208" t="s">
        <v>581</v>
      </c>
    </row>
    <row r="282" spans="2:2" ht="14.1" customHeight="1">
      <c r="B282" s="208" t="s">
        <v>582</v>
      </c>
    </row>
    <row r="283" spans="2:2" ht="14.1" customHeight="1">
      <c r="B283" s="208" t="s">
        <v>583</v>
      </c>
    </row>
    <row r="284" spans="2:2" ht="14.1" customHeight="1">
      <c r="B284" s="208" t="s">
        <v>584</v>
      </c>
    </row>
    <row r="285" spans="2:2" ht="14.1" customHeight="1">
      <c r="B285" s="208" t="s">
        <v>369</v>
      </c>
    </row>
    <row r="286" spans="2:2" ht="14.1" customHeight="1">
      <c r="B286" s="208" t="s">
        <v>370</v>
      </c>
    </row>
    <row r="287" spans="2:2" ht="14.1" customHeight="1">
      <c r="B287" s="208" t="s">
        <v>371</v>
      </c>
    </row>
    <row r="288" spans="2:2" ht="14.1" customHeight="1">
      <c r="B288" s="208" t="s">
        <v>372</v>
      </c>
    </row>
    <row r="289" spans="2:2" ht="14.1" customHeight="1">
      <c r="B289" s="208" t="s">
        <v>373</v>
      </c>
    </row>
    <row r="290" spans="2:2" ht="14.1" customHeight="1">
      <c r="B290" s="208" t="s">
        <v>374</v>
      </c>
    </row>
    <row r="291" spans="2:2" ht="14.1" customHeight="1">
      <c r="B291" s="208" t="s">
        <v>375</v>
      </c>
    </row>
    <row r="292" spans="2:2" ht="14.1" customHeight="1">
      <c r="B292" s="208" t="s">
        <v>376</v>
      </c>
    </row>
    <row r="293" spans="2:2" ht="14.1" customHeight="1">
      <c r="B293" s="208" t="s">
        <v>552</v>
      </c>
    </row>
    <row r="294" spans="2:2" ht="14.1" customHeight="1">
      <c r="B294" s="208" t="s">
        <v>377</v>
      </c>
    </row>
    <row r="295" spans="2:2" ht="14.1" customHeight="1">
      <c r="B295" s="208" t="s">
        <v>433</v>
      </c>
    </row>
    <row r="296" spans="2:2" ht="14.1" customHeight="1">
      <c r="B296" s="208" t="s">
        <v>434</v>
      </c>
    </row>
    <row r="297" spans="2:2" ht="14.1" customHeight="1">
      <c r="B297" s="208" t="s">
        <v>378</v>
      </c>
    </row>
    <row r="298" spans="2:2" ht="14.1" customHeight="1">
      <c r="B298" s="208" t="s">
        <v>379</v>
      </c>
    </row>
    <row r="299" spans="2:2" ht="13.5" customHeight="1">
      <c r="B299" s="208" t="s">
        <v>380</v>
      </c>
    </row>
    <row r="300" spans="2:2" ht="14.1" customHeight="1">
      <c r="B300" s="208" t="s">
        <v>381</v>
      </c>
    </row>
    <row r="301" spans="2:2" ht="13.5" customHeight="1">
      <c r="B301" s="208" t="s">
        <v>453</v>
      </c>
    </row>
    <row r="302" spans="2:2" s="123" customFormat="1" ht="13.5" customHeight="1">
      <c r="B302" s="208" t="s">
        <v>454</v>
      </c>
    </row>
    <row r="303" spans="2:2" ht="14.1" customHeight="1">
      <c r="B303" s="208" t="s">
        <v>435</v>
      </c>
    </row>
    <row r="304" spans="2:2" ht="14.1" customHeight="1">
      <c r="B304" s="208" t="s">
        <v>455</v>
      </c>
    </row>
    <row r="305" spans="2:2" ht="14.1" customHeight="1">
      <c r="B305" s="208" t="s">
        <v>456</v>
      </c>
    </row>
    <row r="306" spans="2:2" ht="14.1" customHeight="1">
      <c r="B306" s="208" t="s">
        <v>457</v>
      </c>
    </row>
    <row r="307" spans="2:2" ht="14.1" customHeight="1">
      <c r="B307" s="208" t="s">
        <v>458</v>
      </c>
    </row>
    <row r="308" spans="2:2" ht="14.1" customHeight="1">
      <c r="B308" s="208" t="s">
        <v>459</v>
      </c>
    </row>
    <row r="309" spans="2:2" ht="14.1" customHeight="1">
      <c r="B309" s="208" t="s">
        <v>460</v>
      </c>
    </row>
    <row r="310" spans="2:2" ht="14.1" customHeight="1">
      <c r="B310" s="208" t="s">
        <v>461</v>
      </c>
    </row>
    <row r="311" spans="2:2" ht="14.1" customHeight="1">
      <c r="B311" s="208" t="s">
        <v>462</v>
      </c>
    </row>
    <row r="312" spans="2:2" ht="14.1" customHeight="1">
      <c r="B312" s="208" t="s">
        <v>436</v>
      </c>
    </row>
    <row r="313" spans="2:2" ht="14.1" customHeight="1">
      <c r="B313" s="208" t="s">
        <v>463</v>
      </c>
    </row>
    <row r="314" spans="2:2" ht="14.1" customHeight="1">
      <c r="B314" s="208" t="s">
        <v>464</v>
      </c>
    </row>
    <row r="315" spans="2:2" ht="14.1" customHeight="1">
      <c r="B315" s="208" t="s">
        <v>465</v>
      </c>
    </row>
    <row r="316" spans="2:2" ht="14.1" customHeight="1">
      <c r="B316" s="208" t="s">
        <v>466</v>
      </c>
    </row>
    <row r="317" spans="2:2" ht="14.1" customHeight="1">
      <c r="B317" s="208" t="s">
        <v>382</v>
      </c>
    </row>
    <row r="318" spans="2:2" ht="14.1" customHeight="1">
      <c r="B318" s="208" t="s">
        <v>467</v>
      </c>
    </row>
    <row r="319" spans="2:2" ht="14.1" customHeight="1">
      <c r="B319" s="208" t="s">
        <v>468</v>
      </c>
    </row>
    <row r="320" spans="2:2" ht="14.1" customHeight="1">
      <c r="B320" s="208" t="s">
        <v>469</v>
      </c>
    </row>
    <row r="321" spans="2:2" ht="14.1" customHeight="1">
      <c r="B321" s="208" t="s">
        <v>470</v>
      </c>
    </row>
    <row r="322" spans="2:2" ht="14.1" customHeight="1">
      <c r="B322" s="208" t="s">
        <v>471</v>
      </c>
    </row>
    <row r="323" spans="2:2" ht="14.1" customHeight="1">
      <c r="B323" s="208" t="s">
        <v>472</v>
      </c>
    </row>
    <row r="324" spans="2:2" ht="14.1" customHeight="1">
      <c r="B324" s="208" t="s">
        <v>473</v>
      </c>
    </row>
    <row r="325" spans="2:2" ht="14.1" customHeight="1">
      <c r="B325" s="208" t="s">
        <v>474</v>
      </c>
    </row>
    <row r="326" spans="2:2" ht="14.1" customHeight="1">
      <c r="B326" s="208" t="s">
        <v>475</v>
      </c>
    </row>
    <row r="327" spans="2:2" ht="14.1" customHeight="1">
      <c r="B327" s="208" t="s">
        <v>476</v>
      </c>
    </row>
    <row r="328" spans="2:2" ht="14.1" customHeight="1">
      <c r="B328" s="208" t="s">
        <v>477</v>
      </c>
    </row>
    <row r="329" spans="2:2" ht="14.1" customHeight="1">
      <c r="B329" s="208" t="s">
        <v>437</v>
      </c>
    </row>
    <row r="330" spans="2:2" ht="14.1" customHeight="1">
      <c r="B330" s="208" t="s">
        <v>478</v>
      </c>
    </row>
    <row r="331" spans="2:2" ht="14.1" customHeight="1">
      <c r="B331" s="208" t="s">
        <v>438</v>
      </c>
    </row>
    <row r="332" spans="2:2" ht="14.1" customHeight="1">
      <c r="B332" s="208" t="s">
        <v>479</v>
      </c>
    </row>
    <row r="333" spans="2:2" ht="14.1" customHeight="1">
      <c r="B333" s="208" t="s">
        <v>480</v>
      </c>
    </row>
    <row r="334" spans="2:2" ht="14.1" customHeight="1">
      <c r="B334" s="208" t="s">
        <v>439</v>
      </c>
    </row>
    <row r="335" spans="2:2" ht="14.1" customHeight="1">
      <c r="B335" s="208" t="s">
        <v>481</v>
      </c>
    </row>
    <row r="336" spans="2:2" ht="14.1" customHeight="1">
      <c r="B336" s="208" t="s">
        <v>482</v>
      </c>
    </row>
    <row r="337" spans="2:2" ht="14.1" customHeight="1">
      <c r="B337" s="208" t="s">
        <v>440</v>
      </c>
    </row>
    <row r="338" spans="2:2" ht="14.1" customHeight="1">
      <c r="B338" s="208" t="s">
        <v>483</v>
      </c>
    </row>
    <row r="339" spans="2:2" ht="14.1" customHeight="1">
      <c r="B339" s="208" t="s">
        <v>518</v>
      </c>
    </row>
    <row r="340" spans="2:2" ht="18" customHeight="1">
      <c r="B340" s="207" t="s">
        <v>553</v>
      </c>
    </row>
    <row r="341" spans="2:2" ht="14.1" customHeight="1">
      <c r="B341" s="208" t="s">
        <v>52</v>
      </c>
    </row>
    <row r="342" spans="2:2" ht="14.1" customHeight="1">
      <c r="B342" s="208" t="s">
        <v>484</v>
      </c>
    </row>
    <row r="343" spans="2:2" ht="14.1" customHeight="1">
      <c r="B343" s="208" t="s">
        <v>401</v>
      </c>
    </row>
    <row r="344" spans="2:2" s="123" customFormat="1" ht="13.5" customHeight="1">
      <c r="B344" s="208" t="s">
        <v>402</v>
      </c>
    </row>
    <row r="345" spans="2:2" ht="14.1" customHeight="1">
      <c r="B345" s="208" t="s">
        <v>586</v>
      </c>
    </row>
    <row r="346" spans="2:2" ht="14.1" customHeight="1">
      <c r="B346" s="208" t="s">
        <v>403</v>
      </c>
    </row>
    <row r="347" spans="2:2" ht="14.1" customHeight="1">
      <c r="B347" s="208" t="s">
        <v>444</v>
      </c>
    </row>
    <row r="348" spans="2:2" ht="14.1" customHeight="1">
      <c r="B348" s="208" t="s">
        <v>404</v>
      </c>
    </row>
    <row r="349" spans="2:2" ht="14.1" customHeight="1">
      <c r="B349" s="208" t="s">
        <v>405</v>
      </c>
    </row>
    <row r="350" spans="2:2" ht="14.1" customHeight="1">
      <c r="B350" s="208" t="s">
        <v>445</v>
      </c>
    </row>
    <row r="351" spans="2:2" ht="14.1" customHeight="1">
      <c r="B351" s="208" t="s">
        <v>406</v>
      </c>
    </row>
    <row r="352" spans="2:2" ht="14.1" customHeight="1">
      <c r="B352" s="208" t="s">
        <v>407</v>
      </c>
    </row>
    <row r="353" spans="2:2" ht="14.1" customHeight="1">
      <c r="B353" s="208" t="s">
        <v>554</v>
      </c>
    </row>
    <row r="354" spans="2:2" ht="14.1" customHeight="1">
      <c r="B354" s="208" t="s">
        <v>0</v>
      </c>
    </row>
    <row r="355" spans="2:2" ht="14.1" customHeight="1">
      <c r="B355" s="208" t="s">
        <v>446</v>
      </c>
    </row>
    <row r="356" spans="2:2" ht="14.1" customHeight="1">
      <c r="B356" s="208" t="s">
        <v>408</v>
      </c>
    </row>
    <row r="357" spans="2:2" ht="14.1" customHeight="1">
      <c r="B357" s="208" t="s">
        <v>485</v>
      </c>
    </row>
    <row r="358" spans="2:2" ht="14.1" customHeight="1">
      <c r="B358" s="208" t="s">
        <v>409</v>
      </c>
    </row>
    <row r="359" spans="2:2" ht="14.1" customHeight="1">
      <c r="B359" s="208" t="s">
        <v>410</v>
      </c>
    </row>
    <row r="360" spans="2:2" ht="14.1" customHeight="1">
      <c r="B360" s="208" t="s">
        <v>1</v>
      </c>
    </row>
    <row r="361" spans="2:2" ht="14.1" customHeight="1">
      <c r="B361" s="208" t="s">
        <v>396</v>
      </c>
    </row>
    <row r="362" spans="2:2" ht="14.1" customHeight="1">
      <c r="B362" s="208" t="s">
        <v>399</v>
      </c>
    </row>
    <row r="363" spans="2:2" ht="14.1" customHeight="1">
      <c r="B363" s="208" t="s">
        <v>441</v>
      </c>
    </row>
    <row r="364" spans="2:2" ht="14.1" customHeight="1">
      <c r="B364" s="208" t="s">
        <v>442</v>
      </c>
    </row>
    <row r="365" spans="2:2" ht="18" customHeight="1">
      <c r="B365" s="207" t="s">
        <v>555</v>
      </c>
    </row>
    <row r="366" spans="2:2" ht="14.1" customHeight="1">
      <c r="B366" s="208" t="s">
        <v>556</v>
      </c>
    </row>
    <row r="367" spans="2:2" ht="14.1" customHeight="1">
      <c r="B367" s="208" t="s">
        <v>188</v>
      </c>
    </row>
    <row r="368" spans="2:2" ht="14.1" customHeight="1">
      <c r="B368" s="208" t="s">
        <v>110</v>
      </c>
    </row>
    <row r="369" spans="2:2" ht="14.1" customHeight="1">
      <c r="B369" s="208" t="s">
        <v>557</v>
      </c>
    </row>
    <row r="370" spans="2:2" ht="14.1" customHeight="1">
      <c r="B370" s="208" t="s">
        <v>189</v>
      </c>
    </row>
    <row r="371" spans="2:2" ht="14.1" customHeight="1">
      <c r="B371" s="208" t="s">
        <v>190</v>
      </c>
    </row>
    <row r="372" spans="2:2" ht="14.1" customHeight="1">
      <c r="B372" s="208" t="s">
        <v>191</v>
      </c>
    </row>
    <row r="373" spans="2:2" ht="14.1" customHeight="1">
      <c r="B373" s="208" t="s">
        <v>192</v>
      </c>
    </row>
    <row r="374" spans="2:2" ht="14.1" customHeight="1">
      <c r="B374" s="208" t="s">
        <v>193</v>
      </c>
    </row>
    <row r="375" spans="2:2" ht="14.1" customHeight="1">
      <c r="B375" s="208" t="s">
        <v>194</v>
      </c>
    </row>
    <row r="376" spans="2:2" ht="14.1" customHeight="1">
      <c r="B376" s="208" t="s">
        <v>195</v>
      </c>
    </row>
    <row r="377" spans="2:2" ht="14.1" customHeight="1">
      <c r="B377" s="208" t="s">
        <v>196</v>
      </c>
    </row>
    <row r="378" spans="2:2" ht="14.1" customHeight="1">
      <c r="B378" s="208" t="s">
        <v>197</v>
      </c>
    </row>
    <row r="379" spans="2:2" ht="14.1" customHeight="1">
      <c r="B379" s="208" t="s">
        <v>198</v>
      </c>
    </row>
    <row r="380" spans="2:2" ht="14.1" customHeight="1">
      <c r="B380" s="208" t="s">
        <v>199</v>
      </c>
    </row>
    <row r="381" spans="2:2" ht="14.1" customHeight="1">
      <c r="B381" s="208" t="s">
        <v>574</v>
      </c>
    </row>
    <row r="382" spans="2:2" ht="14.1" customHeight="1">
      <c r="B382" s="208" t="s">
        <v>200</v>
      </c>
    </row>
    <row r="383" spans="2:2" ht="14.1" customHeight="1">
      <c r="B383" s="208" t="s">
        <v>201</v>
      </c>
    </row>
    <row r="384" spans="2:2" ht="14.1" customHeight="1">
      <c r="B384" s="208" t="s">
        <v>202</v>
      </c>
    </row>
    <row r="385" spans="2:2" ht="14.1" customHeight="1">
      <c r="B385" s="208" t="s">
        <v>203</v>
      </c>
    </row>
    <row r="386" spans="2:2" ht="14.1" customHeight="1">
      <c r="B386" s="208" t="s">
        <v>204</v>
      </c>
    </row>
    <row r="387" spans="2:2" ht="14.1" customHeight="1">
      <c r="B387" s="208" t="s">
        <v>205</v>
      </c>
    </row>
    <row r="388" spans="2:2" ht="14.1" customHeight="1">
      <c r="B388" s="208" t="s">
        <v>558</v>
      </c>
    </row>
    <row r="389" spans="2:2" ht="14.1" customHeight="1">
      <c r="B389" s="208" t="s">
        <v>559</v>
      </c>
    </row>
    <row r="390" spans="2:2" ht="14.1" customHeight="1">
      <c r="B390" s="208" t="s">
        <v>206</v>
      </c>
    </row>
    <row r="391" spans="2:2" ht="14.1" customHeight="1">
      <c r="B391" s="208" t="s">
        <v>207</v>
      </c>
    </row>
    <row r="392" spans="2:2" ht="14.1" customHeight="1">
      <c r="B392" s="208" t="s">
        <v>208</v>
      </c>
    </row>
    <row r="393" spans="2:2" ht="14.1" customHeight="1">
      <c r="B393" s="208" t="s">
        <v>209</v>
      </c>
    </row>
    <row r="394" spans="2:2" ht="14.1" customHeight="1">
      <c r="B394" s="208" t="s">
        <v>210</v>
      </c>
    </row>
    <row r="395" spans="2:2" ht="14.1" customHeight="1">
      <c r="B395" s="208" t="s">
        <v>211</v>
      </c>
    </row>
    <row r="396" spans="2:2" ht="14.1" customHeight="1">
      <c r="B396" s="208" t="s">
        <v>212</v>
      </c>
    </row>
    <row r="397" spans="2:2" ht="14.1" customHeight="1">
      <c r="B397" s="208" t="s">
        <v>560</v>
      </c>
    </row>
    <row r="398" spans="2:2" ht="18" customHeight="1">
      <c r="B398" s="207" t="s">
        <v>561</v>
      </c>
    </row>
    <row r="399" spans="2:2" ht="14.1" customHeight="1">
      <c r="B399" s="208" t="s">
        <v>326</v>
      </c>
    </row>
    <row r="400" spans="2:2" ht="14.1" customHeight="1">
      <c r="B400" s="208" t="s">
        <v>327</v>
      </c>
    </row>
    <row r="401" spans="2:2" ht="14.1" customHeight="1">
      <c r="B401" s="208" t="s">
        <v>328</v>
      </c>
    </row>
    <row r="402" spans="2:2" ht="14.1" customHeight="1">
      <c r="B402" s="208" t="s">
        <v>329</v>
      </c>
    </row>
    <row r="403" spans="2:2" ht="13.5" customHeight="1">
      <c r="B403" s="208" t="s">
        <v>613</v>
      </c>
    </row>
    <row r="404" spans="2:2" ht="13.5" customHeight="1">
      <c r="B404" s="208" t="s">
        <v>330</v>
      </c>
    </row>
    <row r="405" spans="2:2" ht="13.5" customHeight="1">
      <c r="B405" s="208" t="s">
        <v>585</v>
      </c>
    </row>
    <row r="406" spans="2:2" ht="13.5" customHeight="1">
      <c r="B406" s="208" t="s">
        <v>331</v>
      </c>
    </row>
    <row r="407" spans="2:2" ht="14.1" customHeight="1">
      <c r="B407" s="208" t="s">
        <v>332</v>
      </c>
    </row>
    <row r="408" spans="2:2" ht="14.1" customHeight="1">
      <c r="B408" s="208" t="s">
        <v>333</v>
      </c>
    </row>
    <row r="409" spans="2:2" ht="14.1" customHeight="1">
      <c r="B409" s="208" t="s">
        <v>334</v>
      </c>
    </row>
    <row r="410" spans="2:2" ht="14.1" customHeight="1">
      <c r="B410" s="208" t="s">
        <v>335</v>
      </c>
    </row>
    <row r="411" spans="2:2" ht="14.1" customHeight="1">
      <c r="B411" s="208" t="s">
        <v>336</v>
      </c>
    </row>
    <row r="412" spans="2:2" ht="14.1" customHeight="1">
      <c r="B412" s="208" t="s">
        <v>337</v>
      </c>
    </row>
    <row r="413" spans="2:2" ht="14.1" customHeight="1">
      <c r="B413" s="208" t="s">
        <v>338</v>
      </c>
    </row>
    <row r="414" spans="2:2" ht="14.1" customHeight="1">
      <c r="B414" s="208" t="s">
        <v>339</v>
      </c>
    </row>
    <row r="415" spans="2:2" ht="14.1" customHeight="1">
      <c r="B415" s="208" t="s">
        <v>340</v>
      </c>
    </row>
    <row r="416" spans="2:2" ht="14.1" customHeight="1">
      <c r="B416" s="208" t="s">
        <v>341</v>
      </c>
    </row>
    <row r="417" spans="2:2" s="123" customFormat="1" ht="13.5" customHeight="1">
      <c r="B417" s="208" t="s">
        <v>342</v>
      </c>
    </row>
    <row r="418" spans="2:2" ht="14.1" customHeight="1">
      <c r="B418" s="208" t="s">
        <v>343</v>
      </c>
    </row>
    <row r="419" spans="2:2" ht="14.1" customHeight="1">
      <c r="B419" s="208" t="s">
        <v>344</v>
      </c>
    </row>
    <row r="420" spans="2:2" ht="14.1" customHeight="1">
      <c r="B420" s="208" t="s">
        <v>345</v>
      </c>
    </row>
    <row r="421" spans="2:2" ht="14.1" customHeight="1">
      <c r="B421" s="208" t="s">
        <v>346</v>
      </c>
    </row>
    <row r="422" spans="2:2" ht="14.1" customHeight="1">
      <c r="B422" s="208" t="s">
        <v>347</v>
      </c>
    </row>
    <row r="423" spans="2:2" ht="13.5" customHeight="1">
      <c r="B423" s="208" t="s">
        <v>348</v>
      </c>
    </row>
    <row r="424" spans="2:2" ht="14.1" customHeight="1">
      <c r="B424" s="208" t="s">
        <v>349</v>
      </c>
    </row>
    <row r="425" spans="2:2" ht="13.5" customHeight="1">
      <c r="B425" s="208" t="s">
        <v>350</v>
      </c>
    </row>
    <row r="426" spans="2:2" ht="14.1" customHeight="1">
      <c r="B426" s="208" t="s">
        <v>351</v>
      </c>
    </row>
    <row r="427" spans="2:2" ht="14.1" customHeight="1">
      <c r="B427" s="208" t="s">
        <v>352</v>
      </c>
    </row>
    <row r="428" spans="2:2" ht="14.1" customHeight="1">
      <c r="B428" s="208" t="s">
        <v>614</v>
      </c>
    </row>
    <row r="429" spans="2:2" ht="14.1" customHeight="1">
      <c r="B429" s="208" t="s">
        <v>353</v>
      </c>
    </row>
    <row r="430" spans="2:2" ht="14.1" customHeight="1">
      <c r="B430" s="208" t="s">
        <v>354</v>
      </c>
    </row>
    <row r="431" spans="2:2" ht="14.1" customHeight="1">
      <c r="B431" s="208" t="s">
        <v>355</v>
      </c>
    </row>
    <row r="432" spans="2:2" ht="14.1" customHeight="1">
      <c r="B432" s="208" t="s">
        <v>356</v>
      </c>
    </row>
    <row r="433" spans="2:2" ht="14.1" customHeight="1">
      <c r="B433" s="208" t="s">
        <v>357</v>
      </c>
    </row>
    <row r="434" spans="2:2" ht="14.1" customHeight="1">
      <c r="B434" s="208" t="s">
        <v>358</v>
      </c>
    </row>
    <row r="435" spans="2:2" ht="13.5" customHeight="1">
      <c r="B435" s="208" t="s">
        <v>359</v>
      </c>
    </row>
    <row r="436" spans="2:2" ht="13.5" customHeight="1">
      <c r="B436" s="208" t="s">
        <v>360</v>
      </c>
    </row>
    <row r="437" spans="2:2" ht="14.1" customHeight="1">
      <c r="B437" s="208" t="s">
        <v>51</v>
      </c>
    </row>
    <row r="438" spans="2:2" ht="14.1" customHeight="1">
      <c r="B438" s="208" t="s">
        <v>361</v>
      </c>
    </row>
    <row r="439" spans="2:2" ht="14.1" customHeight="1">
      <c r="B439" s="208" t="s">
        <v>362</v>
      </c>
    </row>
    <row r="440" spans="2:2" ht="14.1" customHeight="1">
      <c r="B440" s="208" t="s">
        <v>363</v>
      </c>
    </row>
    <row r="441" spans="2:2" ht="14.1" customHeight="1">
      <c r="B441" s="208" t="s">
        <v>364</v>
      </c>
    </row>
    <row r="442" spans="2:2" ht="14.1" customHeight="1">
      <c r="B442" s="208" t="s">
        <v>365</v>
      </c>
    </row>
    <row r="443" spans="2:2" ht="14.1" customHeight="1">
      <c r="B443" s="208" t="s">
        <v>366</v>
      </c>
    </row>
    <row r="444" spans="2:2" ht="18" customHeight="1">
      <c r="B444" s="207" t="s">
        <v>519</v>
      </c>
    </row>
    <row r="445" spans="2:2" ht="14.1" customHeight="1">
      <c r="B445" s="208" t="s">
        <v>562</v>
      </c>
    </row>
    <row r="446" spans="2:2" ht="14.1" customHeight="1">
      <c r="B446" s="208" t="s">
        <v>609</v>
      </c>
    </row>
    <row r="447" spans="2:2" ht="14.1" customHeight="1">
      <c r="B447" s="208" t="s">
        <v>383</v>
      </c>
    </row>
    <row r="448" spans="2:2" ht="14.1" customHeight="1">
      <c r="B448" s="208" t="s">
        <v>384</v>
      </c>
    </row>
    <row r="449" spans="2:2" s="123" customFormat="1" ht="13.5" customHeight="1">
      <c r="B449" s="208" t="s">
        <v>385</v>
      </c>
    </row>
    <row r="450" spans="2:2" ht="14.1" customHeight="1">
      <c r="B450" s="208" t="s">
        <v>386</v>
      </c>
    </row>
    <row r="451" spans="2:2" ht="14.1" customHeight="1">
      <c r="B451" s="208" t="s">
        <v>387</v>
      </c>
    </row>
    <row r="452" spans="2:2" ht="13.5" customHeight="1">
      <c r="B452" s="208" t="s">
        <v>388</v>
      </c>
    </row>
    <row r="453" spans="2:2" ht="13.5" customHeight="1">
      <c r="B453" s="208" t="s">
        <v>389</v>
      </c>
    </row>
    <row r="454" spans="2:2" ht="14.1" customHeight="1">
      <c r="B454" s="208" t="s">
        <v>390</v>
      </c>
    </row>
    <row r="455" spans="2:2" ht="13.5" customHeight="1">
      <c r="B455" s="208" t="s">
        <v>391</v>
      </c>
    </row>
    <row r="456" spans="2:2" ht="14.1" customHeight="1">
      <c r="B456" s="208" t="s">
        <v>392</v>
      </c>
    </row>
    <row r="457" spans="2:2" ht="13.5" customHeight="1">
      <c r="B457" s="208" t="s">
        <v>563</v>
      </c>
    </row>
    <row r="458" spans="2:2" ht="13.5" customHeight="1">
      <c r="B458" s="208" t="s">
        <v>3</v>
      </c>
    </row>
    <row r="459" spans="2:2" ht="14.1" customHeight="1">
      <c r="B459" s="208" t="s">
        <v>393</v>
      </c>
    </row>
    <row r="460" spans="2:2" ht="14.1" customHeight="1">
      <c r="B460" s="208" t="s">
        <v>395</v>
      </c>
    </row>
    <row r="461" spans="2:2" ht="14.1" customHeight="1">
      <c r="B461" s="208" t="s">
        <v>397</v>
      </c>
    </row>
    <row r="462" spans="2:2" ht="14.1" customHeight="1">
      <c r="B462" s="208" t="s">
        <v>398</v>
      </c>
    </row>
    <row r="463" spans="2:2" ht="14.1" customHeight="1">
      <c r="B463" s="208" t="s">
        <v>400</v>
      </c>
    </row>
    <row r="464" spans="2:2" ht="18" customHeight="1">
      <c r="B464" s="207" t="s">
        <v>564</v>
      </c>
    </row>
    <row r="465" spans="2:2" ht="14.1" customHeight="1">
      <c r="B465" s="208" t="s">
        <v>80</v>
      </c>
    </row>
    <row r="466" spans="2:2" ht="14.1" customHeight="1">
      <c r="B466" s="208" t="s">
        <v>2</v>
      </c>
    </row>
    <row r="467" spans="2:2" s="123" customFormat="1" ht="13.5" customHeight="1">
      <c r="B467" s="208" t="s">
        <v>565</v>
      </c>
    </row>
    <row r="468" spans="2:2" ht="14.1" customHeight="1">
      <c r="B468" s="208" t="s">
        <v>566</v>
      </c>
    </row>
    <row r="469" spans="2:2" ht="18" customHeight="1">
      <c r="B469" s="207" t="s">
        <v>567</v>
      </c>
    </row>
    <row r="470" spans="2:2" ht="14.1" customHeight="1">
      <c r="B470" s="208" t="s">
        <v>568</v>
      </c>
    </row>
    <row r="471" spans="2:2" ht="14.1" customHeight="1">
      <c r="B471" s="208" t="s">
        <v>520</v>
      </c>
    </row>
    <row r="472" spans="2:2" ht="14.1" customHeight="1">
      <c r="B472" s="208" t="s">
        <v>486</v>
      </c>
    </row>
    <row r="473" spans="2:2" ht="14.1" customHeight="1">
      <c r="B473" s="208" t="s">
        <v>411</v>
      </c>
    </row>
    <row r="474" spans="2:2" ht="14.1" customHeight="1">
      <c r="B474" s="208" t="s">
        <v>412</v>
      </c>
    </row>
    <row r="475" spans="2:2" ht="14.1" customHeight="1">
      <c r="B475" s="208" t="s">
        <v>413</v>
      </c>
    </row>
    <row r="476" spans="2:2" ht="14.1" customHeight="1">
      <c r="B476" s="208" t="s">
        <v>414</v>
      </c>
    </row>
    <row r="477" spans="2:2" ht="14.1" customHeight="1">
      <c r="B477" s="208" t="s">
        <v>521</v>
      </c>
    </row>
    <row r="478" spans="2:2" ht="14.1" customHeight="1">
      <c r="B478" s="208" t="s">
        <v>415</v>
      </c>
    </row>
    <row r="479" spans="2:2" ht="14.1" customHeight="1">
      <c r="B479" s="208" t="s">
        <v>416</v>
      </c>
    </row>
    <row r="480" spans="2:2" ht="14.1" customHeight="1">
      <c r="B480" s="208" t="s">
        <v>569</v>
      </c>
    </row>
    <row r="481" spans="2:2" ht="14.1" customHeight="1">
      <c r="B481" s="208" t="s">
        <v>394</v>
      </c>
    </row>
    <row r="482" spans="2:2" ht="14.1" customHeight="1">
      <c r="B482" s="208" t="s">
        <v>417</v>
      </c>
    </row>
    <row r="483" spans="2:2" ht="14.1" customHeight="1">
      <c r="B483" s="208" t="s">
        <v>418</v>
      </c>
    </row>
    <row r="484" spans="2:2" ht="14.1" customHeight="1">
      <c r="B484" s="208" t="s">
        <v>419</v>
      </c>
    </row>
    <row r="485" spans="2:2" ht="14.1" customHeight="1">
      <c r="B485" s="208" t="s">
        <v>420</v>
      </c>
    </row>
    <row r="486" spans="2:2" ht="14.1" customHeight="1">
      <c r="B486" s="208" t="s">
        <v>421</v>
      </c>
    </row>
    <row r="487" spans="2:2" ht="18" customHeight="1">
      <c r="B487" s="207" t="s">
        <v>570</v>
      </c>
    </row>
    <row r="488" spans="2:2" ht="14.1" customHeight="1">
      <c r="B488" s="208" t="s">
        <v>213</v>
      </c>
    </row>
    <row r="489" spans="2:2" ht="14.1" customHeight="1">
      <c r="B489" s="208" t="s">
        <v>610</v>
      </c>
    </row>
    <row r="490" spans="2:2" ht="14.1" customHeight="1">
      <c r="B490" s="208" t="s">
        <v>449</v>
      </c>
    </row>
    <row r="491" spans="2:2" ht="14.1" customHeight="1">
      <c r="B491" s="208" t="s">
        <v>214</v>
      </c>
    </row>
    <row r="492" spans="2:2" ht="14.1" customHeight="1">
      <c r="B492" s="208" t="s">
        <v>215</v>
      </c>
    </row>
    <row r="493" spans="2:2" ht="14.1" customHeight="1">
      <c r="B493" s="208" t="s">
        <v>216</v>
      </c>
    </row>
    <row r="494" spans="2:2" ht="14.1" customHeight="1">
      <c r="B494" s="208" t="s">
        <v>571</v>
      </c>
    </row>
    <row r="495" spans="2:2" ht="14.1" customHeight="1">
      <c r="B495" s="208" t="s">
        <v>217</v>
      </c>
    </row>
    <row r="496" spans="2:2" ht="14.1" customHeight="1">
      <c r="B496" s="208" t="s">
        <v>218</v>
      </c>
    </row>
    <row r="497" spans="2:2" ht="14.1" customHeight="1">
      <c r="B497" s="208" t="s">
        <v>219</v>
      </c>
    </row>
    <row r="498" spans="2:2" ht="14.1" customHeight="1">
      <c r="B498" s="208" t="s">
        <v>450</v>
      </c>
    </row>
    <row r="499" spans="2:2" ht="14.1" customHeight="1">
      <c r="B499" s="208" t="s">
        <v>220</v>
      </c>
    </row>
    <row r="500" spans="2:2" ht="14.1" customHeight="1">
      <c r="B500" s="208" t="s">
        <v>451</v>
      </c>
    </row>
    <row r="501" spans="2:2" ht="13.5" customHeight="1">
      <c r="B501" s="208" t="s">
        <v>222</v>
      </c>
    </row>
    <row r="502" spans="2:2" ht="13.5" customHeight="1">
      <c r="B502" s="208" t="s">
        <v>432</v>
      </c>
    </row>
    <row r="503" spans="2:2" ht="15" customHeight="1">
      <c r="B503" s="210"/>
    </row>
    <row r="504" spans="2:2" ht="15" customHeight="1"/>
    <row r="505" spans="2:2">
      <c r="B505" s="145" t="str">
        <f>IF(Indice_index!$Z$1=1,"Notas:","Notes:")</f>
        <v>Notas:</v>
      </c>
    </row>
    <row r="506" spans="2:2" ht="15" customHeight="1">
      <c r="B506" s="145" t="str">
        <f>IF(Indice_index!$Z$1=1,"A presente listagem apresenta as entidades da Administração Central que integram o Orçamento do Estado para 2025.","This list presents the Central Administration entities that are part of the State Budget for 2025.")</f>
        <v>A presente listagem apresenta as entidades da Administração Central que integram o Orçamento do Estado para 2025.</v>
      </c>
    </row>
    <row r="507" spans="2:2" ht="20.65" customHeight="1">
      <c r="B507" s="272" t="str">
        <f>IF(Indice_index!$Z$1=1,"Alterações:","Changes:")</f>
        <v>Alterações:</v>
      </c>
    </row>
    <row r="508" spans="2:2" ht="25.15" customHeight="1">
      <c r="B508" s="273" t="str">
        <f>IF(Indice_index!$Z$1=1,"a) Reinscrição das Administrações Regionais de Saúde ao abrigo Despacho n.º 2141/2025, de 17 de fevereiro, o qual prorrogou o prazo de extinção das mesmas até 31 de março de 2025.","a) Re-registration of Regional Health Administrations under Order No. 2141/2025, of February 17, which extended the deadline for their extinction until March 31, 2025.")</f>
        <v>a) Reinscrição das Administrações Regionais de Saúde ao abrigo Despacho n.º 2141/2025, de 17 de fevereiro, o qual prorrogou o prazo de extinção das mesmas até 31 de março de 2025.</v>
      </c>
    </row>
    <row r="509" spans="2:2" ht="36" customHeight="1">
      <c r="B509" s="273" t="str">
        <f>IF(Indice_index!$Z$1=1,"b) Criação do Centro de Competências para a Economia Social (CCES), por fusão do Centro de Formação "&amp;"Profissional de Competências de Envelhecimento Ativo (CCEA) com o Centro para a Economia e Inovação Social (CEIS), ao abrigo da Portaria n.º 303-A/2024/1, de 26 de novembro.","b) Creation of the Competence Center for the Social Economy (CCES), through the merger of the Professional "&amp;"Training Center for Active Ageing Skills (CCEA) with the Center for Economy and Social Innovation (CEIS), under the terms of Order No. 303-A/2024/1, of November 26.")</f>
        <v>b) Criação do Centro de Competências para a Economia Social (CCES), por fusão do Centro de Formação Profissional de Competências de Envelhecimento Ativo (CCEA) com o Centro para a Economia e Inovação Social (CEIS), ao abrigo da Portaria n.º 303-A/2024/1, de 26 de novembro.</v>
      </c>
    </row>
    <row r="510" spans="2:2" ht="13.5" customHeight="1">
      <c r="B510" s="273" t="str">
        <f>IF(Indice_index!$Z$1=1,"c) Agência para o Clima, I.P. – Criação pelo Decreto-Lei n.º 122/2024, de 31 de dezembro.","c) Climate Agency, I.P. – Created by Decree-Law No. 122/2024, of December 31.")</f>
        <v>c) Agência para o Clima, I.P. – Criação pelo Decreto-Lei n.º 122/2024, de 31 de dezembro.</v>
      </c>
    </row>
    <row r="511" spans="2:2" ht="24.75" customHeight="1">
      <c r="B511" s="273" t="s">
        <v>619</v>
      </c>
    </row>
    <row r="512" spans="2:2" ht="24.75" customHeight="1">
      <c r="B512" s="273" t="s">
        <v>621</v>
      </c>
    </row>
    <row r="513" spans="1:2" ht="24.75" customHeight="1">
      <c r="B513" s="273" t="s">
        <v>620</v>
      </c>
    </row>
    <row r="514" spans="1:2" ht="13.5" customHeight="1">
      <c r="B514" s="206"/>
    </row>
    <row r="515" spans="1:2" ht="13.5" customHeight="1">
      <c r="A515" s="113"/>
      <c r="B515" s="206"/>
    </row>
    <row r="516" spans="1:2" ht="13.5" customHeight="1">
      <c r="A516" s="113"/>
      <c r="B516" s="206"/>
    </row>
    <row r="517" spans="1:2" ht="13.5" customHeight="1"/>
    <row r="518" spans="1:2"/>
    <row r="519" spans="1:2"/>
    <row r="520" spans="1:2"/>
    <row r="521" spans="1:2"/>
    <row r="522" spans="1:2"/>
    <row r="523" spans="1:2"/>
    <row r="524" spans="1:2"/>
    <row r="525" spans="1:2"/>
    <row r="526" spans="1:2"/>
    <row r="527" spans="1:2"/>
    <row r="528" spans="1:2"/>
    <row r="529"/>
    <row r="530"/>
    <row r="531"/>
    <row r="532"/>
  </sheetData>
  <pageMargins left="0.70866141732283472" right="0.70866141732283472" top="0.74803149606299213" bottom="0.74803149606299213" header="0.31496062992125984" footer="0.31496062992125984"/>
  <pageSetup paperSize="9" scale="72" fitToHeight="7" orientation="portrait" r:id="rId1"/>
  <rowBreaks count="6" manualBreakCount="6">
    <brk id="72" min="1" max="1" man="1"/>
    <brk id="135" min="1" max="1" man="1"/>
    <brk id="167" min="1" max="1" man="1"/>
    <brk id="236" min="1" max="1" man="1"/>
    <brk id="302" min="1" max="1" man="1"/>
    <brk id="437" min="1" max="1"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olha4">
    <pageSetUpPr fitToPage="1"/>
  </sheetPr>
  <dimension ref="A1:K36"/>
  <sheetViews>
    <sheetView showGridLines="0" zoomScaleNormal="100" workbookViewId="0"/>
  </sheetViews>
  <sheetFormatPr defaultColWidth="0" defaultRowHeight="14.85" customHeight="1" zeroHeight="1"/>
  <cols>
    <col min="1" max="1" width="8.5703125" customWidth="1"/>
    <col min="2" max="2" width="45.28515625" customWidth="1"/>
    <col min="3" max="10" width="9.28515625" customWidth="1"/>
    <col min="11" max="11" width="9.42578125" customWidth="1"/>
    <col min="12" max="16384" width="9.42578125" hidden="1"/>
  </cols>
  <sheetData>
    <row r="1" spans="2:11" ht="14.85" customHeight="1"/>
    <row r="2" spans="2:11" ht="15"/>
    <row r="3" spans="2:11" ht="15"/>
    <row r="4" spans="2:11" ht="15"/>
    <row r="5" spans="2:11" ht="18" customHeight="1">
      <c r="B5" s="270" t="str">
        <f>IF(Indice_index!$Z$1=1,"ANEXOS ESTATÍSTICOS","STATISTICAL ANNEXES")</f>
        <v>ANEXOS ESTATÍSTICOS</v>
      </c>
    </row>
    <row r="6" spans="2:11" ht="18" customHeight="1">
      <c r="B6" s="271" t="str">
        <f>IF(Indice_index!$Z$1=1,"Agosto de 2025","August 2025")</f>
        <v>Agosto de 2025</v>
      </c>
    </row>
    <row r="7" spans="2:11" ht="50.1" customHeight="1"/>
    <row r="8" spans="2:11" ht="15.75">
      <c r="B8" s="1" t="str">
        <f>IF(Indice_index!$Z$1=1,"Quadro 1 - Receita, despesa e saldo das Administrações Públicas","1 - General Government revenue, expenditure and balance")</f>
        <v>Quadro 1 - Receita, despesa e saldo das Administrações Públicas</v>
      </c>
      <c r="C8" s="2"/>
      <c r="D8" s="2"/>
      <c r="E8" s="2"/>
      <c r="F8" s="2"/>
      <c r="G8" s="2"/>
      <c r="H8" s="2"/>
      <c r="I8" s="2"/>
      <c r="J8" s="2"/>
    </row>
    <row r="9" spans="2:11" ht="15">
      <c r="B9" s="355" t="str">
        <f>+'3 - Conta AC + SS'!B9</f>
        <v>Período: janeiro a agosto</v>
      </c>
      <c r="C9" s="355"/>
      <c r="D9" s="3"/>
      <c r="E9" s="3"/>
      <c r="F9" s="3"/>
      <c r="G9" s="3"/>
      <c r="H9" s="3"/>
      <c r="I9" s="3"/>
      <c r="J9" s="3" t="str">
        <f>IF(Indice_index!$Z$1=1,"€ Milhões","€ Millions")</f>
        <v>€ Milhões</v>
      </c>
    </row>
    <row r="10" spans="2:11" ht="26.85" customHeight="1">
      <c r="B10" s="356" t="s">
        <v>426</v>
      </c>
      <c r="C10" s="356" t="str">
        <f>IF(Indice_index!$Z$1=1,"Saldo","Balance")</f>
        <v>Saldo</v>
      </c>
      <c r="D10" s="356"/>
      <c r="E10" s="356" t="str">
        <f>IF(Indice_index!$Z$1=1,"Receita","Revenue")</f>
        <v>Receita</v>
      </c>
      <c r="F10" s="356"/>
      <c r="G10" s="356" t="str">
        <f>IF(Indice_index!$Z$1=1,"Despesa","Expense")</f>
        <v>Despesa</v>
      </c>
      <c r="H10" s="356"/>
      <c r="I10" s="356" t="str">
        <f>IF(Indice_index!$Z$1=1,"Variação Homóloga Acumulada (%)","YOY Change Rate
%")</f>
        <v>Variação Homóloga Acumulada (%)</v>
      </c>
      <c r="J10" s="356"/>
    </row>
    <row r="11" spans="2:11" ht="16.350000000000001" customHeight="1">
      <c r="B11" s="356"/>
      <c r="C11" s="22">
        <v>2024</v>
      </c>
      <c r="D11" s="22">
        <v>2025</v>
      </c>
      <c r="E11" s="22">
        <v>2024</v>
      </c>
      <c r="F11" s="22">
        <v>2025</v>
      </c>
      <c r="G11" s="22">
        <v>2024</v>
      </c>
      <c r="H11" s="22">
        <v>2025</v>
      </c>
      <c r="I11" s="124" t="str">
        <f>IF(Indice_index!$Z$1=1,"Receita","Revenue")</f>
        <v>Receita</v>
      </c>
      <c r="J11" s="124" t="str">
        <f>IF(Indice_index!$Z$1=1,"Despesa","Expense")</f>
        <v>Despesa</v>
      </c>
    </row>
    <row r="12" spans="2:11" ht="13.5" customHeight="1">
      <c r="B12" s="299" t="str">
        <f>IF(Indice_index!$Z$1=1,"Administração Central e Segurança Social","Central Administration and Social Security")</f>
        <v>Administração Central e Segurança Social</v>
      </c>
      <c r="C12" s="4">
        <f>'3 - Conta AC + SS'!$E$51</f>
        <v>-7.266781029975391</v>
      </c>
      <c r="D12" s="4">
        <f>'3 - Conta AC + SS'!$F$51</f>
        <v>1202.6552813800081</v>
      </c>
      <c r="E12" s="4">
        <f>'3 - Conta AC + SS'!$E$29</f>
        <v>69077.711514399998</v>
      </c>
      <c r="F12" s="4">
        <f>'3 - Conta AC + SS'!$F$29</f>
        <v>74082.39219744</v>
      </c>
      <c r="G12" s="4">
        <f>'3 - Conta AC + SS'!$E$50</f>
        <v>69084.978295429974</v>
      </c>
      <c r="H12" s="4">
        <f>'3 - Conta AC + SS'!$F$50</f>
        <v>72879.736916059992</v>
      </c>
      <c r="I12" s="4">
        <f>+IF(IFERROR((F12-E12)/E12*100,"-")&gt;500,"-",IFERROR((F12-E12)/E12*100,"-"))</f>
        <v>7.2450007004020716</v>
      </c>
      <c r="J12" s="4">
        <f>+IF(IFERROR((H12-G12)/G12*100,"-")&gt;500,"-",IFERROR((H12-G12)/G12*100,"-"))</f>
        <v>5.49288530482327</v>
      </c>
    </row>
    <row r="13" spans="2:11" ht="13.5" customHeight="1">
      <c r="B13" s="125" t="str">
        <f>IF(Indice_index!$Z$1=1,"Administração Central","Central Administration")</f>
        <v>Administração Central</v>
      </c>
      <c r="C13" s="4">
        <f>'4 - Conta AC'!$E$51</f>
        <v>-3347.0006372100324</v>
      </c>
      <c r="D13" s="4">
        <f>'4 - Conta AC'!$F$51</f>
        <v>-3205.7455537199858</v>
      </c>
      <c r="E13" s="4">
        <f>'4 - Conta AC'!$E$29</f>
        <v>51157.432686659988</v>
      </c>
      <c r="F13" s="4">
        <f>'4 - Conta AC'!$F$29</f>
        <v>54024.361848640008</v>
      </c>
      <c r="G13" s="4">
        <f>'4 - Conta AC'!$E$50</f>
        <v>54504.43332387002</v>
      </c>
      <c r="H13" s="4">
        <f>'4 - Conta AC'!$F$50</f>
        <v>57230.107402359994</v>
      </c>
      <c r="I13" s="4">
        <f>+IF(IFERROR((F13-E13)/E13*100,"-")&gt;500,"-",IFERROR((F13-E13)/E13*100,"-"))</f>
        <v>5.6041302532517667</v>
      </c>
      <c r="J13" s="4">
        <f>+IF(IFERROR((H13-G13)/G13*100,"-")&gt;500,"-",IFERROR((H13-G13)/G13*100,"-"))</f>
        <v>5.0008300467849738</v>
      </c>
    </row>
    <row r="14" spans="2:11" ht="13.5" customHeight="1">
      <c r="B14" s="297" t="str">
        <f>IF(Indice_index!$Z$1=1,"da qual:","Of which:")</f>
        <v>da qual:</v>
      </c>
      <c r="C14" s="4"/>
      <c r="D14" s="4"/>
      <c r="E14" s="4"/>
      <c r="F14" s="4"/>
      <c r="G14" s="4"/>
      <c r="H14" s="4"/>
      <c r="I14" s="4"/>
      <c r="J14" s="4"/>
    </row>
    <row r="15" spans="2:11" ht="13.5" customHeight="1">
      <c r="B15" s="300" t="s">
        <v>431</v>
      </c>
      <c r="C15" s="4">
        <f>'5 - Estado'!$E$60</f>
        <v>-5214.4658343000046</v>
      </c>
      <c r="D15" s="4">
        <f>'5 - Estado'!$F$60</f>
        <v>-4701.2599185999934</v>
      </c>
      <c r="E15" s="4">
        <f>'5 - Estado'!$E$34</f>
        <v>40379.313606679993</v>
      </c>
      <c r="F15" s="4">
        <f>'5 - Estado'!$F$34</f>
        <v>43192.98454925001</v>
      </c>
      <c r="G15" s="4">
        <f>'5 - Estado'!$E$59</f>
        <v>45593.779440979997</v>
      </c>
      <c r="H15" s="4">
        <f>'5 - Estado'!$F$59</f>
        <v>47894.244467850003</v>
      </c>
      <c r="I15" s="4">
        <f t="shared" ref="I15:I24" si="0">+IF(IFERROR((F15-E15)/E15*100,"-")&gt;500,"-",IFERROR((F15-E15)/E15*100,"-"))</f>
        <v>6.9680999780653741</v>
      </c>
      <c r="J15" s="4">
        <f t="shared" ref="J15:J24" si="1">+IF(IFERROR((H15-G15)/G15*100,"-")&gt;500,"-",IFERROR((H15-G15)/G15*100,"-"))</f>
        <v>5.0455677398885088</v>
      </c>
    </row>
    <row r="16" spans="2:11" ht="13.5" customHeight="1">
      <c r="B16" s="301" t="s">
        <v>0</v>
      </c>
      <c r="C16" s="4">
        <v>-745.89487163999991</v>
      </c>
      <c r="D16" s="4">
        <v>-464.6345571699996</v>
      </c>
      <c r="E16" s="4">
        <v>950.17293908000011</v>
      </c>
      <c r="F16" s="4">
        <v>1143.1564884900004</v>
      </c>
      <c r="G16" s="4">
        <v>1696.0678107200001</v>
      </c>
      <c r="H16" s="4">
        <v>1607.7910456599998</v>
      </c>
      <c r="I16" s="4">
        <f t="shared" si="0"/>
        <v>20.310360511514414</v>
      </c>
      <c r="J16" s="4">
        <f t="shared" si="1"/>
        <v>-5.2047898381212629</v>
      </c>
      <c r="K16" s="5"/>
    </row>
    <row r="17" spans="2:11" ht="13.5" customHeight="1">
      <c r="B17" s="301" t="s">
        <v>530</v>
      </c>
      <c r="C17" s="4">
        <v>202.22783229999996</v>
      </c>
      <c r="D17" s="4">
        <v>320.74444332999997</v>
      </c>
      <c r="E17" s="4">
        <v>593.86866484000006</v>
      </c>
      <c r="F17" s="4">
        <v>769.58848624999985</v>
      </c>
      <c r="G17" s="4">
        <v>391.64083254000008</v>
      </c>
      <c r="H17" s="4">
        <v>448.84404291999988</v>
      </c>
      <c r="I17" s="4">
        <f t="shared" si="0"/>
        <v>29.589003733231518</v>
      </c>
      <c r="J17" s="4">
        <f t="shared" si="1"/>
        <v>14.606038397223909</v>
      </c>
      <c r="K17" s="5"/>
    </row>
    <row r="18" spans="2:11" ht="13.5" customHeight="1">
      <c r="B18" s="300" t="s">
        <v>177</v>
      </c>
      <c r="C18" s="4">
        <v>244.55928276000003</v>
      </c>
      <c r="D18" s="4">
        <v>90.474465880000011</v>
      </c>
      <c r="E18" s="4">
        <v>245.53882743</v>
      </c>
      <c r="F18" s="4">
        <v>91.377000480000007</v>
      </c>
      <c r="G18" s="4">
        <v>0.9795446699999999</v>
      </c>
      <c r="H18" s="4">
        <v>0.90253459999999996</v>
      </c>
      <c r="I18" s="4">
        <f t="shared" si="0"/>
        <v>-62.785111651618344</v>
      </c>
      <c r="J18" s="4">
        <f t="shared" si="1"/>
        <v>-7.8618231877061753</v>
      </c>
      <c r="K18" s="5"/>
    </row>
    <row r="19" spans="2:11" ht="13.5" customHeight="1">
      <c r="B19" s="301" t="s">
        <v>611</v>
      </c>
      <c r="C19" s="4">
        <v>-3.9595133799998758</v>
      </c>
      <c r="D19" s="4">
        <v>-161.72710907999999</v>
      </c>
      <c r="E19" s="4">
        <v>440.93146816000001</v>
      </c>
      <c r="F19" s="4">
        <v>524.38270159000001</v>
      </c>
      <c r="G19" s="4">
        <v>444.89098153999993</v>
      </c>
      <c r="H19" s="4">
        <v>686.10981067</v>
      </c>
      <c r="I19" s="4">
        <f t="shared" ref="I19" si="2">+IF(IFERROR((F19-E19)/E19*100,"-")&gt;500,"-",IFERROR((F19-E19)/E19*100,"-"))</f>
        <v>18.926123322120933</v>
      </c>
      <c r="J19" s="4">
        <f t="shared" ref="J19" si="3">+IF(IFERROR((H19-G19)/G19*100,"-")&gt;500,"-",IFERROR((H19-G19)/G19*100,"-"))</f>
        <v>54.219761500899786</v>
      </c>
      <c r="K19" s="5"/>
    </row>
    <row r="20" spans="2:11" ht="13.5" customHeight="1">
      <c r="B20" s="301" t="s">
        <v>627</v>
      </c>
      <c r="C20" s="4">
        <v>351.68787859999196</v>
      </c>
      <c r="D20" s="4">
        <v>169.15950313999832</v>
      </c>
      <c r="E20" s="4">
        <v>18244.902103619996</v>
      </c>
      <c r="F20" s="4">
        <v>18859.623113640002</v>
      </c>
      <c r="G20" s="4">
        <v>17893.214225020005</v>
      </c>
      <c r="H20" s="4">
        <v>18690.463610499999</v>
      </c>
      <c r="I20" s="4">
        <f t="shared" si="0"/>
        <v>3.3692754640653222</v>
      </c>
      <c r="J20" s="4">
        <f t="shared" si="1"/>
        <v>4.455596269367879</v>
      </c>
      <c r="K20" s="5"/>
    </row>
    <row r="21" spans="2:11" ht="13.5" customHeight="1">
      <c r="B21" s="301" t="s">
        <v>626</v>
      </c>
      <c r="C21" s="4">
        <v>218.80592428000037</v>
      </c>
      <c r="D21" s="4">
        <v>23.159540200000077</v>
      </c>
      <c r="E21" s="4">
        <v>1832.9387123300003</v>
      </c>
      <c r="F21" s="4">
        <v>1817.3813326100001</v>
      </c>
      <c r="G21" s="4">
        <v>1614.1327880499998</v>
      </c>
      <c r="H21" s="4">
        <v>1794.2217924100005</v>
      </c>
      <c r="I21" s="4">
        <f t="shared" si="0"/>
        <v>-0.84876704361947408</v>
      </c>
      <c r="J21" s="4">
        <f t="shared" si="1"/>
        <v>11.15701296035021</v>
      </c>
      <c r="K21" s="5"/>
    </row>
    <row r="22" spans="2:11" ht="13.5" customHeight="1">
      <c r="B22" s="125" t="str">
        <f>IF(Indice_index!$Z$1=1,"Segurança Social","Social Security")</f>
        <v>Segurança Social</v>
      </c>
      <c r="C22" s="4">
        <f>'10 - SS'!$E$69</f>
        <v>3339.7338561800061</v>
      </c>
      <c r="D22" s="4">
        <f>'10 - SS'!$F$69</f>
        <v>4408.4008350999939</v>
      </c>
      <c r="E22" s="4">
        <f>'10 - SS'!$E$34</f>
        <v>26805.617440190003</v>
      </c>
      <c r="F22" s="4">
        <f>'10 - SS'!$F$34</f>
        <v>29788.521431079989</v>
      </c>
      <c r="G22" s="4">
        <f>'10 - SS'!$E$68</f>
        <v>23465.883584009996</v>
      </c>
      <c r="H22" s="4">
        <f>'10 - SS'!$F$68</f>
        <v>25380.120595979995</v>
      </c>
      <c r="I22" s="4">
        <f t="shared" si="0"/>
        <v>11.127906296303703</v>
      </c>
      <c r="J22" s="4">
        <f t="shared" si="1"/>
        <v>8.1575322110367452</v>
      </c>
    </row>
    <row r="23" spans="2:11" ht="14.1" customHeight="1">
      <c r="B23" s="299" t="str">
        <f>IF(Indice_index!$Z$1=1,"Administração Regional","Regional Administration")</f>
        <v>Administração Regional</v>
      </c>
      <c r="C23" s="4">
        <f>+E23-G23</f>
        <v>28.174355499999365</v>
      </c>
      <c r="D23" s="4">
        <f>+F23-H23</f>
        <v>-51.292383209999571</v>
      </c>
      <c r="E23" s="4">
        <f>'12 - Adm R'!$I$43</f>
        <v>2203.8122463199998</v>
      </c>
      <c r="F23" s="4">
        <f>'12 - Adm R'!$J$43</f>
        <v>2307.6646414400002</v>
      </c>
      <c r="G23" s="4">
        <f>'12 - Adm R'!$I$64</f>
        <v>2175.6378908200004</v>
      </c>
      <c r="H23" s="4">
        <f>'12 - Adm R'!$J$64</f>
        <v>2358.9570246499998</v>
      </c>
      <c r="I23" s="4">
        <f t="shared" si="0"/>
        <v>4.7123975871091872</v>
      </c>
      <c r="J23" s="4">
        <f t="shared" si="1"/>
        <v>8.4259947210657469</v>
      </c>
    </row>
    <row r="24" spans="2:11" ht="14.1" customHeight="1">
      <c r="B24" s="299" t="str">
        <f>IF(Indice_index!$Z$1=1,"Administração Local","Local Administration")</f>
        <v>Administração Local</v>
      </c>
      <c r="C24" s="4">
        <f>+E24-G24</f>
        <v>503.14580576020944</v>
      </c>
      <c r="D24" s="4">
        <f>+F24-H24</f>
        <v>859.79421940084285</v>
      </c>
      <c r="E24" s="4">
        <v>8437.9977787039825</v>
      </c>
      <c r="F24" s="4">
        <v>9956.8906974482688</v>
      </c>
      <c r="G24" s="4">
        <v>7934.851972943773</v>
      </c>
      <c r="H24" s="4">
        <v>9097.096478047426</v>
      </c>
      <c r="I24" s="4">
        <f t="shared" si="0"/>
        <v>18.000631886603529</v>
      </c>
      <c r="J24" s="4">
        <f t="shared" si="1"/>
        <v>14.647336951800357</v>
      </c>
    </row>
    <row r="25" spans="2:11" ht="14.1" customHeight="1">
      <c r="B25" s="6" t="str">
        <f>IF(Indice_index!$Z$1=1,"Administrações Públicas","Public Administrations")</f>
        <v>Administrações Públicas</v>
      </c>
      <c r="C25" s="7">
        <f>'2 - Conta Consol AP'!$H$52</f>
        <v>524.05338023023796</v>
      </c>
      <c r="D25" s="8">
        <f>'2 - Conta Consol AP'!$M$52</f>
        <v>2011.1571175708523</v>
      </c>
      <c r="E25" s="7">
        <f>'2 - Conta Consol AP'!$H$30</f>
        <v>74920.522687273988</v>
      </c>
      <c r="F25" s="7">
        <f>'2 - Conta Consol AP'!$M$30</f>
        <v>80927.793960678289</v>
      </c>
      <c r="G25" s="7">
        <f>'2 - Conta Consol AP'!$H$51</f>
        <v>74396.46930704375</v>
      </c>
      <c r="H25" s="7">
        <f>'2 - Conta Consol AP'!$M$51</f>
        <v>78916.636843107437</v>
      </c>
      <c r="I25" s="8">
        <f>+IFERROR((F25-E25)/E25*100,"-")</f>
        <v>8.01819188912933</v>
      </c>
      <c r="J25" s="8">
        <f>+IFERROR((H25-G25)/G25*100,"-")</f>
        <v>6.0757823296806972</v>
      </c>
    </row>
    <row r="26" spans="2:11" ht="25.5" customHeight="1">
      <c r="B26" s="354" t="str">
        <f>IF(Indice_index!$Z$1=1,"Nota: Valores na ótica de caixa (Contabilidade Pública) não consolidados de fluxos intersetoriais; divergências relativamente aos valores publicados em 2024 devem-se a atualizações de valores.","Note: Unconsolidated cash values (Public Accounting) of intersectoral flows; Differences in relation to the values published in 2024 are due to value updates.")</f>
        <v>Nota: Valores na ótica de caixa (Contabilidade Pública) não consolidados de fluxos intersetoriais; divergências relativamente aos valores publicados em 2024 devem-se a atualizações de valores.</v>
      </c>
      <c r="C26" s="354"/>
      <c r="D26" s="354"/>
      <c r="E26" s="354"/>
      <c r="F26" s="354"/>
      <c r="G26" s="354"/>
      <c r="H26" s="354"/>
      <c r="I26" s="354"/>
      <c r="J26" s="354"/>
    </row>
    <row r="27" spans="2:11" ht="15.6" customHeight="1">
      <c r="B27" s="145" t="str">
        <f>IF(Indice_index!$Z$1=1,"Fonte: Entidade Orçamental.","Source: Budgetary Entity")</f>
        <v>Fonte: Entidade Orçamental.</v>
      </c>
      <c r="C27" s="9"/>
      <c r="D27" s="9"/>
      <c r="E27" s="5"/>
      <c r="F27" s="5"/>
      <c r="G27" s="154"/>
      <c r="H27" s="154"/>
      <c r="I27" s="154"/>
      <c r="J27" s="9"/>
    </row>
    <row r="28" spans="2:11" ht="14.85" customHeight="1"/>
    <row r="29" spans="2:11" ht="14.85" customHeight="1"/>
    <row r="30" spans="2:11" ht="14.85" customHeight="1"/>
    <row r="33" customFormat="1" ht="14.85" hidden="1" customHeight="1"/>
    <row r="34" customFormat="1" ht="14.85" hidden="1" customHeight="1"/>
    <row r="35" customFormat="1" ht="14.85" hidden="1" customHeight="1"/>
    <row r="36" customFormat="1" ht="14.85" hidden="1" customHeight="1"/>
  </sheetData>
  <mergeCells count="7">
    <mergeCell ref="B26:J26"/>
    <mergeCell ref="B9:C9"/>
    <mergeCell ref="B10:B11"/>
    <mergeCell ref="C10:D10"/>
    <mergeCell ref="E10:F10"/>
    <mergeCell ref="G10:H10"/>
    <mergeCell ref="I10:J10"/>
  </mergeCells>
  <pageMargins left="0.70866141732283472" right="0.70866141732283472" top="0.74803149606299213" bottom="0.74803149606299213" header="0.31496062992125984" footer="0.31496062992125984"/>
  <pageSetup paperSize="9" scale="71" orientation="portrait" r:id="rId1"/>
  <ignoredErrors>
    <ignoredError sqref="C22:D22"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Folha5"/>
  <dimension ref="A1:O109"/>
  <sheetViews>
    <sheetView showGridLines="0" zoomScaleNormal="100" workbookViewId="0"/>
  </sheetViews>
  <sheetFormatPr defaultColWidth="0" defaultRowHeight="14.85" customHeight="1" zeroHeight="1"/>
  <cols>
    <col min="1" max="1" width="8.5703125" style="20" customWidth="1"/>
    <col min="2" max="2" width="32.5703125" style="20" customWidth="1"/>
    <col min="3" max="14" width="9.5703125" style="20" customWidth="1"/>
    <col min="15" max="15" width="9.42578125" style="20" customWidth="1"/>
    <col min="16" max="16384" width="9.42578125" hidden="1"/>
  </cols>
  <sheetData>
    <row r="1" spans="1:15" ht="14.85" customHeight="1"/>
    <row r="2" spans="1:15" ht="15">
      <c r="A2" s="11"/>
      <c r="B2" s="12"/>
      <c r="C2" s="13"/>
      <c r="D2" s="11"/>
      <c r="E2" s="11"/>
      <c r="F2" s="11"/>
      <c r="G2" s="11"/>
      <c r="H2" s="11"/>
      <c r="I2" s="11"/>
      <c r="J2" s="11"/>
      <c r="K2" s="11"/>
      <c r="L2" s="10"/>
      <c r="M2" s="10"/>
      <c r="N2" s="10"/>
      <c r="O2" s="10"/>
    </row>
    <row r="3" spans="1:15" ht="15">
      <c r="A3" s="11"/>
      <c r="B3" s="12"/>
      <c r="C3" s="13"/>
      <c r="D3" s="11"/>
      <c r="E3" s="11"/>
      <c r="F3" s="11"/>
      <c r="G3" s="11"/>
      <c r="H3" s="11"/>
      <c r="I3" s="11"/>
      <c r="J3" s="11"/>
      <c r="K3" s="11"/>
      <c r="L3" s="10"/>
      <c r="M3" s="10"/>
      <c r="N3" s="10"/>
      <c r="O3" s="10"/>
    </row>
    <row r="4" spans="1:15" ht="15">
      <c r="A4" s="11"/>
      <c r="B4" s="12"/>
      <c r="C4" s="13"/>
      <c r="D4" s="11"/>
      <c r="E4" s="11"/>
      <c r="F4" s="11"/>
      <c r="G4" s="11"/>
      <c r="H4" s="11"/>
      <c r="I4" s="11"/>
      <c r="J4" s="11"/>
      <c r="K4" s="11"/>
      <c r="L4" s="10"/>
      <c r="M4" s="10"/>
      <c r="N4" s="10"/>
      <c r="O4" s="10"/>
    </row>
    <row r="5" spans="1:15" ht="18" customHeight="1">
      <c r="A5"/>
      <c r="B5" s="270" t="str">
        <f>IF(Indice_index!$Z$1=1,"ANEXOS ESTATÍSTICOS","STATISTICAL ANNEXES")</f>
        <v>ANEXOS ESTATÍSTICOS</v>
      </c>
      <c r="C5"/>
      <c r="D5"/>
      <c r="E5"/>
      <c r="F5"/>
      <c r="G5"/>
      <c r="H5"/>
      <c r="I5"/>
      <c r="J5"/>
      <c r="K5"/>
      <c r="L5"/>
      <c r="M5"/>
      <c r="N5"/>
      <c r="O5"/>
    </row>
    <row r="6" spans="1:15" ht="18" customHeight="1">
      <c r="A6"/>
      <c r="B6" s="271" t="str">
        <f>IF(Indice_index!$Z$1=1,"Agosto de 2025","August 2025")</f>
        <v>Agosto de 2025</v>
      </c>
      <c r="C6"/>
      <c r="D6"/>
      <c r="E6"/>
      <c r="F6"/>
      <c r="G6"/>
      <c r="H6"/>
      <c r="I6"/>
      <c r="J6"/>
      <c r="K6"/>
      <c r="L6"/>
      <c r="M6"/>
      <c r="N6"/>
      <c r="O6"/>
    </row>
    <row r="7" spans="1:15" ht="50.1" customHeight="1">
      <c r="A7" s="11"/>
      <c r="B7" s="12"/>
      <c r="C7" s="13"/>
      <c r="D7" s="11"/>
      <c r="E7" s="11"/>
      <c r="F7" s="11"/>
      <c r="G7" s="11"/>
      <c r="H7" s="11"/>
      <c r="I7" s="11"/>
      <c r="J7" s="11"/>
      <c r="K7" s="11"/>
      <c r="L7" s="10"/>
      <c r="M7" s="10"/>
      <c r="N7" s="10"/>
      <c r="O7" s="10"/>
    </row>
    <row r="8" spans="1:15" ht="15.75">
      <c r="A8" s="2"/>
      <c r="B8" s="1" t="str">
        <f>IF(Indice_index!$Z$1=1,"Quadro 2 - Conta Consolidada das Administrações Públicas","2 - General Government Consolidated Account")</f>
        <v>Quadro 2 - Conta Consolidada das Administrações Públicas</v>
      </c>
      <c r="C8" s="2"/>
      <c r="D8" s="2"/>
      <c r="E8" s="2"/>
      <c r="F8" s="2"/>
      <c r="G8" s="2"/>
      <c r="H8" s="2"/>
      <c r="I8" s="2"/>
      <c r="J8" s="2"/>
      <c r="K8" s="2"/>
      <c r="L8" s="2"/>
      <c r="M8" s="2"/>
      <c r="N8" s="2"/>
      <c r="O8" s="2"/>
    </row>
    <row r="9" spans="1:15" ht="15">
      <c r="A9" s="3"/>
      <c r="B9" s="355" t="str">
        <f>+'3 - Conta AC + SS'!B9</f>
        <v>Período: janeiro a agosto</v>
      </c>
      <c r="C9" s="355"/>
      <c r="D9" s="3"/>
      <c r="E9" s="3"/>
      <c r="F9" s="3"/>
      <c r="G9" s="3"/>
      <c r="H9" s="3"/>
      <c r="I9" s="3"/>
      <c r="J9" s="3"/>
      <c r="K9" s="3"/>
      <c r="L9" s="3"/>
      <c r="M9" s="3"/>
      <c r="N9" s="3" t="str">
        <f>IF(Indice_index!$Z$1=1,"€ Milhões","€ Millions")</f>
        <v>€ Milhões</v>
      </c>
      <c r="O9" s="3"/>
    </row>
    <row r="10" spans="1:15" ht="26.85" customHeight="1">
      <c r="A10" s="14"/>
      <c r="B10" s="375"/>
      <c r="C10" s="22" t="str">
        <f>IF(Indice_index!$Z$1=1,"CGE","Final execution")</f>
        <v>CGE</v>
      </c>
      <c r="D10" s="378" t="str">
        <f>IF(Indice_index!$Z$1=1,"Execução Acumulada","Accumulated Execution")</f>
        <v>Execução Acumulada</v>
      </c>
      <c r="E10" s="379"/>
      <c r="F10" s="379"/>
      <c r="G10" s="379"/>
      <c r="H10" s="379"/>
      <c r="I10" s="379"/>
      <c r="J10" s="379"/>
      <c r="K10" s="379"/>
      <c r="L10" s="379"/>
      <c r="M10" s="379"/>
      <c r="N10" s="127" t="str">
        <f>IF(Indice_index!$Z$1=1,"Orçamento Inicial","Budget")</f>
        <v>Orçamento Inicial</v>
      </c>
      <c r="O10" s="14"/>
    </row>
    <row r="11" spans="1:15" ht="16.350000000000001" customHeight="1">
      <c r="A11" s="15"/>
      <c r="B11" s="376"/>
      <c r="C11" s="378">
        <v>2024</v>
      </c>
      <c r="D11" s="379"/>
      <c r="E11" s="379"/>
      <c r="F11" s="379"/>
      <c r="G11" s="379"/>
      <c r="H11" s="380"/>
      <c r="I11" s="378">
        <v>2025</v>
      </c>
      <c r="J11" s="379"/>
      <c r="K11" s="379"/>
      <c r="L11" s="379"/>
      <c r="M11" s="379"/>
      <c r="N11" s="380"/>
      <c r="O11" s="15"/>
    </row>
    <row r="12" spans="1:15" ht="36">
      <c r="A12" s="16"/>
      <c r="B12" s="377"/>
      <c r="C12" s="127" t="str">
        <f>IF(Indice_index!$Z$1=1,"Adm. Públicas","General Government")</f>
        <v>Adm. Públicas</v>
      </c>
      <c r="D12" s="127" t="str">
        <f>IF(Indice_index!$Z$1=1,"Estado","State")</f>
        <v>Estado</v>
      </c>
      <c r="E12" s="127" t="str">
        <f>IF(Indice_index!$Z$1=1,"Serviços e Fundos Autónomos","Autonomous Funds and Services")</f>
        <v>Serviços e Fundos Autónomos</v>
      </c>
      <c r="F12" s="127" t="str">
        <f>IF(Indice_index!$Z$1=1,"Adm. Local e Regional","Local and Regional Government")</f>
        <v>Adm. Local e Regional</v>
      </c>
      <c r="G12" s="127" t="str">
        <f>IF(Indice_index!$Z$1=1,"Segurança Social","Social Security")</f>
        <v>Segurança Social</v>
      </c>
      <c r="H12" s="127" t="str">
        <f>IF(Indice_index!$Z$1=1,"Adm. Públicas","General Government")</f>
        <v>Adm. Públicas</v>
      </c>
      <c r="I12" s="127" t="str">
        <f>IF(Indice_index!$Z$1=1,"Estado","State")</f>
        <v>Estado</v>
      </c>
      <c r="J12" s="127" t="str">
        <f>IF(Indice_index!$Z$1=1,"Serviços e Fundos Autónomos","Autonomous Funds and Services")</f>
        <v>Serviços e Fundos Autónomos</v>
      </c>
      <c r="K12" s="127" t="str">
        <f>IF(Indice_index!$Z$1=1,"Adm. Local e Regional","Local and Regional Government")</f>
        <v>Adm. Local e Regional</v>
      </c>
      <c r="L12" s="127" t="str">
        <f>IF(Indice_index!$Z$1=1,"Segurança Social","Social Security")</f>
        <v>Segurança Social</v>
      </c>
      <c r="M12" s="127" t="str">
        <f>IF(Indice_index!$Z$1=1,"Adm. Públicas","General Government")</f>
        <v>Adm. Públicas</v>
      </c>
      <c r="N12" s="127" t="str">
        <f>IF(Indice_index!$Z$1=1,"Adm. Públicas","General Government")</f>
        <v>Adm. Públicas</v>
      </c>
      <c r="O12" s="15"/>
    </row>
    <row r="13" spans="1:15" ht="14.1" customHeight="1">
      <c r="A13" s="134"/>
      <c r="B13" s="174" t="str">
        <f>IF(Indice_index!$Z$1=1,"Receita corrente","Current revenue")</f>
        <v>Receita corrente</v>
      </c>
      <c r="C13" s="134">
        <f t="shared" ref="C13:N13" si="0">C14+C17+C18+C21+C22</f>
        <v>117337.60814616577</v>
      </c>
      <c r="D13" s="134">
        <f t="shared" si="0"/>
        <v>40125.73809056</v>
      </c>
      <c r="E13" s="134">
        <f t="shared" si="0"/>
        <v>26968.350661590001</v>
      </c>
      <c r="F13" s="134">
        <f t="shared" si="0"/>
        <v>9286.7289776695197</v>
      </c>
      <c r="G13" s="134">
        <f t="shared" si="0"/>
        <v>26804.973799020001</v>
      </c>
      <c r="H13" s="134">
        <f t="shared" si="0"/>
        <v>72624.860775749519</v>
      </c>
      <c r="I13" s="134">
        <f t="shared" si="0"/>
        <v>43027.370904389987</v>
      </c>
      <c r="J13" s="134">
        <f t="shared" si="0"/>
        <v>27588.894474700017</v>
      </c>
      <c r="K13" s="134">
        <f t="shared" si="0"/>
        <v>10560.690333087905</v>
      </c>
      <c r="L13" s="134">
        <f t="shared" si="0"/>
        <v>29788.308770159998</v>
      </c>
      <c r="M13" s="134">
        <f t="shared" si="0"/>
        <v>78536.716930787923</v>
      </c>
      <c r="N13" s="134">
        <f t="shared" si="0"/>
        <v>125463.89815193915</v>
      </c>
      <c r="O13" s="157"/>
    </row>
    <row r="14" spans="1:15" ht="14.1" customHeight="1">
      <c r="A14" s="4"/>
      <c r="B14" s="125" t="str">
        <f>IF(Indice_index!$Z$1=1,"Receita fiscal","Tax")</f>
        <v>Receita fiscal</v>
      </c>
      <c r="C14" s="4">
        <f t="shared" ref="C14:N14" si="1">C15+C16</f>
        <v>67875.639581468189</v>
      </c>
      <c r="D14" s="4">
        <f t="shared" si="1"/>
        <v>36444.110992280002</v>
      </c>
      <c r="E14" s="4">
        <f t="shared" si="1"/>
        <v>534.17711963000011</v>
      </c>
      <c r="F14" s="4">
        <f t="shared" si="1"/>
        <v>3585.0561212851017</v>
      </c>
      <c r="G14" s="4">
        <f t="shared" si="1"/>
        <v>153.77091191999997</v>
      </c>
      <c r="H14" s="4">
        <f t="shared" si="1"/>
        <v>40717.115145115109</v>
      </c>
      <c r="I14" s="4">
        <f t="shared" si="1"/>
        <v>39608.847727949993</v>
      </c>
      <c r="J14" s="4">
        <f t="shared" si="1"/>
        <v>515.04318757999999</v>
      </c>
      <c r="K14" s="4">
        <f t="shared" si="1"/>
        <v>4134.1211108909174</v>
      </c>
      <c r="L14" s="4">
        <f t="shared" si="1"/>
        <v>153.50786047</v>
      </c>
      <c r="M14" s="4">
        <f t="shared" si="1"/>
        <v>44411.519886890906</v>
      </c>
      <c r="N14" s="4">
        <f t="shared" si="1"/>
        <v>70663.474938276791</v>
      </c>
      <c r="O14" s="158"/>
    </row>
    <row r="15" spans="1:15" ht="14.1" customHeight="1">
      <c r="A15" s="4"/>
      <c r="B15" s="172" t="str">
        <f>IF(Indice_index!$Z$1=1,"Impostos diretos","Direct taxes")</f>
        <v>Impostos diretos</v>
      </c>
      <c r="C15" s="4">
        <v>32538.420329664816</v>
      </c>
      <c r="D15" s="4">
        <v>17204.354300750001</v>
      </c>
      <c r="E15" s="4">
        <v>0</v>
      </c>
      <c r="F15" s="4">
        <v>2695.400572698316</v>
      </c>
      <c r="G15" s="4">
        <v>0</v>
      </c>
      <c r="H15" s="4">
        <v>19899.754873448317</v>
      </c>
      <c r="I15" s="4">
        <v>18607.585055099993</v>
      </c>
      <c r="J15" s="4">
        <v>0.40492279999999997</v>
      </c>
      <c r="K15" s="4">
        <v>3209.8773848385931</v>
      </c>
      <c r="L15" s="4">
        <v>0</v>
      </c>
      <c r="M15" s="4">
        <v>21817.867362738587</v>
      </c>
      <c r="N15" s="4">
        <v>32861.817263336787</v>
      </c>
      <c r="O15" s="158"/>
    </row>
    <row r="16" spans="1:15" ht="14.1" customHeight="1">
      <c r="A16" s="4"/>
      <c r="B16" s="172" t="str">
        <f>IF(Indice_index!$Z$1=1,"Impostos indiretos","Indirect taxes")</f>
        <v>Impostos indiretos</v>
      </c>
      <c r="C16" s="4">
        <v>35337.21925180337</v>
      </c>
      <c r="D16" s="4">
        <v>19239.756691530001</v>
      </c>
      <c r="E16" s="4">
        <v>534.17711963000011</v>
      </c>
      <c r="F16" s="4">
        <v>889.65554858678559</v>
      </c>
      <c r="G16" s="4">
        <v>153.77091191999997</v>
      </c>
      <c r="H16" s="4">
        <v>20817.360271666788</v>
      </c>
      <c r="I16" s="4">
        <v>21001.26267285</v>
      </c>
      <c r="J16" s="4">
        <v>514.63826477999999</v>
      </c>
      <c r="K16" s="4">
        <v>924.24372605232475</v>
      </c>
      <c r="L16" s="4">
        <v>153.50786047</v>
      </c>
      <c r="M16" s="4">
        <v>22593.652524152323</v>
      </c>
      <c r="N16" s="4">
        <v>37801.657674940005</v>
      </c>
      <c r="O16" s="158"/>
    </row>
    <row r="17" spans="2:14" ht="14.1" customHeight="1">
      <c r="B17" s="125" t="str">
        <f>IF(Indice_index!$Z$1=1,"Contribuições de Segurança Social","Social security contributions")</f>
        <v>Contribuições de Segurança Social</v>
      </c>
      <c r="C17" s="4">
        <v>32178.368385239999</v>
      </c>
      <c r="D17" s="4">
        <v>51.217741310000001</v>
      </c>
      <c r="E17" s="4">
        <v>2797.1055429899993</v>
      </c>
      <c r="F17" s="4">
        <v>0</v>
      </c>
      <c r="G17" s="4">
        <v>17908.93972712</v>
      </c>
      <c r="H17" s="4">
        <v>20757.26301142</v>
      </c>
      <c r="I17" s="4">
        <v>57.889734400000002</v>
      </c>
      <c r="J17" s="4">
        <v>2898.7654446299998</v>
      </c>
      <c r="K17" s="4">
        <v>0</v>
      </c>
      <c r="L17" s="4">
        <v>19512.012585979999</v>
      </c>
      <c r="M17" s="4">
        <v>22468.667765009999</v>
      </c>
      <c r="N17" s="4">
        <v>33913.802474999997</v>
      </c>
    </row>
    <row r="18" spans="2:14" ht="14.1" customHeight="1">
      <c r="B18" s="125" t="str">
        <f>IF(Indice_index!$Z$1=1,"Transferências correntes","Current transfers")</f>
        <v>Transferências correntes</v>
      </c>
      <c r="C18" s="4">
        <v>2988.2814460303111</v>
      </c>
      <c r="D18" s="4">
        <f t="shared" ref="D18:N18" si="2">+D19+D20</f>
        <v>683.14674023999987</v>
      </c>
      <c r="E18" s="4">
        <f t="shared" si="2"/>
        <v>19289.347280160004</v>
      </c>
      <c r="F18" s="4">
        <f t="shared" si="2"/>
        <v>4078.7324465833599</v>
      </c>
      <c r="G18" s="4">
        <f t="shared" si="2"/>
        <v>7944.7627358600012</v>
      </c>
      <c r="H18" s="4">
        <f t="shared" si="2"/>
        <v>1873.7994724833586</v>
      </c>
      <c r="I18" s="4">
        <f t="shared" si="2"/>
        <v>693.76454592999994</v>
      </c>
      <c r="J18" s="4">
        <f t="shared" si="2"/>
        <v>19880.711134500008</v>
      </c>
      <c r="K18" s="4">
        <f t="shared" si="2"/>
        <v>4486.6830468162289</v>
      </c>
      <c r="L18" s="4">
        <f t="shared" si="2"/>
        <v>9071.9623968699998</v>
      </c>
      <c r="M18" s="4">
        <f t="shared" si="2"/>
        <v>2124.2217747262293</v>
      </c>
      <c r="N18" s="4">
        <f t="shared" si="2"/>
        <v>6071.2142366295302</v>
      </c>
    </row>
    <row r="19" spans="2:14" ht="14.1" customHeight="1">
      <c r="B19" s="172" t="str">
        <f>IF(Indice_index!$Z$1=1,"Administrações Públicas","General Government subsectors")</f>
        <v>Administrações Públicas</v>
      </c>
      <c r="C19" s="4">
        <v>0</v>
      </c>
      <c r="D19" s="4">
        <v>506.77793446999999</v>
      </c>
      <c r="E19" s="4">
        <v>18362.163508220005</v>
      </c>
      <c r="F19" s="4">
        <v>3923.3148928500009</v>
      </c>
      <c r="G19" s="4">
        <v>7329.933394820001</v>
      </c>
      <c r="H19" s="4">
        <v>0</v>
      </c>
      <c r="I19" s="4">
        <v>543.25410979999992</v>
      </c>
      <c r="J19" s="4">
        <v>19005.193442140007</v>
      </c>
      <c r="K19" s="4">
        <v>4331.9392398499995</v>
      </c>
      <c r="L19" s="4">
        <v>8128.5125575999991</v>
      </c>
      <c r="M19" s="4">
        <v>0</v>
      </c>
      <c r="N19" s="4">
        <v>0</v>
      </c>
    </row>
    <row r="20" spans="2:14" ht="14.1" customHeight="1">
      <c r="B20" s="172" t="str">
        <f>IF(Indice_index!$Z$1=1,"Outras","Others")</f>
        <v>Outras</v>
      </c>
      <c r="C20" s="4">
        <v>2988.2814460303111</v>
      </c>
      <c r="D20" s="4">
        <v>176.36880576999994</v>
      </c>
      <c r="E20" s="4">
        <v>927.1837719399997</v>
      </c>
      <c r="F20" s="4">
        <v>155.41755373335883</v>
      </c>
      <c r="G20" s="4">
        <v>614.82934104000014</v>
      </c>
      <c r="H20" s="4">
        <v>1873.7994724833586</v>
      </c>
      <c r="I20" s="4">
        <v>150.51043612999999</v>
      </c>
      <c r="J20" s="4">
        <v>875.51769235999984</v>
      </c>
      <c r="K20" s="4">
        <v>154.74380696622933</v>
      </c>
      <c r="L20" s="4">
        <v>943.4498392700001</v>
      </c>
      <c r="M20" s="4">
        <v>2124.2217747262293</v>
      </c>
      <c r="N20" s="4">
        <v>6071.2142366295302</v>
      </c>
    </row>
    <row r="21" spans="2:14" ht="14.1" customHeight="1">
      <c r="B21" s="125" t="str">
        <f>IF(Indice_index!$Z$1=1,"Outras receitas correntes","Other current revenue")</f>
        <v>Outras receitas correntes</v>
      </c>
      <c r="C21" s="4">
        <v>14093.219955967266</v>
      </c>
      <c r="D21" s="4">
        <v>2773.0273023700001</v>
      </c>
      <c r="E21" s="4">
        <v>4320.0380127600019</v>
      </c>
      <c r="F21" s="4">
        <v>1597.2346163310574</v>
      </c>
      <c r="G21" s="4">
        <v>797.50042412000005</v>
      </c>
      <c r="H21" s="4">
        <v>9049.0593328510604</v>
      </c>
      <c r="I21" s="4">
        <v>2666.8688961100002</v>
      </c>
      <c r="J21" s="4">
        <v>4267.9591772300018</v>
      </c>
      <c r="K21" s="4">
        <v>1935.3183959507596</v>
      </c>
      <c r="L21" s="4">
        <v>1050.8259268400002</v>
      </c>
      <c r="M21" s="4">
        <v>9501.3241939707623</v>
      </c>
      <c r="N21" s="4">
        <v>14594.969599038914</v>
      </c>
    </row>
    <row r="22" spans="2:14" ht="14.1" customHeight="1">
      <c r="B22" s="125" t="str">
        <f>IF(Indice_index!$Z$1=1,"Diferenças de consolidação","Consolidation differences")</f>
        <v>Diferenças de consolidação</v>
      </c>
      <c r="C22" s="4">
        <v>202.09877746000464</v>
      </c>
      <c r="D22" s="4">
        <v>174.23531436000007</v>
      </c>
      <c r="E22" s="4">
        <v>27.682706049995534</v>
      </c>
      <c r="F22" s="4">
        <v>25.705793470000117</v>
      </c>
      <c r="G22" s="4">
        <v>0</v>
      </c>
      <c r="H22" s="4">
        <v>227.62381387999574</v>
      </c>
      <c r="I22" s="4">
        <v>0</v>
      </c>
      <c r="J22" s="4">
        <v>26.415530760010306</v>
      </c>
      <c r="K22" s="4">
        <v>4.567779430000142</v>
      </c>
      <c r="L22" s="4">
        <v>0</v>
      </c>
      <c r="M22" s="4">
        <v>30.98331019001045</v>
      </c>
      <c r="N22" s="4">
        <v>220.43690299392642</v>
      </c>
    </row>
    <row r="23" spans="2:14" ht="14.1" customHeight="1">
      <c r="B23" s="174" t="str">
        <f>IF(Indice_index!$Z$1=1,"Receita de capital","Capital revenue")</f>
        <v>Receita de capital</v>
      </c>
      <c r="C23" s="134">
        <f>C24+C25+C28+C29</f>
        <v>3649.6288053136154</v>
      </c>
      <c r="D23" s="134">
        <f>D24+D25+D28+D29</f>
        <v>253.57551611999997</v>
      </c>
      <c r="E23" s="134">
        <f>E24+E25+E28+E29</f>
        <v>2608.5189576300004</v>
      </c>
      <c r="F23" s="134">
        <f t="shared" ref="F23:M23" si="3">F24+F25+F28+F29</f>
        <v>1349.8104924544657</v>
      </c>
      <c r="G23" s="134">
        <f t="shared" si="3"/>
        <v>0.64364117000000021</v>
      </c>
      <c r="H23" s="134">
        <f t="shared" si="3"/>
        <v>2295.6619115244657</v>
      </c>
      <c r="I23" s="134">
        <f t="shared" si="3"/>
        <v>165.61364486000002</v>
      </c>
      <c r="J23" s="134">
        <f t="shared" si="3"/>
        <v>2793.3939552200004</v>
      </c>
      <c r="K23" s="134">
        <f t="shared" si="3"/>
        <v>1692.4365754803607</v>
      </c>
      <c r="L23" s="134">
        <f t="shared" si="3"/>
        <v>0.21266092</v>
      </c>
      <c r="M23" s="134">
        <f t="shared" si="3"/>
        <v>2391.0770298903608</v>
      </c>
      <c r="N23" s="134">
        <f>N24+N25+N28+N29</f>
        <v>7303.9157091521747</v>
      </c>
    </row>
    <row r="24" spans="2:14" ht="14.1" customHeight="1">
      <c r="B24" s="125" t="str">
        <f>IF(Indice_index!$Z$1=1,"Venda de bens de investimento","Sale of investment goods")</f>
        <v>Venda de bens de investimento</v>
      </c>
      <c r="C24" s="4">
        <v>192.02585902549259</v>
      </c>
      <c r="D24" s="4">
        <v>3.0500319999999999</v>
      </c>
      <c r="E24" s="4">
        <v>55.769613420000006</v>
      </c>
      <c r="F24" s="4">
        <v>60.347551343669124</v>
      </c>
      <c r="G24" s="4">
        <v>0.63570229000000023</v>
      </c>
      <c r="H24" s="4">
        <v>119.80289905366912</v>
      </c>
      <c r="I24" s="4">
        <v>9.4411080000000008E-2</v>
      </c>
      <c r="J24" s="4">
        <v>30.18319005</v>
      </c>
      <c r="K24" s="4">
        <v>63.633917307298191</v>
      </c>
      <c r="L24" s="4">
        <v>0.20959546000000001</v>
      </c>
      <c r="M24" s="4">
        <v>94.121113897298201</v>
      </c>
      <c r="N24" s="4">
        <v>979.93621157670486</v>
      </c>
    </row>
    <row r="25" spans="2:14" ht="14.1" customHeight="1">
      <c r="B25" s="125" t="str">
        <f>IF(Indice_index!$Z$1=1,"Transferências de capital","Capital transfers")</f>
        <v>Transferências de capital</v>
      </c>
      <c r="C25" s="4">
        <f>+C26+C27</f>
        <v>3259.8043280774459</v>
      </c>
      <c r="D25" s="4">
        <f t="shared" ref="D25:N25" si="4">+D26+D27</f>
        <v>110.14814323999998</v>
      </c>
      <c r="E25" s="4">
        <f t="shared" si="4"/>
        <v>2535.9857840200002</v>
      </c>
      <c r="F25" s="4">
        <f t="shared" si="4"/>
        <v>1272.5472697153455</v>
      </c>
      <c r="G25" s="4">
        <f t="shared" si="4"/>
        <v>0</v>
      </c>
      <c r="H25" s="4">
        <f t="shared" si="4"/>
        <v>2001.7945011253457</v>
      </c>
      <c r="I25" s="4">
        <f t="shared" si="4"/>
        <v>154.08400725000001</v>
      </c>
      <c r="J25" s="4">
        <f t="shared" si="4"/>
        <v>2652.2809359800003</v>
      </c>
      <c r="K25" s="4">
        <f t="shared" si="4"/>
        <v>1611.426640935432</v>
      </c>
      <c r="L25" s="4">
        <f t="shared" si="4"/>
        <v>0</v>
      </c>
      <c r="M25" s="4">
        <f t="shared" si="4"/>
        <v>2139.0037769254322</v>
      </c>
      <c r="N25" s="4">
        <f t="shared" si="4"/>
        <v>6177.9270811509714</v>
      </c>
    </row>
    <row r="26" spans="2:14" ht="14.1" customHeight="1">
      <c r="B26" s="172" t="str">
        <f>IF(Indice_index!$Z$1=1,"Administrações Públicas","General Government subsectors")</f>
        <v>Administrações Públicas</v>
      </c>
      <c r="C26" s="4">
        <v>0</v>
      </c>
      <c r="D26" s="4">
        <v>16.379840680000001</v>
      </c>
      <c r="E26" s="4">
        <v>1184.2569372400001</v>
      </c>
      <c r="F26" s="4">
        <v>716.24991792999992</v>
      </c>
      <c r="G26" s="4">
        <v>0</v>
      </c>
      <c r="H26" s="4">
        <v>0</v>
      </c>
      <c r="I26" s="4">
        <v>73.553076390000015</v>
      </c>
      <c r="J26" s="4">
        <v>1248.9898119000002</v>
      </c>
      <c r="K26" s="4">
        <v>956.24491894999983</v>
      </c>
      <c r="L26" s="4">
        <v>0</v>
      </c>
      <c r="M26" s="4">
        <v>0</v>
      </c>
      <c r="N26" s="4">
        <v>0</v>
      </c>
    </row>
    <row r="27" spans="2:14" ht="14.1" customHeight="1">
      <c r="B27" s="172" t="str">
        <f>IF(Indice_index!$Z$1=1,"Outras","Others")</f>
        <v>Outras</v>
      </c>
      <c r="C27" s="4">
        <v>3259.8043280774459</v>
      </c>
      <c r="D27" s="4">
        <v>93.768302559999981</v>
      </c>
      <c r="E27" s="4">
        <v>1351.7288467800004</v>
      </c>
      <c r="F27" s="4">
        <v>556.29735178534543</v>
      </c>
      <c r="G27" s="4">
        <v>0</v>
      </c>
      <c r="H27" s="4">
        <v>2001.7945011253457</v>
      </c>
      <c r="I27" s="4">
        <v>80.530930859999984</v>
      </c>
      <c r="J27" s="4">
        <v>1403.2911240799999</v>
      </c>
      <c r="K27" s="4">
        <v>655.1817219854322</v>
      </c>
      <c r="L27" s="4">
        <v>0</v>
      </c>
      <c r="M27" s="4">
        <v>2139.0037769254322</v>
      </c>
      <c r="N27" s="4">
        <v>6177.9270811509714</v>
      </c>
    </row>
    <row r="28" spans="2:14" ht="14.1" customHeight="1">
      <c r="B28" s="125" t="str">
        <f>IF(Indice_index!$Z$1=1,"Outras receitas de capital","Other capital revenue")</f>
        <v>Outras receitas de capital</v>
      </c>
      <c r="C28" s="4">
        <v>197.79861821067681</v>
      </c>
      <c r="D28" s="4">
        <v>140.37734087999999</v>
      </c>
      <c r="E28" s="4">
        <v>16.763560189999996</v>
      </c>
      <c r="F28" s="4">
        <v>15.844370735450998</v>
      </c>
      <c r="G28" s="4">
        <v>7.9388800000000006E-3</v>
      </c>
      <c r="H28" s="4">
        <v>172.993210685451</v>
      </c>
      <c r="I28" s="4">
        <v>3.7179794299999998</v>
      </c>
      <c r="J28" s="4">
        <v>110.92982919000002</v>
      </c>
      <c r="K28" s="4">
        <v>12.713475307630562</v>
      </c>
      <c r="L28" s="4">
        <v>3.0654599999999999E-3</v>
      </c>
      <c r="M28" s="4">
        <v>127.3643493876306</v>
      </c>
      <c r="N28" s="4">
        <v>40.908909424498603</v>
      </c>
    </row>
    <row r="29" spans="2:14" ht="14.1" customHeight="1">
      <c r="B29" s="125" t="str">
        <f>IF(Indice_index!$Z$1=1,"Diferenças de consolidação","Consolidation differences")</f>
        <v>Diferenças de consolidação</v>
      </c>
      <c r="C29" s="4">
        <v>0</v>
      </c>
      <c r="D29" s="4">
        <v>0</v>
      </c>
      <c r="E29" s="4">
        <v>0</v>
      </c>
      <c r="F29" s="4">
        <v>1.0713006600000057</v>
      </c>
      <c r="G29" s="4">
        <v>0</v>
      </c>
      <c r="H29" s="4">
        <v>1.0713006600000057</v>
      </c>
      <c r="I29" s="4">
        <v>7.7172471000000016</v>
      </c>
      <c r="J29" s="4">
        <v>0</v>
      </c>
      <c r="K29" s="4">
        <v>4.6625419300000175</v>
      </c>
      <c r="L29" s="4">
        <v>0</v>
      </c>
      <c r="M29" s="4">
        <v>30.587789679999595</v>
      </c>
      <c r="N29" s="4">
        <v>105.14350700000045</v>
      </c>
    </row>
    <row r="30" spans="2:14" ht="14.1" customHeight="1">
      <c r="B30" s="17" t="str">
        <f>IF(Indice_index!$Z$1=1,"Receita efetiva","Effective revenue")</f>
        <v>Receita efetiva</v>
      </c>
      <c r="C30" s="18">
        <f t="shared" ref="C30:N30" si="5">C13+C23</f>
        <v>120987.23695147938</v>
      </c>
      <c r="D30" s="18">
        <f t="shared" si="5"/>
        <v>40379.31360668</v>
      </c>
      <c r="E30" s="18">
        <f t="shared" si="5"/>
        <v>29576.86961922</v>
      </c>
      <c r="F30" s="18">
        <f t="shared" si="5"/>
        <v>10636.539470123986</v>
      </c>
      <c r="G30" s="18">
        <f t="shared" si="5"/>
        <v>26805.617440190003</v>
      </c>
      <c r="H30" s="18">
        <f t="shared" si="5"/>
        <v>74920.522687273988</v>
      </c>
      <c r="I30" s="18">
        <f t="shared" si="5"/>
        <v>43192.984549249988</v>
      </c>
      <c r="J30" s="18">
        <f t="shared" si="5"/>
        <v>30382.288429920016</v>
      </c>
      <c r="K30" s="18">
        <f t="shared" si="5"/>
        <v>12253.126908568265</v>
      </c>
      <c r="L30" s="18">
        <f t="shared" si="5"/>
        <v>29788.521431079997</v>
      </c>
      <c r="M30" s="18">
        <f t="shared" si="5"/>
        <v>80927.793960678289</v>
      </c>
      <c r="N30" s="18">
        <f t="shared" si="5"/>
        <v>132767.81386109133</v>
      </c>
    </row>
    <row r="31" spans="2:14" ht="14.1" customHeight="1">
      <c r="B31" s="174" t="str">
        <f>IF(Indice_index!$Z$1=1,"Despesa corrente","Current expenditure")</f>
        <v>Despesa corrente</v>
      </c>
      <c r="C31" s="134">
        <f t="shared" ref="C31:N31" si="6">C32+C36+C37+C38+C41+C42+C43</f>
        <v>110350.59166081203</v>
      </c>
      <c r="D31" s="134">
        <f t="shared" si="6"/>
        <v>43340.865306269996</v>
      </c>
      <c r="E31" s="134">
        <f t="shared" si="6"/>
        <v>24544.705139839996</v>
      </c>
      <c r="F31" s="134">
        <f t="shared" si="6"/>
        <v>8118.5349225159616</v>
      </c>
      <c r="G31" s="134">
        <f t="shared" si="6"/>
        <v>23377.647990669997</v>
      </c>
      <c r="H31" s="134">
        <f t="shared" si="6"/>
        <v>68820.82260620594</v>
      </c>
      <c r="I31" s="134">
        <f t="shared" si="6"/>
        <v>45578.113395120003</v>
      </c>
      <c r="J31" s="134">
        <f t="shared" si="6"/>
        <v>25463.02521537002</v>
      </c>
      <c r="K31" s="134">
        <f t="shared" si="6"/>
        <v>8962.7757516095535</v>
      </c>
      <c r="L31" s="134">
        <f t="shared" si="6"/>
        <v>25304.160641129991</v>
      </c>
      <c r="M31" s="134">
        <f t="shared" si="6"/>
        <v>72879.527451679562</v>
      </c>
      <c r="N31" s="134">
        <f t="shared" si="6"/>
        <v>118123.48490804846</v>
      </c>
    </row>
    <row r="32" spans="2:14" ht="14.1" customHeight="1">
      <c r="B32" s="125" t="str">
        <f>IF(Indice_index!$Z$1=1,"Despesas com o pessoal","Compensation of employees")</f>
        <v>Despesas com o pessoal</v>
      </c>
      <c r="C32" s="4">
        <f>C33+C34+C35</f>
        <v>28242.538317904186</v>
      </c>
      <c r="D32" s="4">
        <f t="shared" ref="D32:N32" si="7">D33+D34+D35</f>
        <v>7228.3156010899966</v>
      </c>
      <c r="E32" s="4">
        <f t="shared" si="7"/>
        <v>6703.8893464599969</v>
      </c>
      <c r="F32" s="4">
        <f t="shared" si="7"/>
        <v>3816.2462139060212</v>
      </c>
      <c r="G32" s="4">
        <f t="shared" si="7"/>
        <v>220.59621822</v>
      </c>
      <c r="H32" s="4">
        <f t="shared" si="7"/>
        <v>17969.047379676012</v>
      </c>
      <c r="I32" s="4">
        <f t="shared" si="7"/>
        <v>7782.0486068099999</v>
      </c>
      <c r="J32" s="4">
        <f t="shared" si="7"/>
        <v>7500.5903679400008</v>
      </c>
      <c r="K32" s="4">
        <f t="shared" si="7"/>
        <v>4132.7631689600676</v>
      </c>
      <c r="L32" s="4">
        <f t="shared" si="7"/>
        <v>229.13529289000002</v>
      </c>
      <c r="M32" s="4">
        <f t="shared" si="7"/>
        <v>19644.537436600065</v>
      </c>
      <c r="N32" s="4">
        <f t="shared" si="7"/>
        <v>29731.954115004963</v>
      </c>
    </row>
    <row r="33" spans="2:14" ht="14.1" customHeight="1">
      <c r="B33" s="172" t="str">
        <f>IF(Indice_index!$Z$1=1,"Remunerações certas e permanentes","Certain and permanent wages")</f>
        <v>Remunerações certas e permanentes</v>
      </c>
      <c r="C33" s="4">
        <v>20341.372942420487</v>
      </c>
      <c r="D33" s="4">
        <v>5190.7955905699955</v>
      </c>
      <c r="E33" s="4">
        <v>4680.3697019299971</v>
      </c>
      <c r="F33" s="4">
        <v>2904.4590660768554</v>
      </c>
      <c r="G33" s="4">
        <v>177.5994417</v>
      </c>
      <c r="H33" s="4">
        <v>12953.223800276848</v>
      </c>
      <c r="I33" s="4">
        <v>5613.0831343399987</v>
      </c>
      <c r="J33" s="4">
        <v>5228.2527663399997</v>
      </c>
      <c r="K33" s="4">
        <v>3133.1827237885163</v>
      </c>
      <c r="L33" s="4">
        <v>183.43154107000001</v>
      </c>
      <c r="M33" s="4">
        <v>14157.950165538514</v>
      </c>
      <c r="N33" s="4">
        <v>21770.954569304264</v>
      </c>
    </row>
    <row r="34" spans="2:14" ht="14.1" customHeight="1">
      <c r="B34" s="172" t="str">
        <f>IF(Indice_index!$Z$1=1,"Abonos variáveis ou eventuais","Variable or contingent bonuses")</f>
        <v>Abonos variáveis ou eventuais</v>
      </c>
      <c r="C34" s="4">
        <v>2021.2944703754563</v>
      </c>
      <c r="D34" s="4">
        <v>298.85615853999997</v>
      </c>
      <c r="E34" s="4">
        <v>770.81843061000006</v>
      </c>
      <c r="F34" s="4">
        <v>207.11431390020724</v>
      </c>
      <c r="G34" s="4">
        <v>3.7836965900000004</v>
      </c>
      <c r="H34" s="4">
        <v>1280.5725996402073</v>
      </c>
      <c r="I34" s="4">
        <v>321.46680687999998</v>
      </c>
      <c r="J34" s="4">
        <v>885.56591842000034</v>
      </c>
      <c r="K34" s="4">
        <v>251.18164962446139</v>
      </c>
      <c r="L34" s="4">
        <v>4.6244453100000014</v>
      </c>
      <c r="M34" s="4">
        <v>1462.8388202344618</v>
      </c>
      <c r="N34" s="4">
        <v>2049.3718805448307</v>
      </c>
    </row>
    <row r="35" spans="2:14" ht="14.1" customHeight="1">
      <c r="B35" s="172" t="str">
        <f>IF(Indice_index!$Z$1=1,"Segurança Social","Social security")</f>
        <v>Segurança Social</v>
      </c>
      <c r="C35" s="4">
        <v>5879.8709051082442</v>
      </c>
      <c r="D35" s="4">
        <v>1738.6638519800013</v>
      </c>
      <c r="E35" s="4">
        <v>1252.7012139199994</v>
      </c>
      <c r="F35" s="4">
        <v>704.67283392895831</v>
      </c>
      <c r="G35" s="4">
        <v>39.213079929999992</v>
      </c>
      <c r="H35" s="4">
        <v>3735.2509797589582</v>
      </c>
      <c r="I35" s="4">
        <v>1847.4986655900007</v>
      </c>
      <c r="J35" s="4">
        <v>1386.7716831800005</v>
      </c>
      <c r="K35" s="4">
        <v>748.39879554708943</v>
      </c>
      <c r="L35" s="4">
        <v>41.079306510000016</v>
      </c>
      <c r="M35" s="4">
        <v>4023.7484508270904</v>
      </c>
      <c r="N35" s="4">
        <v>5911.6276651558701</v>
      </c>
    </row>
    <row r="36" spans="2:14" ht="14.1" customHeight="1">
      <c r="B36" s="125" t="str">
        <f>IF(Indice_index!$Z$1=1,"Aquisição de bens e serviços","Purchase of goods and services")</f>
        <v>Aquisição de bens e serviços</v>
      </c>
      <c r="C36" s="4">
        <v>18664.306365835215</v>
      </c>
      <c r="D36" s="4">
        <v>997.05222932000004</v>
      </c>
      <c r="E36" s="4">
        <v>6673.699354899999</v>
      </c>
      <c r="F36" s="4">
        <v>2759.3011208219482</v>
      </c>
      <c r="G36" s="4">
        <v>55.757672459999995</v>
      </c>
      <c r="H36" s="4">
        <v>10485.233109521949</v>
      </c>
      <c r="I36" s="4">
        <v>828.73256174999995</v>
      </c>
      <c r="J36" s="4">
        <v>6755.1576750800159</v>
      </c>
      <c r="K36" s="4">
        <v>3031.7403209037507</v>
      </c>
      <c r="L36" s="4">
        <v>59.576565670000008</v>
      </c>
      <c r="M36" s="4">
        <v>10674.665786183765</v>
      </c>
      <c r="N36" s="4">
        <v>20512.73379689678</v>
      </c>
    </row>
    <row r="37" spans="2:14" ht="14.1" customHeight="1">
      <c r="B37" s="125" t="str">
        <f>IF(Indice_index!$Z$1=1,"Juros e outros encargos","Interests and other charges")</f>
        <v>Juros e outros encargos</v>
      </c>
      <c r="C37" s="4">
        <v>6971.3209985257045</v>
      </c>
      <c r="D37" s="4">
        <v>4739.4717212200003</v>
      </c>
      <c r="E37" s="4">
        <v>154.53212822999998</v>
      </c>
      <c r="F37" s="4">
        <v>206.5141073951487</v>
      </c>
      <c r="G37" s="4">
        <v>4.9286621899999998</v>
      </c>
      <c r="H37" s="4">
        <v>4784.2596296251486</v>
      </c>
      <c r="I37" s="4">
        <v>4780.3863601500007</v>
      </c>
      <c r="J37" s="4">
        <v>79.288715030000006</v>
      </c>
      <c r="K37" s="4">
        <v>194.90129564429881</v>
      </c>
      <c r="L37" s="4">
        <v>4.665571149999999</v>
      </c>
      <c r="M37" s="4">
        <v>4727.6876050942992</v>
      </c>
      <c r="N37" s="4">
        <v>7171.7886568006325</v>
      </c>
    </row>
    <row r="38" spans="2:14" ht="14.1" customHeight="1">
      <c r="B38" s="125" t="str">
        <f>IF(Indice_index!$Z$1=1,"Transferências correntes","Current transfers")</f>
        <v>Transferências correntes</v>
      </c>
      <c r="C38" s="4">
        <f>+C39+C40</f>
        <v>53303.848470004203</v>
      </c>
      <c r="D38" s="4">
        <f t="shared" ref="D38:N38" si="8">+D39+D40</f>
        <v>30161.568371600002</v>
      </c>
      <c r="E38" s="4">
        <f t="shared" si="8"/>
        <v>10235.913687019998</v>
      </c>
      <c r="F38" s="4">
        <f t="shared" si="8"/>
        <v>779.8213239082861</v>
      </c>
      <c r="G38" s="4">
        <f t="shared" si="8"/>
        <v>22708.940762739996</v>
      </c>
      <c r="H38" s="4">
        <f t="shared" si="8"/>
        <v>33695.467908538274</v>
      </c>
      <c r="I38" s="4">
        <f t="shared" si="8"/>
        <v>31819.749891420004</v>
      </c>
      <c r="J38" s="4">
        <f t="shared" si="8"/>
        <v>10465.279783370002</v>
      </c>
      <c r="K38" s="4">
        <f t="shared" si="8"/>
        <v>812.49364736638915</v>
      </c>
      <c r="L38" s="4">
        <f t="shared" si="8"/>
        <v>24403.135947119994</v>
      </c>
      <c r="M38" s="4">
        <f t="shared" si="8"/>
        <v>35369.161869916381</v>
      </c>
      <c r="N38" s="4">
        <f t="shared" si="8"/>
        <v>55448.707097570077</v>
      </c>
    </row>
    <row r="39" spans="2:14" ht="14.1" customHeight="1">
      <c r="B39" s="172" t="str">
        <f>IF(Indice_index!$Z$1=1,"Administrações Públicas","General Government subsectors")</f>
        <v>Administrações Públicas</v>
      </c>
      <c r="C39" s="4">
        <v>0</v>
      </c>
      <c r="D39" s="4">
        <v>27600.29139441</v>
      </c>
      <c r="E39" s="4">
        <v>1061.0140063500003</v>
      </c>
      <c r="F39" s="4">
        <v>98.134650659999991</v>
      </c>
      <c r="G39" s="4">
        <v>1431.33618531</v>
      </c>
      <c r="H39" s="4">
        <v>0</v>
      </c>
      <c r="I39" s="4">
        <v>29418.452711960006</v>
      </c>
      <c r="J39" s="4">
        <v>1087.01498354</v>
      </c>
      <c r="K39" s="4">
        <v>89.580743259999977</v>
      </c>
      <c r="L39" s="4">
        <v>1536.4489606000002</v>
      </c>
      <c r="M39" s="4">
        <v>0</v>
      </c>
      <c r="N39" s="4">
        <v>0</v>
      </c>
    </row>
    <row r="40" spans="2:14" ht="14.1" customHeight="1">
      <c r="B40" s="172" t="str">
        <f>IF(Indice_index!$Z$1=1,"Outras","Others")</f>
        <v>Outras</v>
      </c>
      <c r="C40" s="4">
        <v>53303.848470004203</v>
      </c>
      <c r="D40" s="4">
        <v>2561.2769771900007</v>
      </c>
      <c r="E40" s="4">
        <v>9174.8996806699979</v>
      </c>
      <c r="F40" s="4">
        <v>681.68667324828607</v>
      </c>
      <c r="G40" s="4">
        <v>21277.604577429996</v>
      </c>
      <c r="H40" s="4">
        <v>33695.467908538274</v>
      </c>
      <c r="I40" s="4">
        <v>2401.2971794599998</v>
      </c>
      <c r="J40" s="4">
        <v>9378.2647998300017</v>
      </c>
      <c r="K40" s="4">
        <v>722.91290410638919</v>
      </c>
      <c r="L40" s="4">
        <v>22866.686986519995</v>
      </c>
      <c r="M40" s="4">
        <v>35369.161869916381</v>
      </c>
      <c r="N40" s="4">
        <v>55448.707097570077</v>
      </c>
    </row>
    <row r="41" spans="2:14" ht="14.1" customHeight="1">
      <c r="B41" s="125" t="str">
        <f>IF(Indice_index!$Z$1=1,"Subsídios","Subsidies")</f>
        <v>Subsídios</v>
      </c>
      <c r="C41" s="4">
        <v>2052.1373090053116</v>
      </c>
      <c r="D41" s="4">
        <v>132.88446430000002</v>
      </c>
      <c r="E41" s="4">
        <v>471.21416363999998</v>
      </c>
      <c r="F41" s="4">
        <v>430.07889107606275</v>
      </c>
      <c r="G41" s="4">
        <v>380.84638908000005</v>
      </c>
      <c r="H41" s="4">
        <v>1140.4547729060628</v>
      </c>
      <c r="I41" s="4">
        <v>246.82358617000003</v>
      </c>
      <c r="J41" s="4">
        <v>433.43358189999998</v>
      </c>
      <c r="K41" s="4">
        <v>664.27944432291076</v>
      </c>
      <c r="L41" s="4">
        <v>601.19634489999999</v>
      </c>
      <c r="M41" s="4">
        <v>1569.5517513129107</v>
      </c>
      <c r="N41" s="4">
        <v>2635.0903152532596</v>
      </c>
    </row>
    <row r="42" spans="2:14" ht="14.1" customHeight="1">
      <c r="B42" s="125" t="str">
        <f>IF(Indice_index!$Z$1=1,"Outras despesas correntes","Other current expenditures")</f>
        <v>Outras despesas correntes</v>
      </c>
      <c r="C42" s="4">
        <v>921.3750938273929</v>
      </c>
      <c r="D42" s="4">
        <v>81.485000839999984</v>
      </c>
      <c r="E42" s="4">
        <v>305.42457707000023</v>
      </c>
      <c r="F42" s="4">
        <v>126.57110392849427</v>
      </c>
      <c r="G42" s="4">
        <v>6.5782859800000004</v>
      </c>
      <c r="H42" s="4">
        <v>520.05896781849447</v>
      </c>
      <c r="I42" s="4">
        <v>68.936987090000002</v>
      </c>
      <c r="J42" s="4">
        <v>197.00951918000007</v>
      </c>
      <c r="K42" s="4">
        <v>126.57888087213769</v>
      </c>
      <c r="L42" s="4">
        <v>6.4509193999999983</v>
      </c>
      <c r="M42" s="4">
        <v>398.97630654213776</v>
      </c>
      <c r="N42" s="4">
        <v>2622.1722275227471</v>
      </c>
    </row>
    <row r="43" spans="2:14" ht="14.1" customHeight="1">
      <c r="B43" s="125" t="str">
        <f>IF(Indice_index!$Z$1=1,"Diferenças de consolidação","Consolidation differences")</f>
        <v>Diferenças de consolidação</v>
      </c>
      <c r="C43" s="4">
        <v>195.06510571001445</v>
      </c>
      <c r="D43" s="4">
        <v>8.7917900000000021E-2</v>
      </c>
      <c r="E43" s="4">
        <v>3.1882520000000004E-2</v>
      </c>
      <c r="F43" s="4">
        <v>2.1614799999999999E-3</v>
      </c>
      <c r="G43" s="4">
        <v>0</v>
      </c>
      <c r="H43" s="4">
        <v>226.30083812000126</v>
      </c>
      <c r="I43" s="4">
        <v>51.435401729999974</v>
      </c>
      <c r="J43" s="4">
        <v>32.265572870000071</v>
      </c>
      <c r="K43" s="4">
        <v>1.899354E-2</v>
      </c>
      <c r="L43" s="4">
        <v>0</v>
      </c>
      <c r="M43" s="4">
        <v>494.9466960299963</v>
      </c>
      <c r="N43" s="4">
        <v>1.0386989999985969</v>
      </c>
    </row>
    <row r="44" spans="2:14" ht="14.1" customHeight="1">
      <c r="B44" s="174" t="str">
        <f>IF(Indice_index!$Z$1=1,"Despesa de capital","Capital expenditure")</f>
        <v>Despesa de capital</v>
      </c>
      <c r="C44" s="134">
        <f t="shared" ref="C44:N44" si="9">C45+C46+C49+C50</f>
        <v>10231.467005180524</v>
      </c>
      <c r="D44" s="134">
        <f t="shared" si="9"/>
        <v>2252.9141347099999</v>
      </c>
      <c r="E44" s="134">
        <f t="shared" si="9"/>
        <v>3164.6992822899997</v>
      </c>
      <c r="F44" s="134">
        <f t="shared" si="9"/>
        <v>1986.6843863478125</v>
      </c>
      <c r="G44" s="134">
        <f t="shared" si="9"/>
        <v>88.23559333999998</v>
      </c>
      <c r="H44" s="134">
        <f t="shared" si="9"/>
        <v>5575.6467008378131</v>
      </c>
      <c r="I44" s="134">
        <f t="shared" si="9"/>
        <v>2316.1310727300006</v>
      </c>
      <c r="J44" s="134">
        <f t="shared" si="9"/>
        <v>3423.7488496699993</v>
      </c>
      <c r="K44" s="134">
        <f t="shared" si="9"/>
        <v>2481.8493207678725</v>
      </c>
      <c r="L44" s="134">
        <f t="shared" si="9"/>
        <v>75.959954850000003</v>
      </c>
      <c r="M44" s="134">
        <f t="shared" si="9"/>
        <v>6037.1093914278727</v>
      </c>
      <c r="N44" s="134">
        <f t="shared" si="9"/>
        <v>16333.69008611262</v>
      </c>
    </row>
    <row r="45" spans="2:14" ht="14.1" customHeight="1">
      <c r="B45" s="125" t="str">
        <f>IF(Indice_index!$Z$1=1,"Investimentos","Investments")</f>
        <v>Investimentos</v>
      </c>
      <c r="C45" s="4">
        <v>7771.0202082423066</v>
      </c>
      <c r="D45" s="4">
        <v>307.6913610200001</v>
      </c>
      <c r="E45" s="4">
        <v>1972.9734882399998</v>
      </c>
      <c r="F45" s="4">
        <v>1671.4253574781358</v>
      </c>
      <c r="G45" s="4">
        <v>29.785424299999995</v>
      </c>
      <c r="H45" s="4">
        <v>3981.8756310381359</v>
      </c>
      <c r="I45" s="4">
        <v>441.84289848999993</v>
      </c>
      <c r="J45" s="4">
        <v>2038.9562403899999</v>
      </c>
      <c r="K45" s="4">
        <v>2170.427192655719</v>
      </c>
      <c r="L45" s="4">
        <v>37.782460779999994</v>
      </c>
      <c r="M45" s="4">
        <v>4689.0087923157189</v>
      </c>
      <c r="N45" s="4">
        <v>12703.985425037037</v>
      </c>
    </row>
    <row r="46" spans="2:14" ht="14.1" customHeight="1">
      <c r="B46" s="125" t="str">
        <f>IF(Indice_index!$Z$1=1,"Transferências de capital","Capital transfers")</f>
        <v>Transferências de capital</v>
      </c>
      <c r="C46" s="4">
        <f>+C47+C48</f>
        <v>1881.0401965864442</v>
      </c>
      <c r="D46" s="4">
        <f t="shared" ref="D46:N46" si="10">+D47+D48</f>
        <v>1942.1923994700001</v>
      </c>
      <c r="E46" s="4">
        <f t="shared" si="10"/>
        <v>1020.93311632</v>
      </c>
      <c r="F46" s="4">
        <f t="shared" si="10"/>
        <v>296.02160590967662</v>
      </c>
      <c r="G46" s="4">
        <f t="shared" si="10"/>
        <v>58.450169039999992</v>
      </c>
      <c r="H46" s="4">
        <f t="shared" si="10"/>
        <v>1171.0532516896765</v>
      </c>
      <c r="I46" s="4">
        <f t="shared" si="10"/>
        <v>1873.2740188400003</v>
      </c>
      <c r="J46" s="4">
        <f t="shared" si="10"/>
        <v>1253.8258004499999</v>
      </c>
      <c r="K46" s="4">
        <f t="shared" si="10"/>
        <v>299.39435406972154</v>
      </c>
      <c r="L46" s="4">
        <f t="shared" si="10"/>
        <v>38.177494070000002</v>
      </c>
      <c r="M46" s="4">
        <f t="shared" si="10"/>
        <v>1204.0918608397214</v>
      </c>
      <c r="N46" s="4">
        <f t="shared" si="10"/>
        <v>3373.8016367813848</v>
      </c>
    </row>
    <row r="47" spans="2:14" ht="14.1" customHeight="1">
      <c r="B47" s="172" t="str">
        <f>IF(Indice_index!$Z$1=1,"Administrações Públicas","General Government subsectors")</f>
        <v>Administrações Públicas</v>
      </c>
      <c r="C47" s="4">
        <v>0</v>
      </c>
      <c r="D47" s="4">
        <v>1910.72415404</v>
      </c>
      <c r="E47" s="4">
        <v>228.58808794000001</v>
      </c>
      <c r="F47" s="4">
        <v>7.2317970699999998</v>
      </c>
      <c r="G47" s="4">
        <v>0</v>
      </c>
      <c r="H47" s="4">
        <v>0</v>
      </c>
      <c r="I47" s="4">
        <v>1862.0515729800002</v>
      </c>
      <c r="J47" s="4">
        <v>394.06619692999999</v>
      </c>
      <c r="K47" s="4">
        <v>4.4620366800000006</v>
      </c>
      <c r="L47" s="4">
        <v>0</v>
      </c>
      <c r="M47" s="4">
        <v>0</v>
      </c>
      <c r="N47" s="4">
        <v>0</v>
      </c>
    </row>
    <row r="48" spans="2:14" ht="14.1" customHeight="1">
      <c r="B48" s="172" t="str">
        <f>IF(Indice_index!$Z$1=1,"Outras","Others")</f>
        <v>Outras</v>
      </c>
      <c r="C48" s="4">
        <v>1881.0401965864442</v>
      </c>
      <c r="D48" s="4">
        <v>31.46824543</v>
      </c>
      <c r="E48" s="4">
        <v>792.34502837999992</v>
      </c>
      <c r="F48" s="4">
        <v>288.7898088396766</v>
      </c>
      <c r="G48" s="4">
        <v>58.450169039999992</v>
      </c>
      <c r="H48" s="4">
        <v>1171.0532516896765</v>
      </c>
      <c r="I48" s="4">
        <v>11.222445859999999</v>
      </c>
      <c r="J48" s="4">
        <v>859.75960351999993</v>
      </c>
      <c r="K48" s="4">
        <v>294.93231738972156</v>
      </c>
      <c r="L48" s="4">
        <v>38.177494070000002</v>
      </c>
      <c r="M48" s="4">
        <v>1204.0918608397214</v>
      </c>
      <c r="N48" s="4">
        <v>3373.8016367813848</v>
      </c>
    </row>
    <row r="49" spans="2:14" ht="14.1" customHeight="1">
      <c r="B49" s="125" t="str">
        <f>IF(Indice_index!$Z$1=1,"Outras despesas de capital","Other capital expenditures")</f>
        <v>Outras despesas de capital</v>
      </c>
      <c r="C49" s="4">
        <v>342.15269981177261</v>
      </c>
      <c r="D49" s="4">
        <v>1.3379763</v>
      </c>
      <c r="E49" s="4">
        <v>121.15145853999999</v>
      </c>
      <c r="F49" s="4">
        <v>19.237422959999996</v>
      </c>
      <c r="G49" s="4">
        <v>0</v>
      </c>
      <c r="H49" s="4">
        <v>141.72685779999998</v>
      </c>
      <c r="I49" s="4">
        <v>1.0141553999999999</v>
      </c>
      <c r="J49" s="4">
        <v>78.921365590000008</v>
      </c>
      <c r="K49" s="4">
        <v>12.027774042432368</v>
      </c>
      <c r="L49" s="4">
        <v>0</v>
      </c>
      <c r="M49" s="4">
        <v>91.96329503243237</v>
      </c>
      <c r="N49" s="4">
        <v>255.90302429419634</v>
      </c>
    </row>
    <row r="50" spans="2:14" ht="14.1" customHeight="1">
      <c r="B50" s="125" t="str">
        <f>IF(Indice_index!$Z$1=1,"Diferenças de consolidação","Consolidation differences")</f>
        <v>Diferenças de consolidação</v>
      </c>
      <c r="C50" s="4">
        <v>237.25390054000033</v>
      </c>
      <c r="D50" s="4">
        <v>1.6923979199999977</v>
      </c>
      <c r="E50" s="4">
        <v>49.641219189999902</v>
      </c>
      <c r="F50" s="4">
        <v>0</v>
      </c>
      <c r="G50" s="4">
        <v>0</v>
      </c>
      <c r="H50" s="4">
        <v>280.99096031000016</v>
      </c>
      <c r="I50" s="4">
        <v>0</v>
      </c>
      <c r="J50" s="4">
        <v>52.04544323999977</v>
      </c>
      <c r="K50" s="4">
        <v>0</v>
      </c>
      <c r="L50" s="4">
        <v>0</v>
      </c>
      <c r="M50" s="4">
        <v>52.04544323999977</v>
      </c>
      <c r="N50" s="4">
        <v>0</v>
      </c>
    </row>
    <row r="51" spans="2:14" ht="14.1" customHeight="1">
      <c r="B51" s="17" t="str">
        <f>IF(Indice_index!$Z$1=1,"Despesa efetiva","Effective expenditure")</f>
        <v>Despesa efetiva</v>
      </c>
      <c r="C51" s="18">
        <f t="shared" ref="C51:N51" si="11">C31+C44</f>
        <v>120582.05866599256</v>
      </c>
      <c r="D51" s="18">
        <f t="shared" si="11"/>
        <v>45593.779440979997</v>
      </c>
      <c r="E51" s="18">
        <f t="shared" si="11"/>
        <v>27709.404422129996</v>
      </c>
      <c r="F51" s="18">
        <f t="shared" si="11"/>
        <v>10105.219308863774</v>
      </c>
      <c r="G51" s="18">
        <f t="shared" si="11"/>
        <v>23465.883584009996</v>
      </c>
      <c r="H51" s="18">
        <f t="shared" si="11"/>
        <v>74396.46930704375</v>
      </c>
      <c r="I51" s="18">
        <f t="shared" si="11"/>
        <v>47894.244467850003</v>
      </c>
      <c r="J51" s="18">
        <f t="shared" si="11"/>
        <v>28886.774065040019</v>
      </c>
      <c r="K51" s="18">
        <f t="shared" si="11"/>
        <v>11444.625072377426</v>
      </c>
      <c r="L51" s="18">
        <f t="shared" si="11"/>
        <v>25380.120595979992</v>
      </c>
      <c r="M51" s="18">
        <f t="shared" si="11"/>
        <v>78916.636843107437</v>
      </c>
      <c r="N51" s="18">
        <f t="shared" si="11"/>
        <v>134457.17499416106</v>
      </c>
    </row>
    <row r="52" spans="2:14" ht="14.1" customHeight="1">
      <c r="B52" s="17" t="str">
        <f>IF(Indice_index!$Z$1=1,"Saldo global","Overall balance")</f>
        <v>Saldo global</v>
      </c>
      <c r="C52" s="18">
        <f t="shared" ref="C52:N52" si="12">+C30-C51</f>
        <v>405.17828548682155</v>
      </c>
      <c r="D52" s="18">
        <f t="shared" si="12"/>
        <v>-5214.4658342999974</v>
      </c>
      <c r="E52" s="18">
        <f t="shared" si="12"/>
        <v>1867.4651970900049</v>
      </c>
      <c r="F52" s="18">
        <f t="shared" si="12"/>
        <v>531.32016126021153</v>
      </c>
      <c r="G52" s="18">
        <f t="shared" si="12"/>
        <v>3339.7338561800061</v>
      </c>
      <c r="H52" s="18">
        <f t="shared" si="12"/>
        <v>524.05338023023796</v>
      </c>
      <c r="I52" s="18">
        <f t="shared" si="12"/>
        <v>-4701.2599186000152</v>
      </c>
      <c r="J52" s="18">
        <f t="shared" si="12"/>
        <v>1495.5143648799967</v>
      </c>
      <c r="K52" s="18">
        <f t="shared" si="12"/>
        <v>808.50183619083873</v>
      </c>
      <c r="L52" s="18">
        <f t="shared" si="12"/>
        <v>4408.4008351000048</v>
      </c>
      <c r="M52" s="18">
        <f t="shared" si="12"/>
        <v>2011.1571175708523</v>
      </c>
      <c r="N52" s="18">
        <f t="shared" si="12"/>
        <v>-1689.3611330697313</v>
      </c>
    </row>
    <row r="53" spans="2:14" ht="14.1" customHeight="1">
      <c r="B53" s="125" t="str">
        <f>IF(Indice_index!$Z$1=1,"Despesa primária","Primary expenditure")</f>
        <v>Despesa primária</v>
      </c>
      <c r="C53" s="4">
        <f t="shared" ref="C53:N53" si="13">C51-C37</f>
        <v>113610.73766746686</v>
      </c>
      <c r="D53" s="4">
        <f t="shared" si="13"/>
        <v>40854.30771976</v>
      </c>
      <c r="E53" s="4">
        <f t="shared" si="13"/>
        <v>27554.872293899996</v>
      </c>
      <c r="F53" s="4">
        <f t="shared" si="13"/>
        <v>9898.7052014686251</v>
      </c>
      <c r="G53" s="4">
        <f t="shared" si="13"/>
        <v>23460.954921819997</v>
      </c>
      <c r="H53" s="4">
        <f t="shared" si="13"/>
        <v>69612.209677418607</v>
      </c>
      <c r="I53" s="4">
        <f t="shared" si="13"/>
        <v>43113.858107700005</v>
      </c>
      <c r="J53" s="4">
        <f t="shared" si="13"/>
        <v>28807.485350010018</v>
      </c>
      <c r="K53" s="4">
        <f t="shared" si="13"/>
        <v>11249.723776733128</v>
      </c>
      <c r="L53" s="4">
        <f t="shared" si="13"/>
        <v>25375.455024829993</v>
      </c>
      <c r="M53" s="4">
        <f t="shared" si="13"/>
        <v>74188.949238013141</v>
      </c>
      <c r="N53" s="4">
        <f t="shared" si="13"/>
        <v>127285.38633736043</v>
      </c>
    </row>
    <row r="54" spans="2:14" ht="14.1" customHeight="1">
      <c r="B54" s="125" t="str">
        <f>IF(Indice_index!$Z$1=1,"Saldo corrente","Current balance")</f>
        <v>Saldo corrente</v>
      </c>
      <c r="C54" s="4">
        <f t="shared" ref="C54:N54" si="14">C13-C31</f>
        <v>6987.0164853537426</v>
      </c>
      <c r="D54" s="4">
        <f t="shared" si="14"/>
        <v>-3215.1272157099957</v>
      </c>
      <c r="E54" s="4">
        <f t="shared" si="14"/>
        <v>2423.6455217500043</v>
      </c>
      <c r="F54" s="4">
        <f t="shared" si="14"/>
        <v>1168.1940551535581</v>
      </c>
      <c r="G54" s="4">
        <f t="shared" si="14"/>
        <v>3427.3258083500041</v>
      </c>
      <c r="H54" s="4">
        <f t="shared" si="14"/>
        <v>3804.038169543579</v>
      </c>
      <c r="I54" s="4">
        <f t="shared" si="14"/>
        <v>-2550.7424907300156</v>
      </c>
      <c r="J54" s="4">
        <f t="shared" si="14"/>
        <v>2125.8692593299966</v>
      </c>
      <c r="K54" s="4">
        <f t="shared" si="14"/>
        <v>1597.9145814783515</v>
      </c>
      <c r="L54" s="4">
        <f t="shared" si="14"/>
        <v>4484.1481290300071</v>
      </c>
      <c r="M54" s="4">
        <f t="shared" si="14"/>
        <v>5657.1894791083614</v>
      </c>
      <c r="N54" s="4">
        <f t="shared" si="14"/>
        <v>7340.4132438906963</v>
      </c>
    </row>
    <row r="55" spans="2:14" ht="14.1" customHeight="1">
      <c r="B55" s="125" t="str">
        <f>IF(Indice_index!$Z$1=1,"Saldo de capital","Capital balance")</f>
        <v>Saldo de capital</v>
      </c>
      <c r="C55" s="4">
        <f t="shared" ref="C55:N55" si="15">C23-C44</f>
        <v>-6581.8381998669083</v>
      </c>
      <c r="D55" s="4">
        <f t="shared" si="15"/>
        <v>-1999.3386185899999</v>
      </c>
      <c r="E55" s="4">
        <f t="shared" si="15"/>
        <v>-556.18032465999931</v>
      </c>
      <c r="F55" s="4">
        <f t="shared" si="15"/>
        <v>-636.8738938933468</v>
      </c>
      <c r="G55" s="4">
        <f t="shared" si="15"/>
        <v>-87.591952169999985</v>
      </c>
      <c r="H55" s="4">
        <f t="shared" si="15"/>
        <v>-3279.9847893133474</v>
      </c>
      <c r="I55" s="4">
        <f t="shared" si="15"/>
        <v>-2150.5174278700006</v>
      </c>
      <c r="J55" s="4">
        <f t="shared" si="15"/>
        <v>-630.35489444999894</v>
      </c>
      <c r="K55" s="4">
        <f t="shared" si="15"/>
        <v>-789.41274528751183</v>
      </c>
      <c r="L55" s="4">
        <f t="shared" si="15"/>
        <v>-75.747293929999998</v>
      </c>
      <c r="M55" s="4">
        <f t="shared" si="15"/>
        <v>-3646.0323615375119</v>
      </c>
      <c r="N55" s="4">
        <f t="shared" si="15"/>
        <v>-9029.7743769604458</v>
      </c>
    </row>
    <row r="56" spans="2:14" ht="14.1" customHeight="1">
      <c r="B56" s="173" t="str">
        <f>IF(Indice_index!$Z$1=1,"Saldo primário","Primary balance")</f>
        <v>Saldo primário</v>
      </c>
      <c r="C56" s="19">
        <f t="shared" ref="C56:N56" si="16">C30-C53</f>
        <v>7376.4992840125196</v>
      </c>
      <c r="D56" s="19">
        <f t="shared" si="16"/>
        <v>-474.99411307999981</v>
      </c>
      <c r="E56" s="19">
        <f t="shared" si="16"/>
        <v>2021.9973253200042</v>
      </c>
      <c r="F56" s="19">
        <f t="shared" si="16"/>
        <v>737.83426865536057</v>
      </c>
      <c r="G56" s="19">
        <f t="shared" si="16"/>
        <v>3344.6625183700053</v>
      </c>
      <c r="H56" s="19">
        <f t="shared" si="16"/>
        <v>5308.3130098553811</v>
      </c>
      <c r="I56" s="19">
        <f t="shared" si="16"/>
        <v>79.126441549982701</v>
      </c>
      <c r="J56" s="19">
        <f t="shared" si="16"/>
        <v>1574.8030799099979</v>
      </c>
      <c r="K56" s="19">
        <f t="shared" si="16"/>
        <v>1003.4031318351372</v>
      </c>
      <c r="L56" s="19">
        <f t="shared" si="16"/>
        <v>4413.0664062500036</v>
      </c>
      <c r="M56" s="19">
        <f t="shared" si="16"/>
        <v>6738.8447226651479</v>
      </c>
      <c r="N56" s="19">
        <f t="shared" si="16"/>
        <v>5482.4275237309048</v>
      </c>
    </row>
    <row r="57" spans="2:14" ht="14.1" customHeight="1">
      <c r="B57" s="9" t="str">
        <f>IF(Indice_index!$Z$1=1,"Notas:","Notes:")</f>
        <v>Notas:</v>
      </c>
      <c r="C57" s="9"/>
      <c r="D57" s="9"/>
      <c r="E57" s="9"/>
      <c r="F57" s="9"/>
      <c r="G57" s="9"/>
      <c r="H57" s="9"/>
      <c r="I57" s="9"/>
      <c r="J57" s="9"/>
      <c r="K57" s="9"/>
      <c r="L57" s="9"/>
      <c r="M57" s="9"/>
      <c r="N57" s="9"/>
    </row>
    <row r="58" spans="2:14" ht="24" customHeight="1">
      <c r="B58" s="372" t="str">
        <f>IF(Indice_index!$Z$1=1,"A execução das Administrações Regional e Local acima identificada difere da soma da execução dos setores (14 - Adm R e 15 - Adm Loc) devido à inclusão de uma estimativa das freguesias na conta consolidada.","The Regional and Local Government data identified in the table above differs from the sum of each sector (14 - Adm R and 15 - Adm Loc) due to the inclusion in the consolidated account of a budget execution estimate for parishes.")</f>
        <v>A execução das Administrações Regional e Local acima identificada difere da soma da execução dos setores (14 - Adm R e 15 - Adm Loc) devido à inclusão de uma estimativa das freguesias na conta consolidada.</v>
      </c>
      <c r="C58" s="372"/>
      <c r="D58" s="372"/>
      <c r="E58" s="372"/>
      <c r="F58" s="372"/>
      <c r="G58" s="372"/>
      <c r="H58" s="372"/>
      <c r="I58" s="372"/>
      <c r="J58" s="372"/>
      <c r="K58" s="372"/>
      <c r="L58" s="372"/>
      <c r="M58" s="372"/>
      <c r="N58" s="372"/>
    </row>
    <row r="59" spans="2:14" ht="15" customHeight="1">
      <c r="B59" s="381" t="str">
        <f>IF(Indice_index!$Z$1=1,"Fonte: Entidade Orçamental.","Source: Budgetary Entity.")</f>
        <v>Fonte: Entidade Orçamental.</v>
      </c>
      <c r="C59" s="381"/>
      <c r="D59" s="381"/>
      <c r="E59" s="381"/>
      <c r="F59" s="381"/>
      <c r="G59" s="381"/>
      <c r="H59" s="381"/>
      <c r="I59" s="381"/>
      <c r="J59" s="381"/>
      <c r="K59" s="381"/>
      <c r="L59" s="381"/>
      <c r="M59" s="381"/>
      <c r="N59" s="381"/>
    </row>
    <row r="60" spans="2:14" ht="24" customHeight="1">
      <c r="B60" s="382"/>
      <c r="C60" s="382"/>
      <c r="D60" s="382"/>
      <c r="E60" s="382"/>
      <c r="F60" s="382"/>
      <c r="G60" s="382"/>
      <c r="H60" s="382"/>
      <c r="I60" s="382"/>
      <c r="J60" s="382"/>
      <c r="K60" s="382"/>
      <c r="L60" s="382"/>
      <c r="M60" s="382"/>
      <c r="N60" s="382"/>
    </row>
    <row r="61" spans="2:14" ht="15">
      <c r="B61" s="355" t="str">
        <f>+'3 - Conta AC + SS'!B9</f>
        <v>Período: janeiro a agosto</v>
      </c>
      <c r="C61" s="355"/>
      <c r="D61" s="3"/>
      <c r="E61" s="3"/>
      <c r="F61" s="3"/>
      <c r="G61" s="3"/>
      <c r="H61" s="3"/>
      <c r="I61" s="3"/>
      <c r="J61" s="3"/>
      <c r="K61" s="3"/>
      <c r="L61" s="3"/>
      <c r="M61" s="3"/>
      <c r="N61" s="3"/>
    </row>
    <row r="62" spans="2:14" ht="16.350000000000001" customHeight="1">
      <c r="B62" s="373"/>
      <c r="C62" s="374"/>
      <c r="D62" s="369" t="str">
        <f>IF(Indice_index!$Z$1=1,"Variação Homóloga Absoluta","YOY Variation")</f>
        <v>Variação Homóloga Absoluta</v>
      </c>
      <c r="E62" s="370"/>
      <c r="F62" s="370"/>
      <c r="G62" s="370"/>
      <c r="H62" s="371"/>
      <c r="I62" s="369" t="str">
        <f>IF(Indice_index!$Z$1=1,"Variação Homóloga Relativa (%)","Relative YOY Variation")</f>
        <v>Variação Homóloga Relativa (%)</v>
      </c>
      <c r="J62" s="370"/>
      <c r="K62" s="370"/>
      <c r="L62" s="370"/>
      <c r="M62" s="371"/>
      <c r="N62" s="21"/>
    </row>
    <row r="63" spans="2:14" ht="36" customHeight="1">
      <c r="B63" s="373"/>
      <c r="C63" s="374"/>
      <c r="D63" s="22" t="str">
        <f>IF(Indice_index!$Z$1=1,"Estado","State")</f>
        <v>Estado</v>
      </c>
      <c r="E63" s="22" t="str">
        <f>IF(Indice_index!$Z$1=1,"Serviços e Fundos Autónomos","Autonomous Funds and Services")</f>
        <v>Serviços e Fundos Autónomos</v>
      </c>
      <c r="F63" s="22" t="str">
        <f>IF(Indice_index!$Z$1=1,"Adm. Local e Regional","Local and Regional Government")</f>
        <v>Adm. Local e Regional</v>
      </c>
      <c r="G63" s="22" t="str">
        <f>IF(Indice_index!$Z$1=1,"Segurança Social","Social Security")</f>
        <v>Segurança Social</v>
      </c>
      <c r="H63" s="22" t="str">
        <f>IF(Indice_index!$Z$1=1,"Adm. Públicas","General Government")</f>
        <v>Adm. Públicas</v>
      </c>
      <c r="I63" s="22" t="str">
        <f>IF(Indice_index!$Z$1=1,"Estado","State")</f>
        <v>Estado</v>
      </c>
      <c r="J63" s="22" t="str">
        <f>IF(Indice_index!$Z$1=1,"Serviços e Fundos Autónomos","Autonomous Funds and Services")</f>
        <v>Serviços e Fundos Autónomos</v>
      </c>
      <c r="K63" s="22" t="str">
        <f>IF(Indice_index!$Z$1=1,"Adm. Local e Regional","Local and Regional Government")</f>
        <v>Adm. Local e Regional</v>
      </c>
      <c r="L63" s="22" t="str">
        <f>IF(Indice_index!$Z$1=1,"Segurança Social","Social Security")</f>
        <v>Segurança Social</v>
      </c>
      <c r="M63" s="22" t="str">
        <f>IF(Indice_index!$Z$1=1,"Adm. Públicas","General Government")</f>
        <v>Adm. Públicas</v>
      </c>
      <c r="N63" s="21"/>
    </row>
    <row r="64" spans="2:14" ht="14.1" customHeight="1">
      <c r="B64" s="363" t="str">
        <f>IF(Indice_index!$Z$1=1,"Receita corrente","Current revenue")</f>
        <v>Receita corrente</v>
      </c>
      <c r="C64" s="364"/>
      <c r="D64" s="134">
        <f t="shared" ref="D64:H79" si="17">I13-D13</f>
        <v>2901.6328138299868</v>
      </c>
      <c r="E64" s="134">
        <f t="shared" si="17"/>
        <v>620.54381311001634</v>
      </c>
      <c r="F64" s="134">
        <f t="shared" si="17"/>
        <v>1273.9613554183852</v>
      </c>
      <c r="G64" s="134">
        <f t="shared" si="17"/>
        <v>2983.3349711399969</v>
      </c>
      <c r="H64" s="134">
        <f t="shared" si="17"/>
        <v>5911.8561550384038</v>
      </c>
      <c r="I64" s="134">
        <f t="shared" ref="I64:M72" si="18">IF(IFERROR((I13-D13)/D13*100,"")&gt;500,"-",IFERROR((I13-D13)/D13*100,""))</f>
        <v>7.2313506290682454</v>
      </c>
      <c r="J64" s="134">
        <f t="shared" si="18"/>
        <v>2.3010076548501477</v>
      </c>
      <c r="K64" s="134">
        <f t="shared" si="18"/>
        <v>13.718084790475737</v>
      </c>
      <c r="L64" s="134">
        <f t="shared" si="18"/>
        <v>11.129781336511019</v>
      </c>
      <c r="M64" s="134">
        <f t="shared" si="18"/>
        <v>8.1402650440776583</v>
      </c>
      <c r="N64" s="159"/>
    </row>
    <row r="65" spans="2:14" ht="14.1" customHeight="1">
      <c r="B65" s="357" t="str">
        <f>IF(Indice_index!$Z$1=1,"Receita Fiscal","Tax")</f>
        <v>Receita Fiscal</v>
      </c>
      <c r="C65" s="358"/>
      <c r="D65" s="4">
        <f t="shared" si="17"/>
        <v>3164.7367356699906</v>
      </c>
      <c r="E65" s="4">
        <f t="shared" si="17"/>
        <v>-19.133932050000112</v>
      </c>
      <c r="F65" s="4">
        <f t="shared" si="17"/>
        <v>549.06498960581575</v>
      </c>
      <c r="G65" s="4">
        <f t="shared" si="17"/>
        <v>-0.26305144999997765</v>
      </c>
      <c r="H65" s="4">
        <f t="shared" si="17"/>
        <v>3694.4047417757974</v>
      </c>
      <c r="I65" s="4">
        <f t="shared" si="18"/>
        <v>8.6838083012654099</v>
      </c>
      <c r="J65" s="4">
        <f t="shared" si="18"/>
        <v>-3.5819452662542544</v>
      </c>
      <c r="K65" s="4">
        <f t="shared" si="18"/>
        <v>15.315380597417191</v>
      </c>
      <c r="L65" s="4">
        <f t="shared" si="18"/>
        <v>-0.17106710672095862</v>
      </c>
      <c r="M65" s="4">
        <f t="shared" si="18"/>
        <v>9.0733460084512405</v>
      </c>
      <c r="N65" s="21"/>
    </row>
    <row r="66" spans="2:14" ht="14.1" customHeight="1">
      <c r="B66" s="359" t="str">
        <f>IF(Indice_index!$Z$1=1,"Impostos diretos","Direct taxes")</f>
        <v>Impostos diretos</v>
      </c>
      <c r="C66" s="360"/>
      <c r="D66" s="4">
        <f t="shared" si="17"/>
        <v>1403.2307543499919</v>
      </c>
      <c r="E66" s="4">
        <f t="shared" si="17"/>
        <v>0.40492279999999997</v>
      </c>
      <c r="F66" s="4">
        <f t="shared" si="17"/>
        <v>514.47681214027716</v>
      </c>
      <c r="G66" s="4">
        <f t="shared" si="17"/>
        <v>0</v>
      </c>
      <c r="H66" s="4">
        <f t="shared" si="17"/>
        <v>1918.1124892902699</v>
      </c>
      <c r="I66" s="4">
        <f t="shared" si="18"/>
        <v>8.1562535264041855</v>
      </c>
      <c r="J66" s="4" t="str">
        <f t="shared" si="18"/>
        <v>-</v>
      </c>
      <c r="K66" s="4">
        <f t="shared" si="18"/>
        <v>19.087211650520793</v>
      </c>
      <c r="L66" s="4" t="str">
        <f t="shared" si="18"/>
        <v>-</v>
      </c>
      <c r="M66" s="4">
        <f t="shared" si="18"/>
        <v>9.6388749584526465</v>
      </c>
      <c r="N66" s="21"/>
    </row>
    <row r="67" spans="2:14" ht="14.1" customHeight="1">
      <c r="B67" s="359" t="str">
        <f>IF(Indice_index!$Z$1=1,"Impostos indiretos","Indirect taxes")</f>
        <v>Impostos indiretos</v>
      </c>
      <c r="C67" s="360"/>
      <c r="D67" s="4">
        <f t="shared" si="17"/>
        <v>1761.5059813199987</v>
      </c>
      <c r="E67" s="4">
        <f t="shared" si="17"/>
        <v>-19.538854850000121</v>
      </c>
      <c r="F67" s="4">
        <f t="shared" si="17"/>
        <v>34.588177465539161</v>
      </c>
      <c r="G67" s="4">
        <f t="shared" si="17"/>
        <v>-0.26305144999997765</v>
      </c>
      <c r="H67" s="4">
        <f t="shared" si="17"/>
        <v>1776.2922524855348</v>
      </c>
      <c r="I67" s="4">
        <f t="shared" si="18"/>
        <v>9.1555522741900059</v>
      </c>
      <c r="J67" s="4">
        <f t="shared" si="18"/>
        <v>-3.6577483632271228</v>
      </c>
      <c r="K67" s="4">
        <f t="shared" si="18"/>
        <v>3.8878167534033086</v>
      </c>
      <c r="L67" s="4">
        <f t="shared" si="18"/>
        <v>-0.17106710672095862</v>
      </c>
      <c r="M67" s="4">
        <f t="shared" si="18"/>
        <v>8.5327449268538409</v>
      </c>
      <c r="N67" s="21"/>
    </row>
    <row r="68" spans="2:14" ht="14.1" customHeight="1">
      <c r="B68" s="357" t="str">
        <f>IF(Indice_index!$Z$1=1,"Contribuições de Segurança Social","Social security contributions")</f>
        <v>Contribuições de Segurança Social</v>
      </c>
      <c r="C68" s="358"/>
      <c r="D68" s="4">
        <f t="shared" si="17"/>
        <v>6.6719930900000008</v>
      </c>
      <c r="E68" s="4">
        <f t="shared" si="17"/>
        <v>101.6599016400005</v>
      </c>
      <c r="F68" s="4">
        <f t="shared" si="17"/>
        <v>0</v>
      </c>
      <c r="G68" s="4">
        <f t="shared" si="17"/>
        <v>1603.0728588599995</v>
      </c>
      <c r="H68" s="4">
        <f t="shared" si="17"/>
        <v>1711.404753589999</v>
      </c>
      <c r="I68" s="4">
        <f t="shared" si="18"/>
        <v>13.026722614761866</v>
      </c>
      <c r="J68" s="4">
        <f t="shared" si="18"/>
        <v>3.6344678481931694</v>
      </c>
      <c r="K68" s="4" t="str">
        <f t="shared" si="18"/>
        <v>-</v>
      </c>
      <c r="L68" s="4">
        <f t="shared" si="18"/>
        <v>8.9512438105558108</v>
      </c>
      <c r="M68" s="4">
        <f t="shared" si="18"/>
        <v>8.2448478522839803</v>
      </c>
      <c r="N68" s="159"/>
    </row>
    <row r="69" spans="2:14" ht="14.1" customHeight="1">
      <c r="B69" s="357" t="str">
        <f>IF(Indice_index!$Z$1=1,"Transferências correntes","Current transfers")</f>
        <v>Transferências correntes</v>
      </c>
      <c r="C69" s="358"/>
      <c r="D69" s="4">
        <f t="shared" si="17"/>
        <v>10.617805690000068</v>
      </c>
      <c r="E69" s="4">
        <f t="shared" si="17"/>
        <v>591.36385434000476</v>
      </c>
      <c r="F69" s="4">
        <f t="shared" si="17"/>
        <v>407.95060023286896</v>
      </c>
      <c r="G69" s="4">
        <f t="shared" si="17"/>
        <v>1127.1996610099986</v>
      </c>
      <c r="H69" s="4">
        <f t="shared" si="17"/>
        <v>250.42230224287073</v>
      </c>
      <c r="I69" s="4">
        <f t="shared" si="18"/>
        <v>1.5542496310924168</v>
      </c>
      <c r="J69" s="4">
        <f t="shared" si="18"/>
        <v>3.0657535776145739</v>
      </c>
      <c r="K69" s="4">
        <f t="shared" si="18"/>
        <v>10.001896559177295</v>
      </c>
      <c r="L69" s="4">
        <f t="shared" si="18"/>
        <v>14.187958765869702</v>
      </c>
      <c r="M69" s="4">
        <f t="shared" si="18"/>
        <v>13.364413103979819</v>
      </c>
      <c r="N69" s="159"/>
    </row>
    <row r="70" spans="2:14" ht="14.1" customHeight="1">
      <c r="B70" s="359" t="str">
        <f>IF(Indice_index!$Z$1=1,"Administrações Públicas","General Government subsectors")</f>
        <v>Administrações Públicas</v>
      </c>
      <c r="C70" s="360"/>
      <c r="D70" s="4">
        <f t="shared" si="17"/>
        <v>36.476175329999933</v>
      </c>
      <c r="E70" s="4">
        <f t="shared" si="17"/>
        <v>643.0299339200028</v>
      </c>
      <c r="F70" s="4">
        <f t="shared" si="17"/>
        <v>408.62434699999858</v>
      </c>
      <c r="G70" s="4">
        <f t="shared" si="17"/>
        <v>798.57916277999811</v>
      </c>
      <c r="H70" s="4">
        <f t="shared" si="17"/>
        <v>0</v>
      </c>
      <c r="I70" s="4">
        <f t="shared" si="18"/>
        <v>7.1976644697736401</v>
      </c>
      <c r="J70" s="4">
        <f t="shared" si="18"/>
        <v>3.5019290272202621</v>
      </c>
      <c r="K70" s="4">
        <f t="shared" si="18"/>
        <v>10.415282947200879</v>
      </c>
      <c r="L70" s="4">
        <f t="shared" si="18"/>
        <v>10.894766974886116</v>
      </c>
      <c r="M70" s="4" t="str">
        <f t="shared" si="18"/>
        <v>-</v>
      </c>
      <c r="N70" s="159"/>
    </row>
    <row r="71" spans="2:14" ht="14.1" customHeight="1">
      <c r="B71" s="359" t="str">
        <f>IF(Indice_index!$Z$1=1,"Outras","Others")</f>
        <v>Outras</v>
      </c>
      <c r="C71" s="360"/>
      <c r="D71" s="4">
        <f t="shared" si="17"/>
        <v>-25.85836963999995</v>
      </c>
      <c r="E71" s="4">
        <f t="shared" si="17"/>
        <v>-51.66607957999986</v>
      </c>
      <c r="F71" s="4">
        <f t="shared" si="17"/>
        <v>-0.67374676712950077</v>
      </c>
      <c r="G71" s="4">
        <f t="shared" si="17"/>
        <v>328.62049822999995</v>
      </c>
      <c r="H71" s="4">
        <f t="shared" si="17"/>
        <v>250.42230224287073</v>
      </c>
      <c r="I71" s="4">
        <f t="shared" si="18"/>
        <v>-14.661532421850994</v>
      </c>
      <c r="J71" s="4">
        <f t="shared" si="18"/>
        <v>-5.572366681083726</v>
      </c>
      <c r="K71" s="4">
        <f t="shared" si="18"/>
        <v>-0.43350750989518871</v>
      </c>
      <c r="L71" s="4">
        <f t="shared" si="18"/>
        <v>53.449059160730627</v>
      </c>
      <c r="M71" s="4">
        <f t="shared" si="18"/>
        <v>13.364413103979819</v>
      </c>
      <c r="N71" s="159"/>
    </row>
    <row r="72" spans="2:14" ht="14.1" customHeight="1">
      <c r="B72" s="357" t="str">
        <f>IF(Indice_index!$Z$1=1,"Outras receitas correntes","Other current revenue")</f>
        <v>Outras receitas correntes</v>
      </c>
      <c r="C72" s="358"/>
      <c r="D72" s="4">
        <f t="shared" si="17"/>
        <v>-106.15840625999999</v>
      </c>
      <c r="E72" s="4">
        <f t="shared" si="17"/>
        <v>-52.078835530000106</v>
      </c>
      <c r="F72" s="4">
        <f t="shared" si="17"/>
        <v>338.08377961970223</v>
      </c>
      <c r="G72" s="4">
        <f t="shared" si="17"/>
        <v>253.32550272000015</v>
      </c>
      <c r="H72" s="4">
        <f t="shared" si="17"/>
        <v>452.26486111970189</v>
      </c>
      <c r="I72" s="4">
        <f t="shared" si="18"/>
        <v>-3.8282495873470297</v>
      </c>
      <c r="J72" s="4">
        <f t="shared" si="18"/>
        <v>-1.2055179925772872</v>
      </c>
      <c r="K72" s="4">
        <f t="shared" si="18"/>
        <v>21.166820213069307</v>
      </c>
      <c r="L72" s="4">
        <f t="shared" si="18"/>
        <v>31.76493642615069</v>
      </c>
      <c r="M72" s="4">
        <f t="shared" si="18"/>
        <v>4.9979212698698063</v>
      </c>
      <c r="N72" s="159"/>
    </row>
    <row r="73" spans="2:14" ht="14.1" customHeight="1">
      <c r="B73" s="357" t="str">
        <f>IF(Indice_index!$Z$1=1,"Diferenças de consolidação","Consolidation differences")</f>
        <v>Diferenças de consolidação</v>
      </c>
      <c r="C73" s="358"/>
      <c r="D73" s="4">
        <f t="shared" si="17"/>
        <v>-174.23531436000007</v>
      </c>
      <c r="E73" s="4">
        <f t="shared" si="17"/>
        <v>-1.2671752899852287</v>
      </c>
      <c r="F73" s="4">
        <f t="shared" si="17"/>
        <v>-21.138014039999973</v>
      </c>
      <c r="G73" s="4">
        <f t="shared" si="17"/>
        <v>0</v>
      </c>
      <c r="H73" s="4">
        <f t="shared" si="17"/>
        <v>-196.64050368998528</v>
      </c>
      <c r="I73" s="4" t="s">
        <v>4</v>
      </c>
      <c r="J73" s="4" t="s">
        <v>4</v>
      </c>
      <c r="K73" s="4" t="s">
        <v>4</v>
      </c>
      <c r="L73" s="4" t="s">
        <v>4</v>
      </c>
      <c r="M73" s="4" t="s">
        <v>4</v>
      </c>
      <c r="N73" s="159"/>
    </row>
    <row r="74" spans="2:14" ht="14.1" customHeight="1">
      <c r="B74" s="363" t="str">
        <f>IF(Indice_index!$Z$1=1,"Receita de capital","Capital revenue")</f>
        <v>Receita de capital</v>
      </c>
      <c r="C74" s="364"/>
      <c r="D74" s="134">
        <f t="shared" si="17"/>
        <v>-87.961871259999953</v>
      </c>
      <c r="E74" s="134">
        <f t="shared" si="17"/>
        <v>184.87499759000002</v>
      </c>
      <c r="F74" s="134">
        <f t="shared" si="17"/>
        <v>342.62608302589501</v>
      </c>
      <c r="G74" s="134">
        <f t="shared" si="17"/>
        <v>-0.43098025000000018</v>
      </c>
      <c r="H74" s="134">
        <f t="shared" si="17"/>
        <v>95.415118365895069</v>
      </c>
      <c r="I74" s="134">
        <f t="shared" ref="I74:M79" si="19">IF(IFERROR((I23-D23)/D23*100,"")&gt;500,"-",IFERROR((I23-D23)/D23*100,""))</f>
        <v>-34.688629488334989</v>
      </c>
      <c r="J74" s="134">
        <f t="shared" si="19"/>
        <v>7.0873549547813264</v>
      </c>
      <c r="K74" s="134">
        <f t="shared" si="19"/>
        <v>25.383273055084292</v>
      </c>
      <c r="L74" s="134">
        <f t="shared" si="19"/>
        <v>-66.959708310765777</v>
      </c>
      <c r="M74" s="134">
        <f t="shared" si="19"/>
        <v>4.1563227532286469</v>
      </c>
      <c r="N74" s="159"/>
    </row>
    <row r="75" spans="2:14" ht="14.1" customHeight="1">
      <c r="B75" s="357" t="str">
        <f>IF(Indice_index!$Z$1=1,"Venda de bens de investimento","Sale of investment goods")</f>
        <v>Venda de bens de investimento</v>
      </c>
      <c r="C75" s="358"/>
      <c r="D75" s="4">
        <f t="shared" si="17"/>
        <v>-2.9556209199999999</v>
      </c>
      <c r="E75" s="4">
        <f t="shared" si="17"/>
        <v>-25.586423370000006</v>
      </c>
      <c r="F75" s="4">
        <f t="shared" si="17"/>
        <v>3.2863659636290663</v>
      </c>
      <c r="G75" s="4">
        <f t="shared" si="17"/>
        <v>-0.42610683000000021</v>
      </c>
      <c r="H75" s="4">
        <f t="shared" si="17"/>
        <v>-25.681785156370921</v>
      </c>
      <c r="I75" s="4">
        <f t="shared" si="19"/>
        <v>-96.904587230560196</v>
      </c>
      <c r="J75" s="4">
        <f t="shared" si="19"/>
        <v>-45.878789184549454</v>
      </c>
      <c r="K75" s="4">
        <f t="shared" si="19"/>
        <v>5.445732081014798</v>
      </c>
      <c r="L75" s="4">
        <f t="shared" si="19"/>
        <v>-67.029305494557846</v>
      </c>
      <c r="M75" s="4">
        <f t="shared" si="19"/>
        <v>-21.43669757512799</v>
      </c>
      <c r="N75" s="159"/>
    </row>
    <row r="76" spans="2:14" ht="14.1" customHeight="1">
      <c r="B76" s="357" t="str">
        <f>IF(Indice_index!$Z$1=1,"Transferências de capital","Capital transfers")</f>
        <v>Transferências de capital</v>
      </c>
      <c r="C76" s="358"/>
      <c r="D76" s="4">
        <f t="shared" si="17"/>
        <v>43.935864010000031</v>
      </c>
      <c r="E76" s="4">
        <f t="shared" si="17"/>
        <v>116.29515196000011</v>
      </c>
      <c r="F76" s="4">
        <f t="shared" si="17"/>
        <v>338.87937122008657</v>
      </c>
      <c r="G76" s="4">
        <f t="shared" si="17"/>
        <v>0</v>
      </c>
      <c r="H76" s="4">
        <f t="shared" si="17"/>
        <v>137.20927580008652</v>
      </c>
      <c r="I76" s="4">
        <f t="shared" si="19"/>
        <v>39.887975155667313</v>
      </c>
      <c r="J76" s="4">
        <f t="shared" si="19"/>
        <v>4.5857966828051797</v>
      </c>
      <c r="K76" s="4">
        <f t="shared" si="19"/>
        <v>26.630002616397121</v>
      </c>
      <c r="L76" s="4" t="str">
        <f t="shared" si="19"/>
        <v>-</v>
      </c>
      <c r="M76" s="4">
        <f t="shared" si="19"/>
        <v>6.8543137531325922</v>
      </c>
      <c r="N76" s="159"/>
    </row>
    <row r="77" spans="2:14" ht="14.1" customHeight="1">
      <c r="B77" s="359" t="str">
        <f>IF(Indice_index!$Z$1=1,"Administrações Públicas","General Government subsectors")</f>
        <v>Administrações Públicas</v>
      </c>
      <c r="C77" s="360"/>
      <c r="D77" s="4">
        <f t="shared" si="17"/>
        <v>57.173235710000014</v>
      </c>
      <c r="E77" s="4">
        <f t="shared" si="17"/>
        <v>64.732874660000107</v>
      </c>
      <c r="F77" s="4">
        <f t="shared" si="17"/>
        <v>239.9950010199999</v>
      </c>
      <c r="G77" s="4">
        <f t="shared" si="17"/>
        <v>0</v>
      </c>
      <c r="H77" s="4">
        <f t="shared" si="17"/>
        <v>0</v>
      </c>
      <c r="I77" s="4">
        <f t="shared" si="19"/>
        <v>349.04634805031577</v>
      </c>
      <c r="J77" s="4">
        <f t="shared" si="19"/>
        <v>5.4661174129040733</v>
      </c>
      <c r="K77" s="4">
        <f t="shared" si="19"/>
        <v>33.507159304617879</v>
      </c>
      <c r="L77" s="4" t="str">
        <f t="shared" si="19"/>
        <v>-</v>
      </c>
      <c r="M77" s="4" t="str">
        <f t="shared" si="19"/>
        <v>-</v>
      </c>
      <c r="N77" s="159"/>
    </row>
    <row r="78" spans="2:14" ht="14.1" customHeight="1">
      <c r="B78" s="359" t="str">
        <f>IF(Indice_index!$Z$1=1,"Outras","Others")</f>
        <v>Outras</v>
      </c>
      <c r="C78" s="360"/>
      <c r="D78" s="4">
        <f t="shared" si="17"/>
        <v>-13.237371699999997</v>
      </c>
      <c r="E78" s="4">
        <f t="shared" si="17"/>
        <v>51.56227729999955</v>
      </c>
      <c r="F78" s="4">
        <f t="shared" si="17"/>
        <v>98.884370200086778</v>
      </c>
      <c r="G78" s="4">
        <f t="shared" si="17"/>
        <v>0</v>
      </c>
      <c r="H78" s="4">
        <f t="shared" si="17"/>
        <v>137.20927580008652</v>
      </c>
      <c r="I78" s="4">
        <f t="shared" si="19"/>
        <v>-14.117107101869244</v>
      </c>
      <c r="J78" s="4">
        <f t="shared" si="19"/>
        <v>3.8145429405333635</v>
      </c>
      <c r="K78" s="4">
        <f t="shared" si="19"/>
        <v>17.77545226176856</v>
      </c>
      <c r="L78" s="4" t="str">
        <f t="shared" si="19"/>
        <v>-</v>
      </c>
      <c r="M78" s="4">
        <f t="shared" si="19"/>
        <v>6.8543137531325922</v>
      </c>
      <c r="N78" s="159"/>
    </row>
    <row r="79" spans="2:14" ht="14.1" customHeight="1">
      <c r="B79" s="357" t="str">
        <f>IF(Indice_index!$Z$1=1,"Outras receitas de capital","Other capital revenue")</f>
        <v>Outras receitas de capital</v>
      </c>
      <c r="C79" s="358"/>
      <c r="D79" s="4">
        <f t="shared" si="17"/>
        <v>-136.65936145000001</v>
      </c>
      <c r="E79" s="4">
        <f t="shared" si="17"/>
        <v>94.166269000000028</v>
      </c>
      <c r="F79" s="4">
        <f t="shared" si="17"/>
        <v>-3.1308954278204357</v>
      </c>
      <c r="G79" s="4">
        <f t="shared" si="17"/>
        <v>-4.8734200000000007E-3</v>
      </c>
      <c r="H79" s="4">
        <f t="shared" si="17"/>
        <v>-45.628861297820407</v>
      </c>
      <c r="I79" s="4">
        <f t="shared" si="19"/>
        <v>-97.351439052276774</v>
      </c>
      <c r="J79" s="4" t="str">
        <f t="shared" si="19"/>
        <v>-</v>
      </c>
      <c r="K79" s="4">
        <f t="shared" si="19"/>
        <v>-19.760301498217355</v>
      </c>
      <c r="L79" s="4">
        <f t="shared" si="19"/>
        <v>-61.386744729735177</v>
      </c>
      <c r="M79" s="4">
        <f t="shared" si="19"/>
        <v>-26.376099453282109</v>
      </c>
      <c r="N79" s="159"/>
    </row>
    <row r="80" spans="2:14" ht="14.1" customHeight="1">
      <c r="B80" s="367" t="str">
        <f>IF(Indice_index!$Z$1=1,"Diferenças de consolidação","Consolidation differences")</f>
        <v>Diferenças de consolidação</v>
      </c>
      <c r="C80" s="368"/>
      <c r="D80" s="4">
        <f t="shared" ref="D80:H95" si="20">I29-D29</f>
        <v>7.7172471000000016</v>
      </c>
      <c r="E80" s="4">
        <f t="shared" si="20"/>
        <v>0</v>
      </c>
      <c r="F80" s="4">
        <f t="shared" si="20"/>
        <v>3.5912412700000118</v>
      </c>
      <c r="G80" s="4">
        <f t="shared" si="20"/>
        <v>0</v>
      </c>
      <c r="H80" s="4">
        <f t="shared" si="20"/>
        <v>29.51648901999959</v>
      </c>
      <c r="I80" s="4" t="s">
        <v>4</v>
      </c>
      <c r="J80" s="4" t="s">
        <v>4</v>
      </c>
      <c r="K80" s="4" t="s">
        <v>4</v>
      </c>
      <c r="L80" s="4" t="s">
        <v>4</v>
      </c>
      <c r="M80" s="4" t="s">
        <v>4</v>
      </c>
      <c r="N80" s="159"/>
    </row>
    <row r="81" spans="2:14" ht="14.1" customHeight="1">
      <c r="B81" s="365" t="str">
        <f>IF(Indice_index!$Z$1=1,"Receita efetiva","Effective revenue")</f>
        <v>Receita efetiva</v>
      </c>
      <c r="C81" s="366"/>
      <c r="D81" s="24">
        <f t="shared" si="20"/>
        <v>2813.6709425699883</v>
      </c>
      <c r="E81" s="24">
        <f t="shared" si="20"/>
        <v>805.41881070001546</v>
      </c>
      <c r="F81" s="24">
        <f t="shared" si="20"/>
        <v>1616.5874384442795</v>
      </c>
      <c r="G81" s="24">
        <f t="shared" si="20"/>
        <v>2982.903990889994</v>
      </c>
      <c r="H81" s="24">
        <f t="shared" si="20"/>
        <v>6007.2712734043016</v>
      </c>
      <c r="I81" s="24">
        <f t="shared" ref="I81:M93" si="21">IF(IFERROR((I30-D30)/D30*100,"")&gt;500,"-",IFERROR((I30-D30)/D30*100,""))</f>
        <v>6.9680999780653003</v>
      </c>
      <c r="J81" s="24">
        <f t="shared" si="21"/>
        <v>2.7231374417549192</v>
      </c>
      <c r="K81" s="24">
        <f t="shared" si="21"/>
        <v>15.198434067630414</v>
      </c>
      <c r="L81" s="24">
        <f t="shared" si="21"/>
        <v>11.127906296303729</v>
      </c>
      <c r="M81" s="25">
        <f t="shared" si="21"/>
        <v>8.01819188912933</v>
      </c>
      <c r="N81" s="23"/>
    </row>
    <row r="82" spans="2:14" ht="14.1" customHeight="1">
      <c r="B82" s="363" t="str">
        <f>IF(Indice_index!$Z$1=1,"Despesa corrente","Current expenditure")</f>
        <v>Despesa corrente</v>
      </c>
      <c r="C82" s="364"/>
      <c r="D82" s="134">
        <f t="shared" si="20"/>
        <v>2237.2480888500068</v>
      </c>
      <c r="E82" s="134">
        <f t="shared" si="20"/>
        <v>918.32007553002404</v>
      </c>
      <c r="F82" s="134">
        <f t="shared" si="20"/>
        <v>844.24082909359186</v>
      </c>
      <c r="G82" s="134">
        <f t="shared" si="20"/>
        <v>1926.5126504599939</v>
      </c>
      <c r="H82" s="134">
        <f t="shared" si="20"/>
        <v>4058.7048454736214</v>
      </c>
      <c r="I82" s="134">
        <f t="shared" si="21"/>
        <v>5.1619829762059473</v>
      </c>
      <c r="J82" s="134">
        <f t="shared" si="21"/>
        <v>3.7414182419304893</v>
      </c>
      <c r="K82" s="134">
        <f t="shared" si="21"/>
        <v>10.398930806495303</v>
      </c>
      <c r="L82" s="134">
        <f t="shared" si="21"/>
        <v>8.2408318032201695</v>
      </c>
      <c r="M82" s="134">
        <f t="shared" si="21"/>
        <v>5.8974953971381714</v>
      </c>
      <c r="N82" s="159"/>
    </row>
    <row r="83" spans="2:14" ht="14.1" customHeight="1">
      <c r="B83" s="357" t="str">
        <f>IF(Indice_index!$Z$1=1,"Despesas com o pessoal","Compensation of employees")</f>
        <v>Despesas com o pessoal</v>
      </c>
      <c r="C83" s="358"/>
      <c r="D83" s="4">
        <f t="shared" si="20"/>
        <v>553.73300572000335</v>
      </c>
      <c r="E83" s="4">
        <f t="shared" si="20"/>
        <v>796.70102148000387</v>
      </c>
      <c r="F83" s="4">
        <f t="shared" si="20"/>
        <v>316.51695505404632</v>
      </c>
      <c r="G83" s="4">
        <f t="shared" si="20"/>
        <v>8.5390746700000193</v>
      </c>
      <c r="H83" s="4">
        <f t="shared" si="20"/>
        <v>1675.4900569240526</v>
      </c>
      <c r="I83" s="4">
        <f t="shared" si="21"/>
        <v>7.6606091415889894</v>
      </c>
      <c r="J83" s="4">
        <f t="shared" si="21"/>
        <v>11.884161272749878</v>
      </c>
      <c r="K83" s="4">
        <f t="shared" si="21"/>
        <v>8.2939343352818806</v>
      </c>
      <c r="L83" s="4">
        <f t="shared" si="21"/>
        <v>3.8709070984544369</v>
      </c>
      <c r="M83" s="4">
        <f t="shared" si="21"/>
        <v>9.3243120880137731</v>
      </c>
      <c r="N83" s="159"/>
    </row>
    <row r="84" spans="2:14" ht="14.1" customHeight="1">
      <c r="B84" s="359" t="str">
        <f>IF(Indice_index!$Z$1=1,"Remunerações certas e permanentes","Certain and permanent wages")</f>
        <v>Remunerações certas e permanentes</v>
      </c>
      <c r="C84" s="360"/>
      <c r="D84" s="4">
        <f t="shared" si="20"/>
        <v>422.28754377000314</v>
      </c>
      <c r="E84" s="4">
        <f t="shared" si="20"/>
        <v>547.88306441000259</v>
      </c>
      <c r="F84" s="4">
        <f t="shared" si="20"/>
        <v>228.72365771166096</v>
      </c>
      <c r="G84" s="4">
        <f t="shared" si="20"/>
        <v>5.8320993700000088</v>
      </c>
      <c r="H84" s="4">
        <f t="shared" si="20"/>
        <v>1204.7263652616657</v>
      </c>
      <c r="I84" s="4">
        <f t="shared" si="21"/>
        <v>8.1353144503929933</v>
      </c>
      <c r="J84" s="4">
        <f t="shared" si="21"/>
        <v>11.705978358591578</v>
      </c>
      <c r="K84" s="4">
        <f t="shared" si="21"/>
        <v>7.8749141409179932</v>
      </c>
      <c r="L84" s="4">
        <f t="shared" si="21"/>
        <v>3.283850058409282</v>
      </c>
      <c r="M84" s="4">
        <f t="shared" si="21"/>
        <v>9.300590986746613</v>
      </c>
      <c r="N84" s="159"/>
    </row>
    <row r="85" spans="2:14" ht="14.1" customHeight="1">
      <c r="B85" s="359" t="str">
        <f>IF(Indice_index!$Z$1=1,"Abonos variáveis ou eventuais","Variable or contingent bonuses")</f>
        <v>Abonos variáveis ou eventuais</v>
      </c>
      <c r="C85" s="360"/>
      <c r="D85" s="4">
        <f t="shared" si="20"/>
        <v>22.610648340000012</v>
      </c>
      <c r="E85" s="4">
        <f t="shared" si="20"/>
        <v>114.74748781000028</v>
      </c>
      <c r="F85" s="4">
        <f t="shared" si="20"/>
        <v>44.06733572425415</v>
      </c>
      <c r="G85" s="4">
        <f t="shared" si="20"/>
        <v>0.840748720000001</v>
      </c>
      <c r="H85" s="4">
        <f t="shared" si="20"/>
        <v>182.26622059425449</v>
      </c>
      <c r="I85" s="4">
        <f t="shared" si="21"/>
        <v>7.5657294299905562</v>
      </c>
      <c r="J85" s="4">
        <f t="shared" si="21"/>
        <v>14.886448384374118</v>
      </c>
      <c r="K85" s="4">
        <f t="shared" si="21"/>
        <v>21.276818050097145</v>
      </c>
      <c r="L85" s="4">
        <f t="shared" si="21"/>
        <v>22.220299646172233</v>
      </c>
      <c r="M85" s="4">
        <f t="shared" si="21"/>
        <v>14.233181363201464</v>
      </c>
      <c r="N85" s="159"/>
    </row>
    <row r="86" spans="2:14" ht="14.1" customHeight="1">
      <c r="B86" s="359" t="str">
        <f>IF(Indice_index!$Z$1=1,"Segurança social","Social security")</f>
        <v>Segurança social</v>
      </c>
      <c r="C86" s="360"/>
      <c r="D86" s="4">
        <f t="shared" si="20"/>
        <v>108.8348136099994</v>
      </c>
      <c r="E86" s="4">
        <f t="shared" si="20"/>
        <v>134.07046926000112</v>
      </c>
      <c r="F86" s="4">
        <f t="shared" si="20"/>
        <v>43.725961618131123</v>
      </c>
      <c r="G86" s="4">
        <f t="shared" si="20"/>
        <v>1.8662265800000242</v>
      </c>
      <c r="H86" s="4">
        <f t="shared" si="20"/>
        <v>288.4974710681322</v>
      </c>
      <c r="I86" s="4">
        <f t="shared" si="21"/>
        <v>6.2596811618334174</v>
      </c>
      <c r="J86" s="4">
        <f t="shared" si="21"/>
        <v>10.70250972619902</v>
      </c>
      <c r="K86" s="4">
        <f t="shared" si="21"/>
        <v>6.2051436514635609</v>
      </c>
      <c r="L86" s="4">
        <f t="shared" si="21"/>
        <v>4.7591940835340161</v>
      </c>
      <c r="M86" s="4">
        <f t="shared" si="21"/>
        <v>7.7236435417988805</v>
      </c>
      <c r="N86" s="159"/>
    </row>
    <row r="87" spans="2:14" ht="14.1" customHeight="1">
      <c r="B87" s="357" t="str">
        <f>IF(Indice_index!$Z$1=1,"Aquisição de bens e serviços","Purchase of goods and services")</f>
        <v>Aquisição de bens e serviços</v>
      </c>
      <c r="C87" s="358"/>
      <c r="D87" s="4">
        <f t="shared" si="20"/>
        <v>-168.31966757000009</v>
      </c>
      <c r="E87" s="4">
        <f t="shared" si="20"/>
        <v>81.458320180016926</v>
      </c>
      <c r="F87" s="4">
        <f t="shared" si="20"/>
        <v>272.43920008180248</v>
      </c>
      <c r="G87" s="4">
        <f t="shared" si="20"/>
        <v>3.818893210000013</v>
      </c>
      <c r="H87" s="4">
        <f t="shared" si="20"/>
        <v>189.432676661816</v>
      </c>
      <c r="I87" s="4">
        <f t="shared" si="21"/>
        <v>-16.881730226389028</v>
      </c>
      <c r="J87" s="4">
        <f t="shared" si="21"/>
        <v>1.2205872013129895</v>
      </c>
      <c r="K87" s="4">
        <f t="shared" si="21"/>
        <v>9.8734856455480866</v>
      </c>
      <c r="L87" s="4">
        <f t="shared" si="21"/>
        <v>6.849090074087381</v>
      </c>
      <c r="M87" s="4">
        <f t="shared" si="21"/>
        <v>1.8066615656812304</v>
      </c>
      <c r="N87" s="159"/>
    </row>
    <row r="88" spans="2:14" ht="14.1" customHeight="1">
      <c r="B88" s="357" t="str">
        <f>IF(Indice_index!$Z$1=1,"Juros e outros encargos","Interests and other charges")</f>
        <v>Juros e outros encargos</v>
      </c>
      <c r="C88" s="358"/>
      <c r="D88" s="4">
        <f t="shared" si="20"/>
        <v>40.914638930000365</v>
      </c>
      <c r="E88" s="4">
        <f t="shared" si="20"/>
        <v>-75.243413199999978</v>
      </c>
      <c r="F88" s="4">
        <f t="shared" si="20"/>
        <v>-11.612811750849886</v>
      </c>
      <c r="G88" s="4">
        <f t="shared" si="20"/>
        <v>-0.26309104000000083</v>
      </c>
      <c r="H88" s="4">
        <f t="shared" si="20"/>
        <v>-56.572024530849376</v>
      </c>
      <c r="I88" s="4">
        <f t="shared" si="21"/>
        <v>0.86327424946568554</v>
      </c>
      <c r="J88" s="4">
        <f t="shared" si="21"/>
        <v>-48.69111301438263</v>
      </c>
      <c r="K88" s="4">
        <f t="shared" si="21"/>
        <v>-5.6232534897142274</v>
      </c>
      <c r="L88" s="4">
        <f t="shared" si="21"/>
        <v>-5.3379807716138243</v>
      </c>
      <c r="M88" s="4">
        <f t="shared" si="21"/>
        <v>-1.182461423718383</v>
      </c>
      <c r="N88" s="159"/>
    </row>
    <row r="89" spans="2:14" ht="14.1" customHeight="1">
      <c r="B89" s="357" t="str">
        <f>IF(Indice_index!$Z$1=1,"Transferências correntes","Current transfers")</f>
        <v>Transferências correntes</v>
      </c>
      <c r="C89" s="358"/>
      <c r="D89" s="4">
        <f t="shared" si="20"/>
        <v>1658.181519820002</v>
      </c>
      <c r="E89" s="4">
        <f t="shared" si="20"/>
        <v>229.36609635000423</v>
      </c>
      <c r="F89" s="4">
        <f t="shared" si="20"/>
        <v>32.672323458103051</v>
      </c>
      <c r="G89" s="4">
        <f t="shared" si="20"/>
        <v>1694.195184379998</v>
      </c>
      <c r="H89" s="4">
        <f t="shared" si="20"/>
        <v>1673.6939613781069</v>
      </c>
      <c r="I89" s="4">
        <f t="shared" si="21"/>
        <v>5.4976634483680842</v>
      </c>
      <c r="J89" s="4">
        <f t="shared" si="21"/>
        <v>2.2407974838715159</v>
      </c>
      <c r="K89" s="4">
        <f t="shared" si="21"/>
        <v>4.1897191646872178</v>
      </c>
      <c r="L89" s="4">
        <f t="shared" si="21"/>
        <v>7.4604764796417617</v>
      </c>
      <c r="M89" s="4">
        <f t="shared" si="21"/>
        <v>4.9671189191410541</v>
      </c>
      <c r="N89" s="159"/>
    </row>
    <row r="90" spans="2:14" ht="14.1" customHeight="1">
      <c r="B90" s="359" t="str">
        <f>IF(Indice_index!$Z$1=1,"Administrações Públicas","General Government subsectors")</f>
        <v>Administrações Públicas</v>
      </c>
      <c r="C90" s="360"/>
      <c r="D90" s="4">
        <f t="shared" si="20"/>
        <v>1818.1613175500061</v>
      </c>
      <c r="E90" s="4">
        <f t="shared" si="20"/>
        <v>26.00097718999973</v>
      </c>
      <c r="F90" s="4">
        <f t="shared" si="20"/>
        <v>-8.5539074000000141</v>
      </c>
      <c r="G90" s="4">
        <f t="shared" si="20"/>
        <v>105.11277529000017</v>
      </c>
      <c r="H90" s="4">
        <f t="shared" si="20"/>
        <v>0</v>
      </c>
      <c r="I90" s="4">
        <f t="shared" si="21"/>
        <v>6.5874714566174681</v>
      </c>
      <c r="J90" s="4">
        <f t="shared" si="21"/>
        <v>2.4505781294486231</v>
      </c>
      <c r="K90" s="4">
        <f t="shared" si="21"/>
        <v>-8.7165005861549538</v>
      </c>
      <c r="L90" s="4">
        <f t="shared" si="21"/>
        <v>7.3436818246326068</v>
      </c>
      <c r="M90" s="4" t="str">
        <f t="shared" si="21"/>
        <v>-</v>
      </c>
      <c r="N90" s="159"/>
    </row>
    <row r="91" spans="2:14" ht="14.1" customHeight="1">
      <c r="B91" s="359" t="str">
        <f>IF(Indice_index!$Z$1=1,"Outras","Others")</f>
        <v>Outras</v>
      </c>
      <c r="C91" s="360"/>
      <c r="D91" s="4">
        <f t="shared" si="20"/>
        <v>-159.97979773000088</v>
      </c>
      <c r="E91" s="4">
        <f t="shared" si="20"/>
        <v>203.36511916000381</v>
      </c>
      <c r="F91" s="4">
        <f t="shared" si="20"/>
        <v>41.226230858103122</v>
      </c>
      <c r="G91" s="4">
        <f t="shared" si="20"/>
        <v>1589.0824090899987</v>
      </c>
      <c r="H91" s="4">
        <f t="shared" si="20"/>
        <v>1673.6939613781069</v>
      </c>
      <c r="I91" s="4">
        <f t="shared" si="21"/>
        <v>-6.2460951765363584</v>
      </c>
      <c r="J91" s="4">
        <f t="shared" si="21"/>
        <v>2.2165377959222883</v>
      </c>
      <c r="K91" s="4">
        <f t="shared" si="21"/>
        <v>6.0476803311493779</v>
      </c>
      <c r="L91" s="4">
        <f t="shared" si="21"/>
        <v>7.4683332106641451</v>
      </c>
      <c r="M91" s="4">
        <f t="shared" si="21"/>
        <v>4.9671189191410541</v>
      </c>
      <c r="N91" s="159"/>
    </row>
    <row r="92" spans="2:14" ht="14.1" customHeight="1">
      <c r="B92" s="357" t="str">
        <f>IF(Indice_index!$Z$1=1,"Subsídios","Subsidies")</f>
        <v>Subsídios</v>
      </c>
      <c r="C92" s="358"/>
      <c r="D92" s="4">
        <f t="shared" si="20"/>
        <v>113.93912187000001</v>
      </c>
      <c r="E92" s="4">
        <f t="shared" si="20"/>
        <v>-37.780581740000002</v>
      </c>
      <c r="F92" s="4">
        <f t="shared" si="20"/>
        <v>234.20055324684802</v>
      </c>
      <c r="G92" s="4">
        <f t="shared" si="20"/>
        <v>220.34995581999993</v>
      </c>
      <c r="H92" s="4">
        <f t="shared" si="20"/>
        <v>429.09697840684794</v>
      </c>
      <c r="I92" s="4">
        <f t="shared" si="21"/>
        <v>85.742996722905858</v>
      </c>
      <c r="J92" s="4">
        <f t="shared" si="21"/>
        <v>-8.0177092827930689</v>
      </c>
      <c r="K92" s="4">
        <f t="shared" si="21"/>
        <v>54.455254165317278</v>
      </c>
      <c r="L92" s="4">
        <f t="shared" si="21"/>
        <v>57.857961146039258</v>
      </c>
      <c r="M92" s="4">
        <f t="shared" si="21"/>
        <v>37.625076294208462</v>
      </c>
      <c r="N92" s="159"/>
    </row>
    <row r="93" spans="2:14" ht="14.1" customHeight="1">
      <c r="B93" s="357" t="str">
        <f>IF(Indice_index!$Z$1=1,"Outras despesas correntes","Other current expenditures")</f>
        <v>Outras despesas correntes</v>
      </c>
      <c r="C93" s="358"/>
      <c r="D93" s="4">
        <f t="shared" si="20"/>
        <v>-12.548013749999981</v>
      </c>
      <c r="E93" s="4">
        <f t="shared" si="20"/>
        <v>-108.41505789000016</v>
      </c>
      <c r="F93" s="4">
        <f t="shared" si="20"/>
        <v>7.7769436434209638E-3</v>
      </c>
      <c r="G93" s="4">
        <f t="shared" si="20"/>
        <v>-0.12736658000000212</v>
      </c>
      <c r="H93" s="4">
        <f t="shared" si="20"/>
        <v>-121.0826612763567</v>
      </c>
      <c r="I93" s="4">
        <f t="shared" si="21"/>
        <v>-15.39916993391048</v>
      </c>
      <c r="J93" s="4">
        <f t="shared" si="21"/>
        <v>-35.496507494599072</v>
      </c>
      <c r="K93" s="4">
        <f t="shared" si="21"/>
        <v>6.1443278932089519E-3</v>
      </c>
      <c r="L93" s="4">
        <f t="shared" si="21"/>
        <v>-1.9361666608480606</v>
      </c>
      <c r="M93" s="4">
        <f t="shared" si="21"/>
        <v>-23.282486942637568</v>
      </c>
      <c r="N93" s="159"/>
    </row>
    <row r="94" spans="2:14" ht="14.1" customHeight="1">
      <c r="B94" s="357" t="str">
        <f>IF(Indice_index!$Z$1=1,"Diferenças de consolidação","Consolidation differences")</f>
        <v>Diferenças de consolidação</v>
      </c>
      <c r="C94" s="358"/>
      <c r="D94" s="4">
        <f t="shared" si="20"/>
        <v>51.347483829999973</v>
      </c>
      <c r="E94" s="4">
        <f t="shared" si="20"/>
        <v>32.233690350000067</v>
      </c>
      <c r="F94" s="4">
        <f t="shared" si="20"/>
        <v>1.6832059999999999E-2</v>
      </c>
      <c r="G94" s="4">
        <f t="shared" si="20"/>
        <v>0</v>
      </c>
      <c r="H94" s="4">
        <f t="shared" si="20"/>
        <v>268.64585790999502</v>
      </c>
      <c r="I94" s="4" t="s">
        <v>4</v>
      </c>
      <c r="J94" s="4" t="s">
        <v>4</v>
      </c>
      <c r="K94" s="4" t="s">
        <v>4</v>
      </c>
      <c r="L94" s="4" t="s">
        <v>4</v>
      </c>
      <c r="M94" s="4" t="s">
        <v>4</v>
      </c>
      <c r="N94" s="159"/>
    </row>
    <row r="95" spans="2:14" ht="14.1" customHeight="1">
      <c r="B95" s="363" t="str">
        <f>IF(Indice_index!$Z$1=1,"Despesa de capital","Capital expenditure")</f>
        <v>Despesa de capital</v>
      </c>
      <c r="C95" s="364"/>
      <c r="D95" s="134">
        <f t="shared" si="20"/>
        <v>63.216938020000725</v>
      </c>
      <c r="E95" s="134">
        <f t="shared" si="20"/>
        <v>259.04956737999964</v>
      </c>
      <c r="F95" s="134">
        <f t="shared" si="20"/>
        <v>495.16493442006004</v>
      </c>
      <c r="G95" s="134">
        <f t="shared" si="20"/>
        <v>-12.275638489999977</v>
      </c>
      <c r="H95" s="134">
        <f t="shared" si="20"/>
        <v>461.46269059005954</v>
      </c>
      <c r="I95" s="134">
        <f t="shared" ref="I95:M100" si="22">IF(IFERROR((I44-D44)/D44*100,"")&gt;500,"-",IFERROR((I44-D44)/D44*100,""))</f>
        <v>2.8060074303780844</v>
      </c>
      <c r="J95" s="134">
        <f t="shared" si="22"/>
        <v>8.1855981966333768</v>
      </c>
      <c r="K95" s="134">
        <f t="shared" si="22"/>
        <v>24.924187144307208</v>
      </c>
      <c r="L95" s="134">
        <f t="shared" si="22"/>
        <v>-13.91234310931419</v>
      </c>
      <c r="M95" s="134">
        <f t="shared" si="22"/>
        <v>8.2763976153782988</v>
      </c>
      <c r="N95" s="159"/>
    </row>
    <row r="96" spans="2:14" ht="14.1" customHeight="1">
      <c r="B96" s="357" t="str">
        <f>IF(Indice_index!$Z$1=1,"Investimentos","Investments")</f>
        <v>Investimentos</v>
      </c>
      <c r="C96" s="358"/>
      <c r="D96" s="4">
        <f t="shared" ref="D96:H107" si="23">I45-D45</f>
        <v>134.15153746999982</v>
      </c>
      <c r="E96" s="4">
        <f t="shared" si="23"/>
        <v>65.982752150000124</v>
      </c>
      <c r="F96" s="4">
        <f t="shared" si="23"/>
        <v>499.00183517758319</v>
      </c>
      <c r="G96" s="4">
        <f t="shared" si="23"/>
        <v>7.9970364799999984</v>
      </c>
      <c r="H96" s="4">
        <f t="shared" si="23"/>
        <v>707.13316127758299</v>
      </c>
      <c r="I96" s="4">
        <f t="shared" si="22"/>
        <v>43.599383819320138</v>
      </c>
      <c r="J96" s="4">
        <f t="shared" si="22"/>
        <v>3.3443303999416814</v>
      </c>
      <c r="K96" s="4">
        <f t="shared" si="22"/>
        <v>29.854868058869371</v>
      </c>
      <c r="L96" s="4">
        <f t="shared" si="22"/>
        <v>26.848825114772662</v>
      </c>
      <c r="M96" s="4">
        <f t="shared" si="22"/>
        <v>17.758795773669668</v>
      </c>
      <c r="N96" s="159"/>
    </row>
    <row r="97" spans="2:14" ht="14.1" customHeight="1">
      <c r="B97" s="357" t="str">
        <f>IF(Indice_index!$Z$1=1,"Transferências de capital","Capital transfers")</f>
        <v>Transferências de capital</v>
      </c>
      <c r="C97" s="358"/>
      <c r="D97" s="4">
        <f t="shared" si="23"/>
        <v>-68.918380629999774</v>
      </c>
      <c r="E97" s="4">
        <f t="shared" si="23"/>
        <v>232.89268412999991</v>
      </c>
      <c r="F97" s="4">
        <f t="shared" si="23"/>
        <v>3.372748160044921</v>
      </c>
      <c r="G97" s="4">
        <f t="shared" si="23"/>
        <v>-20.27267496999999</v>
      </c>
      <c r="H97" s="4">
        <f t="shared" si="23"/>
        <v>33.038609150044977</v>
      </c>
      <c r="I97" s="4">
        <f t="shared" si="22"/>
        <v>-3.5484836954776848</v>
      </c>
      <c r="J97" s="4">
        <f t="shared" si="22"/>
        <v>22.81174745016326</v>
      </c>
      <c r="K97" s="4">
        <f t="shared" si="22"/>
        <v>1.1393587808161638</v>
      </c>
      <c r="L97" s="4">
        <f t="shared" si="22"/>
        <v>-34.683689205631751</v>
      </c>
      <c r="M97" s="4">
        <f t="shared" si="22"/>
        <v>2.8212729952608555</v>
      </c>
      <c r="N97" s="159"/>
    </row>
    <row r="98" spans="2:14" ht="14.1" customHeight="1">
      <c r="B98" s="359" t="str">
        <f>IF(Indice_index!$Z$1=1,"Administrações Públicas","General Government subsectors")</f>
        <v>Administrações Públicas</v>
      </c>
      <c r="C98" s="360"/>
      <c r="D98" s="4">
        <f t="shared" si="23"/>
        <v>-48.672581059999857</v>
      </c>
      <c r="E98" s="4">
        <f t="shared" si="23"/>
        <v>165.47810898999998</v>
      </c>
      <c r="F98" s="4">
        <f t="shared" si="23"/>
        <v>-2.7697603899999992</v>
      </c>
      <c r="G98" s="4">
        <f t="shared" si="23"/>
        <v>0</v>
      </c>
      <c r="H98" s="4">
        <f t="shared" si="23"/>
        <v>0</v>
      </c>
      <c r="I98" s="4">
        <f t="shared" si="22"/>
        <v>-2.5473368804747376</v>
      </c>
      <c r="J98" s="4">
        <f t="shared" si="22"/>
        <v>72.391396455197096</v>
      </c>
      <c r="K98" s="4">
        <f t="shared" si="22"/>
        <v>-38.299752650553827</v>
      </c>
      <c r="L98" s="4" t="str">
        <f t="shared" si="22"/>
        <v>-</v>
      </c>
      <c r="M98" s="4" t="str">
        <f t="shared" si="22"/>
        <v>-</v>
      </c>
      <c r="N98" s="159"/>
    </row>
    <row r="99" spans="2:14" ht="14.1" customHeight="1">
      <c r="B99" s="359" t="str">
        <f>IF(Indice_index!$Z$1=1,"Outras","Others")</f>
        <v>Outras</v>
      </c>
      <c r="C99" s="360"/>
      <c r="D99" s="4">
        <f t="shared" si="23"/>
        <v>-20.245799570000003</v>
      </c>
      <c r="E99" s="4">
        <f t="shared" si="23"/>
        <v>67.414575140000011</v>
      </c>
      <c r="F99" s="4">
        <f t="shared" si="23"/>
        <v>6.1425085500449654</v>
      </c>
      <c r="G99" s="4">
        <f t="shared" si="23"/>
        <v>-20.27267496999999</v>
      </c>
      <c r="H99" s="4">
        <f t="shared" si="23"/>
        <v>33.038609150044977</v>
      </c>
      <c r="I99" s="4">
        <f t="shared" si="22"/>
        <v>-64.337236771068376</v>
      </c>
      <c r="J99" s="4">
        <f t="shared" si="22"/>
        <v>8.5082347620497387</v>
      </c>
      <c r="K99" s="4">
        <f t="shared" si="22"/>
        <v>2.1269824495278558</v>
      </c>
      <c r="L99" s="4">
        <f t="shared" si="22"/>
        <v>-34.683689205631751</v>
      </c>
      <c r="M99" s="4">
        <f t="shared" si="22"/>
        <v>2.8212729952608555</v>
      </c>
      <c r="N99" s="159"/>
    </row>
    <row r="100" spans="2:14" ht="14.1" customHeight="1">
      <c r="B100" s="357" t="str">
        <f>IF(Indice_index!$Z$1=1,"Outras despesas de capital","Other capital expenditures")</f>
        <v>Outras despesas de capital</v>
      </c>
      <c r="C100" s="358"/>
      <c r="D100" s="4">
        <f t="shared" si="23"/>
        <v>-0.32382090000000008</v>
      </c>
      <c r="E100" s="4">
        <f t="shared" si="23"/>
        <v>-42.230092949999985</v>
      </c>
      <c r="F100" s="4">
        <f t="shared" si="23"/>
        <v>-7.2096489175676286</v>
      </c>
      <c r="G100" s="4">
        <f t="shared" si="23"/>
        <v>0</v>
      </c>
      <c r="H100" s="4">
        <f t="shared" si="23"/>
        <v>-49.763562767567606</v>
      </c>
      <c r="I100" s="4">
        <f t="shared" si="22"/>
        <v>-24.202289681812754</v>
      </c>
      <c r="J100" s="4">
        <f t="shared" si="22"/>
        <v>-34.857271599464134</v>
      </c>
      <c r="K100" s="4">
        <f t="shared" si="22"/>
        <v>-37.477207485423143</v>
      </c>
      <c r="L100" s="4" t="str">
        <f t="shared" si="22"/>
        <v>-</v>
      </c>
      <c r="M100" s="4">
        <f t="shared" si="22"/>
        <v>-35.112302311670682</v>
      </c>
      <c r="N100" s="159"/>
    </row>
    <row r="101" spans="2:14" ht="14.1" customHeight="1">
      <c r="B101" s="357" t="str">
        <f>IF(Indice_index!$Z$1=1,"Diferenças de consolidação","Consolidation differences")</f>
        <v>Diferenças de consolidação</v>
      </c>
      <c r="C101" s="358"/>
      <c r="D101" s="4">
        <f t="shared" si="23"/>
        <v>-1.6923979199999977</v>
      </c>
      <c r="E101" s="4">
        <f t="shared" si="23"/>
        <v>2.4042240499998684</v>
      </c>
      <c r="F101" s="4">
        <f t="shared" si="23"/>
        <v>0</v>
      </c>
      <c r="G101" s="4">
        <f t="shared" si="23"/>
        <v>0</v>
      </c>
      <c r="H101" s="4">
        <f t="shared" si="23"/>
        <v>-228.94551707000039</v>
      </c>
      <c r="I101" s="4" t="s">
        <v>4</v>
      </c>
      <c r="J101" s="4" t="s">
        <v>4</v>
      </c>
      <c r="K101" s="4" t="s">
        <v>4</v>
      </c>
      <c r="L101" s="4" t="s">
        <v>4</v>
      </c>
      <c r="M101" s="4" t="s">
        <v>4</v>
      </c>
      <c r="N101" s="159"/>
    </row>
    <row r="102" spans="2:14" ht="14.1" customHeight="1">
      <c r="B102" s="365" t="str">
        <f>IF(Indice_index!$Z$1=1,"Despesa efetiva","Effective expenditure")</f>
        <v>Despesa efetiva</v>
      </c>
      <c r="C102" s="366"/>
      <c r="D102" s="24">
        <f t="shared" si="23"/>
        <v>2300.4650268700061</v>
      </c>
      <c r="E102" s="24">
        <f t="shared" si="23"/>
        <v>1177.3696429100237</v>
      </c>
      <c r="F102" s="24">
        <f t="shared" si="23"/>
        <v>1339.4057635136523</v>
      </c>
      <c r="G102" s="24">
        <f t="shared" si="23"/>
        <v>1914.2370119699954</v>
      </c>
      <c r="H102" s="24">
        <f t="shared" si="23"/>
        <v>4520.1675360636873</v>
      </c>
      <c r="I102" s="24">
        <f>IF(IFERROR((I51-D51)/D51*100,"")&gt;500,"-",IFERROR((I51-D51)/D51*100,""))</f>
        <v>5.0455677398885088</v>
      </c>
      <c r="J102" s="24">
        <f>IF(IFERROR((J51-E51)/E51*100,"")&gt;500,"-",IFERROR((J51-E51)/E51*100,""))</f>
        <v>4.248989350235628</v>
      </c>
      <c r="K102" s="24">
        <f>IF(IFERROR((K51-F51)/F51*100,"")&gt;500,"-",IFERROR((K51-F51)/F51*100,""))</f>
        <v>13.254593716128408</v>
      </c>
      <c r="L102" s="24">
        <f>IF(IFERROR((L51-G51)/G51*100,"")&gt;500,"-",IFERROR((L51-G51)/G51*100,""))</f>
        <v>8.1575322110367292</v>
      </c>
      <c r="M102" s="25">
        <f>IF(IFERROR((M51-H51)/H51*100,"")&gt;500,"-",IFERROR((M51-H51)/H51*100,""))</f>
        <v>6.0757823296806972</v>
      </c>
      <c r="N102" s="23"/>
    </row>
    <row r="103" spans="2:14" ht="14.1" customHeight="1">
      <c r="B103" s="365" t="str">
        <f>IF(Indice_index!$Z$1=1,"Saldo global","Overall balance")</f>
        <v>Saldo global</v>
      </c>
      <c r="C103" s="366"/>
      <c r="D103" s="24">
        <f t="shared" si="23"/>
        <v>513.20591569998214</v>
      </c>
      <c r="E103" s="24">
        <f t="shared" si="23"/>
        <v>-371.95083221000823</v>
      </c>
      <c r="F103" s="24">
        <f t="shared" si="23"/>
        <v>277.1816749306272</v>
      </c>
      <c r="G103" s="24">
        <f t="shared" si="23"/>
        <v>1068.6669789199987</v>
      </c>
      <c r="H103" s="24">
        <f t="shared" si="23"/>
        <v>1487.1037373406143</v>
      </c>
      <c r="I103" s="24"/>
      <c r="J103" s="24"/>
      <c r="K103" s="24"/>
      <c r="L103" s="24"/>
      <c r="M103" s="25"/>
      <c r="N103" s="23"/>
    </row>
    <row r="104" spans="2:14" ht="14.1" customHeight="1">
      <c r="B104" s="357" t="str">
        <f>IF(Indice_index!$Z$1=1,"Despesa primária","Primary expenditure")</f>
        <v>Despesa primária</v>
      </c>
      <c r="C104" s="358"/>
      <c r="D104" s="4">
        <f t="shared" si="23"/>
        <v>2259.5503879400057</v>
      </c>
      <c r="E104" s="4">
        <f t="shared" si="23"/>
        <v>1252.6130561100217</v>
      </c>
      <c r="F104" s="4">
        <f t="shared" si="23"/>
        <v>1351.0185752645029</v>
      </c>
      <c r="G104" s="4">
        <f t="shared" si="23"/>
        <v>1914.5001030099957</v>
      </c>
      <c r="H104" s="4">
        <f t="shared" si="23"/>
        <v>4576.7395605945349</v>
      </c>
      <c r="I104" s="4">
        <f>IF(IFERROR((I53-D53)/D53*100,"")&gt;500,"-",IFERROR((I53-D53)/D53*100,""))</f>
        <v>5.5307518693974327</v>
      </c>
      <c r="J104" s="4">
        <f>IF(IFERROR((J53-E53)/E53*100,"")&gt;500,"-",IFERROR((J53-E53)/E53*100,""))</f>
        <v>4.5458859063096471</v>
      </c>
      <c r="K104" s="4">
        <f>IF(IFERROR((K53-F53)/F53*100,"")&gt;500,"-",IFERROR((K53-F53)/F53*100,""))</f>
        <v>13.648437323540644</v>
      </c>
      <c r="L104" s="4">
        <f>IF(IFERROR((L53-G53)/G53*100,"")&gt;500,"-",IFERROR((L53-G53)/G53*100,""))</f>
        <v>8.1603673396490937</v>
      </c>
      <c r="M104" s="4">
        <f>IF(IFERROR((M53-H53)/H53*100,"")&gt;500,"-",IFERROR((M53-H53)/H53*100,""))</f>
        <v>6.5746218684955435</v>
      </c>
      <c r="N104" s="159"/>
    </row>
    <row r="105" spans="2:14" ht="14.1" customHeight="1">
      <c r="B105" s="357" t="str">
        <f>IF(Indice_index!$Z$1=1,"Saldo corrente","Current balance")</f>
        <v>Saldo corrente</v>
      </c>
      <c r="C105" s="358"/>
      <c r="D105" s="4">
        <f t="shared" si="23"/>
        <v>664.38472497998009</v>
      </c>
      <c r="E105" s="4">
        <f t="shared" si="23"/>
        <v>-297.7762624200077</v>
      </c>
      <c r="F105" s="4">
        <f t="shared" si="23"/>
        <v>429.72052632479335</v>
      </c>
      <c r="G105" s="4">
        <f t="shared" si="23"/>
        <v>1056.822320680003</v>
      </c>
      <c r="H105" s="4">
        <f t="shared" si="23"/>
        <v>1853.1513095647824</v>
      </c>
      <c r="I105" s="4"/>
      <c r="J105" s="4"/>
      <c r="K105" s="4"/>
      <c r="L105" s="4"/>
      <c r="M105" s="4"/>
      <c r="N105" s="159"/>
    </row>
    <row r="106" spans="2:14" ht="14.1" customHeight="1">
      <c r="B106" s="357" t="str">
        <f>IF(Indice_index!$Z$1=1,"Saldo de capital","Capital balance")</f>
        <v>Saldo de capital</v>
      </c>
      <c r="C106" s="358"/>
      <c r="D106" s="4">
        <f t="shared" si="23"/>
        <v>-151.17880928000068</v>
      </c>
      <c r="E106" s="4">
        <f t="shared" si="23"/>
        <v>-74.174569789999623</v>
      </c>
      <c r="F106" s="4">
        <f t="shared" si="23"/>
        <v>-152.53885139416502</v>
      </c>
      <c r="G106" s="4">
        <f t="shared" si="23"/>
        <v>11.844658239999987</v>
      </c>
      <c r="H106" s="4">
        <f t="shared" si="23"/>
        <v>-366.04757222416447</v>
      </c>
      <c r="I106" s="4"/>
      <c r="J106" s="4"/>
      <c r="K106" s="4"/>
      <c r="L106" s="4"/>
      <c r="M106" s="4"/>
      <c r="N106" s="159"/>
    </row>
    <row r="107" spans="2:14" ht="14.1" customHeight="1">
      <c r="B107" s="361" t="str">
        <f>IF(Indice_index!$Z$1=1,"Saldo primário","Primary balance")</f>
        <v>Saldo primário</v>
      </c>
      <c r="C107" s="362"/>
      <c r="D107" s="19">
        <f t="shared" si="23"/>
        <v>554.12055462998251</v>
      </c>
      <c r="E107" s="19">
        <f t="shared" si="23"/>
        <v>-447.19424541000626</v>
      </c>
      <c r="F107" s="19">
        <f t="shared" si="23"/>
        <v>265.5688631797766</v>
      </c>
      <c r="G107" s="19">
        <f t="shared" si="23"/>
        <v>1068.4038878799984</v>
      </c>
      <c r="H107" s="19">
        <f t="shared" si="23"/>
        <v>1430.5317128097668</v>
      </c>
      <c r="I107" s="19"/>
      <c r="J107" s="19"/>
      <c r="K107" s="19"/>
      <c r="L107" s="19"/>
      <c r="M107" s="19"/>
      <c r="N107" s="159"/>
    </row>
    <row r="108" spans="2:14" ht="15">
      <c r="B108" s="9" t="str">
        <f>IF(Indice_index!$Z$1=1,"Fonte: Entidade Orçamental.","Source: Budgetary Entity.")</f>
        <v>Fonte: Entidade Orçamental.</v>
      </c>
      <c r="C108" s="9"/>
      <c r="D108" s="9"/>
      <c r="E108" s="9"/>
      <c r="F108" s="9"/>
      <c r="G108" s="9"/>
      <c r="H108" s="9"/>
      <c r="I108" s="9"/>
      <c r="J108" s="9"/>
      <c r="K108" s="9"/>
      <c r="L108" s="9"/>
      <c r="M108" s="9"/>
      <c r="N108" s="159"/>
    </row>
    <row r="109" spans="2:14" ht="14.85" customHeight="1"/>
  </sheetData>
  <mergeCells count="56">
    <mergeCell ref="B58:N58"/>
    <mergeCell ref="B61:C61"/>
    <mergeCell ref="B62:C63"/>
    <mergeCell ref="B9:C9"/>
    <mergeCell ref="B10:B12"/>
    <mergeCell ref="D10:M10"/>
    <mergeCell ref="C11:H11"/>
    <mergeCell ref="I11:N11"/>
    <mergeCell ref="B59:N59"/>
    <mergeCell ref="B60:N60"/>
    <mergeCell ref="B79:C79"/>
    <mergeCell ref="D62:H62"/>
    <mergeCell ref="I62:M62"/>
    <mergeCell ref="B64:C64"/>
    <mergeCell ref="B65:C65"/>
    <mergeCell ref="B71:C71"/>
    <mergeCell ref="B72:C72"/>
    <mergeCell ref="B73:C73"/>
    <mergeCell ref="B66:C66"/>
    <mergeCell ref="B67:C67"/>
    <mergeCell ref="B68:C68"/>
    <mergeCell ref="B69:C69"/>
    <mergeCell ref="B70:C70"/>
    <mergeCell ref="B76:C76"/>
    <mergeCell ref="B74:C74"/>
    <mergeCell ref="B75:C75"/>
    <mergeCell ref="B99:C99"/>
    <mergeCell ref="B83:C83"/>
    <mergeCell ref="B80:C80"/>
    <mergeCell ref="B92:C92"/>
    <mergeCell ref="B81:C81"/>
    <mergeCell ref="B82:C82"/>
    <mergeCell ref="B91:C91"/>
    <mergeCell ref="B96:C96"/>
    <mergeCell ref="B97:C97"/>
    <mergeCell ref="B85:C85"/>
    <mergeCell ref="B86:C86"/>
    <mergeCell ref="B87:C87"/>
    <mergeCell ref="B88:C88"/>
    <mergeCell ref="B93:C93"/>
    <mergeCell ref="B100:C100"/>
    <mergeCell ref="B77:C77"/>
    <mergeCell ref="B78:C78"/>
    <mergeCell ref="B106:C106"/>
    <mergeCell ref="B107:C107"/>
    <mergeCell ref="B95:C95"/>
    <mergeCell ref="B84:C84"/>
    <mergeCell ref="B103:C103"/>
    <mergeCell ref="B104:C104"/>
    <mergeCell ref="B105:C105"/>
    <mergeCell ref="B90:C90"/>
    <mergeCell ref="B98:C98"/>
    <mergeCell ref="B89:C89"/>
    <mergeCell ref="B101:C101"/>
    <mergeCell ref="B102:C102"/>
    <mergeCell ref="B94:C94"/>
  </mergeCells>
  <pageMargins left="0.70866141732283472" right="0.70866141732283472" top="0.74803149606299213" bottom="0.74803149606299213" header="0.31496062992125984" footer="0.31496062992125984"/>
  <pageSetup paperSize="9" scale="58" fitToHeight="2" orientation="portrait" r:id="rId1"/>
  <rowBreaks count="1" manualBreakCount="1">
    <brk id="60" min="1"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olha6">
    <pageSetUpPr fitToPage="1"/>
  </sheetPr>
  <dimension ref="A1:M52"/>
  <sheetViews>
    <sheetView showGridLines="0" zoomScaleNormal="100" workbookViewId="0"/>
  </sheetViews>
  <sheetFormatPr defaultColWidth="0" defaultRowHeight="15" zeroHeight="1"/>
  <cols>
    <col min="1" max="1" width="9.5703125" style="20" customWidth="1"/>
    <col min="2" max="2" width="35.5703125" style="137" customWidth="1"/>
    <col min="3" max="7" width="9.5703125" style="137" customWidth="1"/>
    <col min="8" max="8" width="2.5703125" style="137" customWidth="1"/>
    <col min="9" max="12" width="9.5703125" style="137" customWidth="1"/>
    <col min="13" max="13" width="9.42578125" style="137" customWidth="1"/>
    <col min="14" max="16384" width="9.28515625" hidden="1"/>
  </cols>
  <sheetData>
    <row r="1" spans="2:12"/>
    <row r="2" spans="2:12">
      <c r="B2" s="12"/>
      <c r="C2" s="13"/>
      <c r="D2" s="11"/>
      <c r="E2" s="11"/>
      <c r="F2" s="11"/>
      <c r="G2" s="11"/>
      <c r="H2" s="11"/>
      <c r="I2" s="11"/>
      <c r="J2" s="11"/>
      <c r="K2" s="11"/>
      <c r="L2" s="10"/>
    </row>
    <row r="3" spans="2:12">
      <c r="B3" s="12"/>
      <c r="C3" s="13"/>
      <c r="D3" s="11"/>
      <c r="E3" s="11"/>
      <c r="F3" s="11"/>
      <c r="G3" s="11"/>
      <c r="H3" s="11"/>
      <c r="I3" s="11"/>
      <c r="J3" s="11"/>
      <c r="K3" s="11"/>
      <c r="L3" s="10"/>
    </row>
    <row r="4" spans="2:12">
      <c r="B4" s="12"/>
      <c r="C4" s="13"/>
      <c r="D4" s="11"/>
      <c r="E4" s="11"/>
      <c r="F4" s="11"/>
      <c r="G4" s="11"/>
      <c r="H4" s="11"/>
      <c r="I4" s="11"/>
      <c r="J4" s="11"/>
      <c r="K4" s="11"/>
      <c r="L4" s="10"/>
    </row>
    <row r="5" spans="2:12">
      <c r="B5" s="12"/>
      <c r="C5" s="13"/>
      <c r="D5" s="11"/>
      <c r="E5" s="11"/>
      <c r="F5" s="11"/>
      <c r="G5" s="11"/>
      <c r="H5" s="11"/>
      <c r="I5" s="11"/>
      <c r="J5" s="11"/>
      <c r="K5" s="11"/>
      <c r="L5" s="10"/>
    </row>
    <row r="6" spans="2:12">
      <c r="B6" s="12"/>
      <c r="C6" s="13"/>
      <c r="D6" s="11"/>
      <c r="E6" s="11"/>
      <c r="F6" s="11"/>
      <c r="G6" s="11"/>
      <c r="H6" s="11"/>
      <c r="I6" s="11"/>
      <c r="J6" s="11"/>
      <c r="K6" s="11"/>
      <c r="L6" s="10"/>
    </row>
    <row r="7" spans="2:12" ht="50.1" customHeight="1">
      <c r="B7" s="12"/>
      <c r="C7" s="13"/>
      <c r="D7" s="11"/>
      <c r="E7" s="11"/>
      <c r="F7" s="11"/>
      <c r="G7" s="11"/>
      <c r="H7" s="11"/>
      <c r="I7" s="11"/>
      <c r="J7" s="11"/>
      <c r="K7" s="11"/>
      <c r="L7" s="10"/>
    </row>
    <row r="8" spans="2:12" ht="15.75">
      <c r="B8" s="1" t="str">
        <f>+'2 - Conta Consol AP'!B8&amp;" - Versão Texto"</f>
        <v>Quadro 2 - Conta Consolidada das Administrações Públicas - Versão Texto</v>
      </c>
      <c r="C8" s="2"/>
      <c r="D8" s="2"/>
      <c r="E8" s="2"/>
      <c r="F8" s="2"/>
      <c r="G8" s="2"/>
      <c r="H8" s="2"/>
      <c r="I8" s="2"/>
      <c r="J8" s="2"/>
      <c r="K8" s="2"/>
      <c r="L8" s="2"/>
    </row>
    <row r="9" spans="2:12" ht="15.75">
      <c r="B9" s="2"/>
      <c r="C9" s="2"/>
      <c r="D9" s="2"/>
      <c r="E9" s="2"/>
      <c r="F9" s="2"/>
      <c r="G9" s="2"/>
      <c r="H9" s="2"/>
      <c r="I9" s="383" t="s">
        <v>422</v>
      </c>
      <c r="J9" s="383"/>
      <c r="K9" s="383"/>
      <c r="L9" s="383"/>
    </row>
    <row r="10" spans="2:12">
      <c r="B10" s="3" t="str">
        <f>+'2 - Conta Consol AP'!B9:C9</f>
        <v>Período: janeiro a agosto</v>
      </c>
      <c r="C10" s="3"/>
      <c r="D10" s="3"/>
      <c r="E10" s="3"/>
      <c r="F10" s="3"/>
      <c r="G10" s="3"/>
      <c r="H10" s="3"/>
      <c r="I10" s="3"/>
      <c r="J10" s="3"/>
      <c r="K10" s="3"/>
      <c r="L10" s="3" t="s">
        <v>423</v>
      </c>
    </row>
    <row r="11" spans="2:12" ht="30.75" customHeight="1">
      <c r="B11" s="384"/>
      <c r="C11" s="385" t="str">
        <f>IF(Indice_index!$Z$1=1,"Execução Acumulada","Accumulated Execution")</f>
        <v>Execução Acumulada</v>
      </c>
      <c r="D11" s="386"/>
      <c r="E11" s="387" t="str">
        <f>IF(Indice_index!$Z$1=1,"Variação Homóloga Acumulada","YOY Change Rate")</f>
        <v>Variação Homóloga Acumulada</v>
      </c>
      <c r="F11" s="388"/>
      <c r="G11" s="389" t="s">
        <v>577</v>
      </c>
      <c r="H11" s="138"/>
      <c r="I11" s="385" t="str">
        <f>IF(Indice_index!$Z$1=1,"Execução Acumulada","Accumulated Execution")</f>
        <v>Execução Acumulada</v>
      </c>
      <c r="J11" s="386"/>
      <c r="K11" s="387" t="str">
        <f>IF(Indice_index!$Z$1=1,"Variação Homóloga Acumulada","YOY Change Rate")</f>
        <v>Variação Homóloga Acumulada</v>
      </c>
      <c r="L11" s="388"/>
    </row>
    <row r="12" spans="2:12" ht="24">
      <c r="B12" s="384"/>
      <c r="C12" s="22">
        <v>2024</v>
      </c>
      <c r="D12" s="22">
        <v>2025</v>
      </c>
      <c r="E12" s="22" t="s">
        <v>578</v>
      </c>
      <c r="F12" s="22" t="str">
        <f>IF(Indice_index!$Z$1=1,"Relativa (%)","Relative change (%)")</f>
        <v>Relativa (%)</v>
      </c>
      <c r="G12" s="389"/>
      <c r="I12" s="22">
        <v>2024</v>
      </c>
      <c r="J12" s="22">
        <v>2025</v>
      </c>
      <c r="K12" s="22" t="s">
        <v>578</v>
      </c>
      <c r="L12" s="22" t="str">
        <f>IF(Indice_index!$Z$1=1,"Relativa (%)","Relative change (%)")</f>
        <v>Relativa (%)</v>
      </c>
    </row>
    <row r="13" spans="2:12">
      <c r="B13" s="174" t="str">
        <f>IF(Indice_index!$Z$1=1,"Receita corrente","Current revenue")</f>
        <v>Receita corrente</v>
      </c>
      <c r="C13" s="134">
        <f>+C14+C17+C18+C19+C20</f>
        <v>72624.860775749519</v>
      </c>
      <c r="D13" s="134">
        <f>+D14+D17+D18+D19+D20</f>
        <v>78536.716930787923</v>
      </c>
      <c r="E13" s="134">
        <f t="shared" ref="E13:E44" si="0">+D13-C13</f>
        <v>5911.8561550384038</v>
      </c>
      <c r="F13" s="134">
        <f t="shared" ref="F13:F19" si="1">IF(IFERROR((D13-C13)/C13*100,"")&gt;500,"-",IFERROR((D13-C13)/C13*100,""))</f>
        <v>8.1402650440776583</v>
      </c>
      <c r="G13" s="134">
        <f t="shared" ref="G13:G19" si="2">IFERROR((D13-C13)/$C$26*100,"")</f>
        <v>7.8908367734100082</v>
      </c>
      <c r="H13" s="140"/>
      <c r="I13" s="134">
        <f>+I14+I17+I18+I19+I20</f>
        <v>67411.534923140003</v>
      </c>
      <c r="J13" s="134">
        <f>+J14+J17+J18+J19+J20</f>
        <v>72422.237254060004</v>
      </c>
      <c r="K13" s="134">
        <f t="shared" ref="K13:K44" si="3">+J13-I13</f>
        <v>5010.7023309200013</v>
      </c>
      <c r="L13" s="134">
        <f t="shared" ref="L13:L19" si="4">IF(IFERROR((J13-I13)/I13*100,"")&gt;500,"-",IFERROR((J13-I13)/I13*100,""))</f>
        <v>7.4330043613945422</v>
      </c>
    </row>
    <row r="14" spans="2:12">
      <c r="B14" s="125" t="str">
        <f>IF(Indice_index!$Z$1=1,"Receita fiscal","Tax")</f>
        <v>Receita fiscal</v>
      </c>
      <c r="C14" s="4">
        <f>+C15+C16</f>
        <v>40717.115145115109</v>
      </c>
      <c r="D14" s="4">
        <f>+D15+D16</f>
        <v>44411.519886890906</v>
      </c>
      <c r="E14" s="4">
        <f t="shared" si="0"/>
        <v>3694.4047417757974</v>
      </c>
      <c r="F14" s="4">
        <f t="shared" si="1"/>
        <v>9.0733460084512405</v>
      </c>
      <c r="G14" s="4">
        <f t="shared" si="2"/>
        <v>4.9310984617614393</v>
      </c>
      <c r="H14" s="140"/>
      <c r="I14" s="4">
        <f>+I15+I16</f>
        <v>37132.059023830006</v>
      </c>
      <c r="J14" s="4">
        <f>+J15+J16</f>
        <v>40277.398775999987</v>
      </c>
      <c r="K14" s="4">
        <f t="shared" si="3"/>
        <v>3145.3397521699808</v>
      </c>
      <c r="L14" s="4">
        <f t="shared" si="4"/>
        <v>8.4706849952797292</v>
      </c>
    </row>
    <row r="15" spans="2:12">
      <c r="B15" s="172" t="str">
        <f>IF(Indice_index!$Z$1=1,"Impostos diretos","Direct taxes")</f>
        <v>Impostos diretos</v>
      </c>
      <c r="C15" s="4">
        <f>+'2 - Conta Consol AP'!H15</f>
        <v>19899.754873448317</v>
      </c>
      <c r="D15" s="4">
        <f>+'2 - Conta Consol AP'!M15</f>
        <v>21817.867362738587</v>
      </c>
      <c r="E15" s="4">
        <f t="shared" si="0"/>
        <v>1918.1124892902699</v>
      </c>
      <c r="F15" s="4">
        <f t="shared" si="1"/>
        <v>9.6388749584526465</v>
      </c>
      <c r="G15" s="4">
        <f t="shared" si="2"/>
        <v>2.5601963527359115</v>
      </c>
      <c r="H15" s="140"/>
      <c r="I15" s="4">
        <f>+'3 - Conta AC + SS'!E14</f>
        <v>17204.354300750001</v>
      </c>
      <c r="J15" s="4">
        <f>+'3 - Conta AC + SS'!F14</f>
        <v>18607.989977899993</v>
      </c>
      <c r="K15" s="4">
        <f t="shared" si="3"/>
        <v>1403.6356771499923</v>
      </c>
      <c r="L15" s="4">
        <f t="shared" si="4"/>
        <v>8.1586071328977603</v>
      </c>
    </row>
    <row r="16" spans="2:12">
      <c r="B16" s="172" t="str">
        <f>IF(Indice_index!$Z$1=1,"Impostos indiretos","Indirect taxes")</f>
        <v>Impostos indiretos</v>
      </c>
      <c r="C16" s="4">
        <f>+'2 - Conta Consol AP'!H16</f>
        <v>20817.360271666788</v>
      </c>
      <c r="D16" s="4">
        <f>+'2 - Conta Consol AP'!M16</f>
        <v>22593.652524152323</v>
      </c>
      <c r="E16" s="4">
        <f t="shared" si="0"/>
        <v>1776.2922524855348</v>
      </c>
      <c r="F16" s="4">
        <f t="shared" si="1"/>
        <v>8.5327449268538409</v>
      </c>
      <c r="G16" s="4">
        <f t="shared" si="2"/>
        <v>2.3709021090255371</v>
      </c>
      <c r="H16" s="140"/>
      <c r="I16" s="4">
        <f>+'3 - Conta AC + SS'!E15</f>
        <v>19927.704723080002</v>
      </c>
      <c r="J16" s="4">
        <f>+'3 - Conta AC + SS'!F15</f>
        <v>21669.408798099998</v>
      </c>
      <c r="K16" s="4">
        <f t="shared" si="3"/>
        <v>1741.7040750199958</v>
      </c>
      <c r="L16" s="4">
        <f t="shared" si="4"/>
        <v>8.7401138225556778</v>
      </c>
    </row>
    <row r="17" spans="2:12">
      <c r="B17" s="125" t="str">
        <f>IF(Indice_index!$Z$1=1,"Contribuições de Segurança Social","Social security contributions")</f>
        <v>Contribuições de Segurança Social</v>
      </c>
      <c r="C17" s="4">
        <f>+'2 - Conta Consol AP'!H17</f>
        <v>20757.26301142</v>
      </c>
      <c r="D17" s="4">
        <f>+'2 - Conta Consol AP'!M17</f>
        <v>22468.667765009999</v>
      </c>
      <c r="E17" s="4">
        <f t="shared" si="0"/>
        <v>1711.404753589999</v>
      </c>
      <c r="F17" s="4">
        <f t="shared" si="1"/>
        <v>8.2448478522839803</v>
      </c>
      <c r="G17" s="4">
        <f t="shared" si="2"/>
        <v>2.2842936650796997</v>
      </c>
      <c r="H17" s="140"/>
      <c r="I17" s="4">
        <f>+'3 - Conta AC + SS'!E16</f>
        <v>20757.26301142</v>
      </c>
      <c r="J17" s="4">
        <f>+'3 - Conta AC + SS'!F16</f>
        <v>22468.667765009999</v>
      </c>
      <c r="K17" s="4">
        <f t="shared" si="3"/>
        <v>1711.404753589999</v>
      </c>
      <c r="L17" s="4">
        <f t="shared" si="4"/>
        <v>8.2448478522839803</v>
      </c>
    </row>
    <row r="18" spans="2:12">
      <c r="B18" s="125" t="str">
        <f>IF(Indice_index!$Z$1=1,"Transferências correntes","Current transfers")</f>
        <v>Transferências correntes</v>
      </c>
      <c r="C18" s="4">
        <f>+'2 - Conta Consol AP'!H18</f>
        <v>1873.7994724833586</v>
      </c>
      <c r="D18" s="4">
        <f>+'2 - Conta Consol AP'!M18</f>
        <v>2124.2217747262293</v>
      </c>
      <c r="E18" s="4">
        <f t="shared" si="0"/>
        <v>250.42230224287073</v>
      </c>
      <c r="F18" s="4">
        <f t="shared" si="1"/>
        <v>13.364413103979819</v>
      </c>
      <c r="G18" s="4">
        <f t="shared" si="2"/>
        <v>0.33425060752466895</v>
      </c>
      <c r="H18" s="140"/>
      <c r="I18" s="4">
        <f>+'3 - Conta AC + SS'!E17</f>
        <v>1836.2544154199998</v>
      </c>
      <c r="J18" s="4">
        <f>+'3 - Conta AC + SS'!F17</f>
        <v>2063.81054438</v>
      </c>
      <c r="K18" s="4">
        <f t="shared" si="3"/>
        <v>227.55612896000025</v>
      </c>
      <c r="L18" s="4">
        <f t="shared" si="4"/>
        <v>12.392407449049056</v>
      </c>
    </row>
    <row r="19" spans="2:12">
      <c r="B19" s="125" t="str">
        <f>IF(Indice_index!$Z$1=1,"Outras receitas correntes","Other current revenue")</f>
        <v>Outras receitas correntes</v>
      </c>
      <c r="C19" s="4">
        <f>+'2 - Conta Consol AP'!H21</f>
        <v>9049.0593328510604</v>
      </c>
      <c r="D19" s="4">
        <f>+'2 - Conta Consol AP'!M21</f>
        <v>9501.3241939707623</v>
      </c>
      <c r="E19" s="4">
        <f t="shared" si="0"/>
        <v>452.26486111970189</v>
      </c>
      <c r="F19" s="4">
        <f t="shared" si="1"/>
        <v>4.9979212698698063</v>
      </c>
      <c r="G19" s="4">
        <f t="shared" si="2"/>
        <v>0.60365951130306739</v>
      </c>
      <c r="H19" s="140"/>
      <c r="I19" s="4">
        <f>+'3 - Conta AC + SS'!E20</f>
        <v>7484.0404520600023</v>
      </c>
      <c r="J19" s="4">
        <f>+'3 - Conta AC + SS'!F20</f>
        <v>7585.9446379100018</v>
      </c>
      <c r="K19" s="4">
        <f t="shared" si="3"/>
        <v>101.90418584999952</v>
      </c>
      <c r="L19" s="4">
        <f t="shared" si="4"/>
        <v>1.3616199231252168</v>
      </c>
    </row>
    <row r="20" spans="2:12">
      <c r="B20" s="125" t="str">
        <f>IF(Indice_index!$Z$1=1,"Diferenças de consolidação","Consolidation differences")</f>
        <v>Diferenças de consolidação</v>
      </c>
      <c r="C20" s="4">
        <f>+'2 - Conta Consol AP'!H22</f>
        <v>227.62381387999574</v>
      </c>
      <c r="D20" s="4">
        <f>+'2 - Conta Consol AP'!M22</f>
        <v>30.98331019001045</v>
      </c>
      <c r="E20" s="4">
        <f t="shared" si="0"/>
        <v>-196.64050368998528</v>
      </c>
      <c r="F20" s="4"/>
      <c r="G20" s="4"/>
      <c r="H20" s="140"/>
      <c r="I20" s="4">
        <f>+'3 - Conta AC + SS'!E21</f>
        <v>201.91802040999562</v>
      </c>
      <c r="J20" s="4">
        <f>+'3 - Conta AC + SS'!F21</f>
        <v>26.415530760010306</v>
      </c>
      <c r="K20" s="4">
        <f t="shared" si="3"/>
        <v>-175.50248964998531</v>
      </c>
      <c r="L20" s="4"/>
    </row>
    <row r="21" spans="2:12">
      <c r="B21" s="174" t="str">
        <f>IF(Indice_index!$Z$1=1,"Receita de capital","Capital revenue")</f>
        <v>Receita de capital</v>
      </c>
      <c r="C21" s="134">
        <f>+C22+C23+C24+C25</f>
        <v>2295.6619115244657</v>
      </c>
      <c r="D21" s="134">
        <f>+D22+D23+D24+D25</f>
        <v>2391.0770298903608</v>
      </c>
      <c r="E21" s="134">
        <f t="shared" si="0"/>
        <v>95.415118365895069</v>
      </c>
      <c r="F21" s="134">
        <f>IF(IFERROR((D21-C21)/C21*100,"")&gt;500,"-",IFERROR((D21-C21)/C21*100,""))</f>
        <v>4.1563227532286469</v>
      </c>
      <c r="G21" s="134">
        <f>IFERROR((D21-C21)/$C$26*100,"")</f>
        <v>0.12735511571931718</v>
      </c>
      <c r="H21" s="140"/>
      <c r="I21" s="134">
        <f>+I22+I23+I24+I25</f>
        <v>1666.1765912600004</v>
      </c>
      <c r="J21" s="134">
        <f>+J22+J23+J24+J25</f>
        <v>1660.1549433799994</v>
      </c>
      <c r="K21" s="134">
        <f t="shared" si="3"/>
        <v>-6.0216478800009554</v>
      </c>
      <c r="L21" s="134">
        <f>IF(IFERROR((J21-I21)/I21*100,"")&gt;500,"-",IFERROR((J21-I21)/I21*100,""))</f>
        <v>-0.3614051422632969</v>
      </c>
    </row>
    <row r="22" spans="2:12">
      <c r="B22" s="125" t="str">
        <f>IF(Indice_index!$Z$1=1,"Venda de bens de investimento","Sale of investment goods")</f>
        <v>Venda de bens de investimento</v>
      </c>
      <c r="C22" s="4">
        <f>+'2 - Conta Consol AP'!H24</f>
        <v>119.80289905366912</v>
      </c>
      <c r="D22" s="4">
        <f>+'2 - Conta Consol AP'!M24</f>
        <v>94.121113897298201</v>
      </c>
      <c r="E22" s="4">
        <f t="shared" si="0"/>
        <v>-25.681785156370921</v>
      </c>
      <c r="F22" s="4">
        <f>IF(IFERROR((D22-C22)/C22*100,"")&gt;500,"-",IFERROR((D22-C22)/C22*100,""))</f>
        <v>-21.43669757512799</v>
      </c>
      <c r="G22" s="4">
        <f>IFERROR((D22-C22)/$C$26*100,"")</f>
        <v>-3.4278705266872406E-2</v>
      </c>
      <c r="H22" s="140"/>
      <c r="I22" s="4">
        <f>+'3 - Conta AC + SS'!E23</f>
        <v>59.455347710000005</v>
      </c>
      <c r="J22" s="4">
        <f>+'3 - Conta AC + SS'!F23</f>
        <v>30.48719659</v>
      </c>
      <c r="K22" s="4">
        <f t="shared" si="3"/>
        <v>-28.968151120000005</v>
      </c>
      <c r="L22" s="4">
        <f>IF(IFERROR((J22-I22)/I22*100,"")&gt;500,"-",IFERROR((J22-I22)/I22*100,""))</f>
        <v>-48.722532515149595</v>
      </c>
    </row>
    <row r="23" spans="2:12">
      <c r="B23" s="125" t="str">
        <f>IF(Indice_index!$Z$1=1,"Transferências de capital","Capital transfers")</f>
        <v>Transferências de capital</v>
      </c>
      <c r="C23" s="4">
        <f>+'2 - Conta Consol AP'!H25</f>
        <v>2001.7945011253457</v>
      </c>
      <c r="D23" s="4">
        <f>+'2 - Conta Consol AP'!M25</f>
        <v>2139.0037769254322</v>
      </c>
      <c r="E23" s="4">
        <f t="shared" si="0"/>
        <v>137.20927580008652</v>
      </c>
      <c r="F23" s="4">
        <f>IF(IFERROR((D23-C23)/C23*100,"")&gt;500,"-",IFERROR((D23-C23)/C23*100,""))</f>
        <v>6.8543137531325922</v>
      </c>
      <c r="G23" s="4">
        <f>IFERROR((D23-C23)/$C$26*100,"")</f>
        <v>0.18313977382780983</v>
      </c>
      <c r="H23" s="140"/>
      <c r="I23" s="4">
        <f>+'3 - Conta AC + SS'!E24</f>
        <v>1449.3920036000004</v>
      </c>
      <c r="J23" s="4">
        <f>+'3 - Conta AC + SS'!F24</f>
        <v>1487.9082880899998</v>
      </c>
      <c r="K23" s="4">
        <f t="shared" si="3"/>
        <v>38.516284489999407</v>
      </c>
      <c r="L23" s="4">
        <f>IF(IFERROR((J23-I23)/I23*100,"")&gt;500,"-",IFERROR((J23-I23)/I23*100,""))</f>
        <v>2.6574097548718805</v>
      </c>
    </row>
    <row r="24" spans="2:12">
      <c r="B24" s="125" t="str">
        <f>IF(Indice_index!$Z$1=1,"Outras receitas de capital","Other capital revenue")</f>
        <v>Outras receitas de capital</v>
      </c>
      <c r="C24" s="4">
        <f>+'2 - Conta Consol AP'!H28</f>
        <v>172.993210685451</v>
      </c>
      <c r="D24" s="4">
        <f>+'2 - Conta Consol AP'!M28</f>
        <v>127.3643493876306</v>
      </c>
      <c r="E24" s="4">
        <f t="shared" si="0"/>
        <v>-45.628861297820407</v>
      </c>
      <c r="F24" s="4">
        <f>IF(IFERROR((D24-C24)/C24*100,"")&gt;500,"-",IFERROR((D24-C24)/C24*100,""))</f>
        <v>-26.376099453282109</v>
      </c>
      <c r="G24" s="4">
        <f>IFERROR((D24-C24)/$C$26*100,"")</f>
        <v>-6.0903020509186771E-2</v>
      </c>
      <c r="H24" s="140"/>
      <c r="I24" s="4">
        <f>+'3 - Conta AC + SS'!E27</f>
        <v>157.14883995</v>
      </c>
      <c r="J24" s="4">
        <f>+'3 - Conta AC + SS'!F27</f>
        <v>114.65087408000002</v>
      </c>
      <c r="K24" s="4">
        <f t="shared" si="3"/>
        <v>-42.497965869999973</v>
      </c>
      <c r="L24" s="4">
        <f>IF(IFERROR((J24-I24)/I24*100,"")&gt;500,"-",IFERROR((J24-I24)/I24*100,""))</f>
        <v>-27.043130501963326</v>
      </c>
    </row>
    <row r="25" spans="2:12">
      <c r="B25" s="125" t="str">
        <f>IF(Indice_index!$Z$1=1,"Diferenças de consolidação","Consolidation differences")</f>
        <v>Diferenças de consolidação</v>
      </c>
      <c r="C25" s="4">
        <f>+'2 - Conta Consol AP'!H29</f>
        <v>1.0713006600000057</v>
      </c>
      <c r="D25" s="4">
        <f>+'2 - Conta Consol AP'!M29</f>
        <v>30.587789679999595</v>
      </c>
      <c r="E25" s="4">
        <f t="shared" si="0"/>
        <v>29.51648901999959</v>
      </c>
      <c r="F25" s="4"/>
      <c r="G25" s="4"/>
      <c r="H25" s="140"/>
      <c r="I25" s="4">
        <f>+'3 - Conta AC + SS'!E28</f>
        <v>0.1804</v>
      </c>
      <c r="J25" s="4">
        <f>+'3 - Conta AC + SS'!F28</f>
        <v>27.108584619999753</v>
      </c>
      <c r="K25" s="4">
        <f t="shared" si="3"/>
        <v>26.928184619999755</v>
      </c>
      <c r="L25" s="4"/>
    </row>
    <row r="26" spans="2:12">
      <c r="B26" s="17" t="str">
        <f>IF(Indice_index!$Z$1=1,"Receita efetiva","Effective revenue")</f>
        <v>Receita efetiva</v>
      </c>
      <c r="C26" s="18">
        <f>+C13+C21</f>
        <v>74920.522687273988</v>
      </c>
      <c r="D26" s="141">
        <f>+D13+D21</f>
        <v>80927.793960678289</v>
      </c>
      <c r="E26" s="141">
        <f t="shared" si="0"/>
        <v>6007.2712734043016</v>
      </c>
      <c r="F26" s="141">
        <f>IF(IFERROR((D26-C26)/C26*100,"")&gt;500,"-",IFERROR((D26-C26)/C26*100,""))</f>
        <v>8.01819188912933</v>
      </c>
      <c r="G26" s="141"/>
      <c r="H26" s="140"/>
      <c r="I26" s="18">
        <f>+I13+I21</f>
        <v>69077.711514399998</v>
      </c>
      <c r="J26" s="141">
        <f>+J13+J21</f>
        <v>74082.39219744</v>
      </c>
      <c r="K26" s="141">
        <f t="shared" si="3"/>
        <v>5004.6806830400019</v>
      </c>
      <c r="L26" s="141">
        <f t="shared" ref="L26:L36" si="5">IF(IFERROR((J26-I26)/I26*100,"")&gt;500,"-",IFERROR((J26-I26)/I26*100,""))</f>
        <v>7.2450007004020716</v>
      </c>
    </row>
    <row r="27" spans="2:12">
      <c r="B27" s="174" t="str">
        <f>IF(Indice_index!$Z$1=1,"Despesa corrente","Current expenditure")</f>
        <v>Despesa corrente</v>
      </c>
      <c r="C27" s="134">
        <f>+C28+C32+C33+C34+C35+C36+C37</f>
        <v>68820.82260620594</v>
      </c>
      <c r="D27" s="134">
        <f>+D28+D32+D33+D34+D35+D36+D37</f>
        <v>72879.527451679562</v>
      </c>
      <c r="E27" s="134">
        <f t="shared" si="0"/>
        <v>4058.7048454736214</v>
      </c>
      <c r="F27" s="134">
        <f t="shared" ref="F27:F36" si="6">IF(IFERROR((D27-C27)/C27*100,"")&gt;500,"-",IFERROR((D27-C27)/C27*100,""))</f>
        <v>5.8974953971381714</v>
      </c>
      <c r="G27" s="134">
        <f t="shared" ref="G27:G36" si="7">IFERROR((D27-C27)/$C$43*100,"")</f>
        <v>5.4555073423213498</v>
      </c>
      <c r="H27" s="140"/>
      <c r="I27" s="134">
        <f>+I28+I32+I33+I34+I35+I36+I37</f>
        <v>64775.690808749976</v>
      </c>
      <c r="J27" s="134">
        <f>+J28+J32+J33+J34+J35+J36+J37</f>
        <v>68362.962356429998</v>
      </c>
      <c r="K27" s="134">
        <f t="shared" si="3"/>
        <v>3587.2715476800222</v>
      </c>
      <c r="L27" s="134">
        <f t="shared" si="5"/>
        <v>5.537990414137659</v>
      </c>
    </row>
    <row r="28" spans="2:12">
      <c r="B28" s="125" t="str">
        <f>IF(Indice_index!$Z$1=1,"Despesas com o pessoal","Compensation of employees")</f>
        <v>Despesas com o pessoal</v>
      </c>
      <c r="C28" s="4">
        <f>+C29+C30+C31</f>
        <v>17969.047379676012</v>
      </c>
      <c r="D28" s="4">
        <f>+D29+D30+D31</f>
        <v>19644.537436600065</v>
      </c>
      <c r="E28" s="4">
        <f t="shared" si="0"/>
        <v>1675.4900569240526</v>
      </c>
      <c r="F28" s="4">
        <f t="shared" si="6"/>
        <v>9.3243120880137731</v>
      </c>
      <c r="G28" s="4">
        <f t="shared" si="7"/>
        <v>2.25210963978558</v>
      </c>
      <c r="H28" s="140"/>
      <c r="I28" s="4">
        <f>+I29+I30+I31</f>
        <v>14152.801165769994</v>
      </c>
      <c r="J28" s="4">
        <f>+J29+J30+J31</f>
        <v>15511.774267639999</v>
      </c>
      <c r="K28" s="4">
        <f t="shared" si="3"/>
        <v>1358.9731018700058</v>
      </c>
      <c r="L28" s="4">
        <f t="shared" si="5"/>
        <v>9.6021493268542653</v>
      </c>
    </row>
    <row r="29" spans="2:12">
      <c r="B29" s="172" t="str">
        <f>IF(Indice_index!$Z$1=1,"Remunerações certas e permanentes","Certain and permanent wages")</f>
        <v>Remunerações certas e permanentes</v>
      </c>
      <c r="C29" s="4">
        <f>+'2 - Conta Consol AP'!H33</f>
        <v>12953.223800276848</v>
      </c>
      <c r="D29" s="4">
        <f>+'2 - Conta Consol AP'!M33</f>
        <v>14157.950165538514</v>
      </c>
      <c r="E29" s="4">
        <f t="shared" si="0"/>
        <v>1204.7263652616657</v>
      </c>
      <c r="F29" s="4">
        <f t="shared" si="6"/>
        <v>9.300590986746613</v>
      </c>
      <c r="G29" s="4">
        <f t="shared" si="7"/>
        <v>1.6193327136125317</v>
      </c>
      <c r="H29" s="140"/>
      <c r="I29" s="4">
        <f>+'3 - Conta AC + SS'!E32</f>
        <v>10048.764734199993</v>
      </c>
      <c r="J29" s="4">
        <f>+'3 - Conta AC + SS'!F32</f>
        <v>11024.767441749998</v>
      </c>
      <c r="K29" s="4">
        <f t="shared" si="3"/>
        <v>976.00270755000565</v>
      </c>
      <c r="L29" s="4">
        <f t="shared" si="5"/>
        <v>9.7126635299588155</v>
      </c>
    </row>
    <row r="30" spans="2:12">
      <c r="B30" s="172" t="str">
        <f>IF(Indice_index!$Z$1=1,"Abonos variáveis ou eventuais","Variable or contingent bonuses")</f>
        <v>Abonos variáveis ou eventuais</v>
      </c>
      <c r="C30" s="4">
        <f>+'2 - Conta Consol AP'!H34</f>
        <v>1280.5725996402073</v>
      </c>
      <c r="D30" s="4">
        <f>+'2 - Conta Consol AP'!M34</f>
        <v>1462.8388202344618</v>
      </c>
      <c r="E30" s="4">
        <f t="shared" si="0"/>
        <v>182.26622059425449</v>
      </c>
      <c r="F30" s="4">
        <f t="shared" si="6"/>
        <v>14.233181363201464</v>
      </c>
      <c r="G30" s="4">
        <f t="shared" si="7"/>
        <v>0.24499310557604351</v>
      </c>
      <c r="H30" s="140"/>
      <c r="I30" s="4">
        <f>+'3 - Conta AC + SS'!E33</f>
        <v>1073.4582857400001</v>
      </c>
      <c r="J30" s="4">
        <f>+'3 - Conta AC + SS'!F33</f>
        <v>1211.6571706100003</v>
      </c>
      <c r="K30" s="4">
        <f t="shared" si="3"/>
        <v>138.19888487000026</v>
      </c>
      <c r="L30" s="4">
        <f t="shared" si="5"/>
        <v>12.874173752800406</v>
      </c>
    </row>
    <row r="31" spans="2:12">
      <c r="B31" s="172" t="str">
        <f>IF(Indice_index!$Z$1=1,"Segurança Social","Social security")</f>
        <v>Segurança Social</v>
      </c>
      <c r="C31" s="4">
        <f>+'2 - Conta Consol AP'!H35</f>
        <v>3735.2509797589582</v>
      </c>
      <c r="D31" s="4">
        <f>+'2 - Conta Consol AP'!M35</f>
        <v>4023.7484508270904</v>
      </c>
      <c r="E31" s="4">
        <f t="shared" si="0"/>
        <v>288.4974710681322</v>
      </c>
      <c r="F31" s="4">
        <f t="shared" si="6"/>
        <v>7.7236435417988805</v>
      </c>
      <c r="G31" s="4">
        <f t="shared" si="7"/>
        <v>0.38778382059700467</v>
      </c>
      <c r="H31" s="140"/>
      <c r="I31" s="4">
        <f>+'3 - Conta AC + SS'!E34</f>
        <v>3030.5781458300003</v>
      </c>
      <c r="J31" s="4">
        <f>+'3 - Conta AC + SS'!F34</f>
        <v>3275.3496552800011</v>
      </c>
      <c r="K31" s="4">
        <f t="shared" si="3"/>
        <v>244.77150945000085</v>
      </c>
      <c r="L31" s="4">
        <f t="shared" si="5"/>
        <v>8.0767265410001166</v>
      </c>
    </row>
    <row r="32" spans="2:12">
      <c r="B32" s="125" t="str">
        <f>IF(Indice_index!$Z$1=1,"Aquisição de bens e serviços","Purchase of goods and services")</f>
        <v>Aquisição de bens e serviços</v>
      </c>
      <c r="C32" s="4">
        <f>+'2 - Conta Consol AP'!H36</f>
        <v>10485.233109521949</v>
      </c>
      <c r="D32" s="4">
        <f>+'2 - Conta Consol AP'!M36</f>
        <v>10674.665786183765</v>
      </c>
      <c r="E32" s="4">
        <f t="shared" si="0"/>
        <v>189.432676661816</v>
      </c>
      <c r="F32" s="4">
        <f t="shared" si="6"/>
        <v>1.8066615656812304</v>
      </c>
      <c r="G32" s="4">
        <f t="shared" si="7"/>
        <v>0.25462589612956377</v>
      </c>
      <c r="H32" s="140"/>
      <c r="I32" s="4">
        <f>+'3 - Conta AC + SS'!E35</f>
        <v>7725.9319886999992</v>
      </c>
      <c r="J32" s="4">
        <f>+'3 - Conta AC + SS'!F35</f>
        <v>7642.9254652800155</v>
      </c>
      <c r="K32" s="4">
        <f t="shared" si="3"/>
        <v>-83.006523419983751</v>
      </c>
      <c r="L32" s="4">
        <f t="shared" si="5"/>
        <v>-1.0743884820807337</v>
      </c>
    </row>
    <row r="33" spans="2:12">
      <c r="B33" s="125" t="str">
        <f>IF(Indice_index!$Z$1=1,"Juros e outros encargos","Interests and other charges")</f>
        <v>Juros e outros encargos</v>
      </c>
      <c r="C33" s="4">
        <f>+'2 - Conta Consol AP'!H37</f>
        <v>4784.2596296251486</v>
      </c>
      <c r="D33" s="4">
        <f>+'2 - Conta Consol AP'!M37</f>
        <v>4727.6876050942992</v>
      </c>
      <c r="E33" s="4">
        <f t="shared" si="0"/>
        <v>-56.572024530849376</v>
      </c>
      <c r="F33" s="4">
        <f t="shared" si="6"/>
        <v>-1.182461423718383</v>
      </c>
      <c r="G33" s="4">
        <f t="shared" si="7"/>
        <v>-7.604127596078436E-2</v>
      </c>
      <c r="H33" s="140"/>
      <c r="I33" s="4">
        <f>+'3 - Conta AC + SS'!E36</f>
        <v>4609.9715731200004</v>
      </c>
      <c r="J33" s="4">
        <f>+'3 - Conta AC + SS'!F36</f>
        <v>4562.4294914900001</v>
      </c>
      <c r="K33" s="4">
        <f t="shared" si="3"/>
        <v>-47.542081630000212</v>
      </c>
      <c r="L33" s="4">
        <f t="shared" si="5"/>
        <v>-1.0312879564639923</v>
      </c>
    </row>
    <row r="34" spans="2:12">
      <c r="B34" s="125" t="str">
        <f>IF(Indice_index!$Z$1=1,"Transferências correntes","Current transfers")</f>
        <v>Transferências correntes</v>
      </c>
      <c r="C34" s="4">
        <f>+'2 - Conta Consol AP'!H38</f>
        <v>33695.467908538274</v>
      </c>
      <c r="D34" s="4">
        <f>+'2 - Conta Consol AP'!M38</f>
        <v>35369.161869916381</v>
      </c>
      <c r="E34" s="4">
        <f t="shared" si="0"/>
        <v>1673.6939613781069</v>
      </c>
      <c r="F34" s="4">
        <f t="shared" si="6"/>
        <v>4.9671189191410541</v>
      </c>
      <c r="G34" s="4">
        <f t="shared" si="7"/>
        <v>2.2496954183007767</v>
      </c>
      <c r="H34" s="140"/>
      <c r="I34" s="4">
        <f>+'3 - Conta AC + SS'!E37</f>
        <v>36944.722082029992</v>
      </c>
      <c r="J34" s="4">
        <f>+'3 - Conta AC + SS'!F37</f>
        <v>39030.972968199996</v>
      </c>
      <c r="K34" s="4">
        <f t="shared" si="3"/>
        <v>2086.2508861700044</v>
      </c>
      <c r="L34" s="4">
        <f t="shared" si="5"/>
        <v>5.6469524429979732</v>
      </c>
    </row>
    <row r="35" spans="2:12">
      <c r="B35" s="125" t="str">
        <f>IF(Indice_index!$Z$1=1,"Subsídios","Subsidies")</f>
        <v>Subsídios</v>
      </c>
      <c r="C35" s="4">
        <f>+'2 - Conta Consol AP'!H41</f>
        <v>1140.4547729060628</v>
      </c>
      <c r="D35" s="4">
        <f>+'2 - Conta Consol AP'!M41</f>
        <v>1569.5517513129107</v>
      </c>
      <c r="E35" s="4">
        <f t="shared" si="0"/>
        <v>429.09697840684794</v>
      </c>
      <c r="F35" s="4">
        <f t="shared" si="6"/>
        <v>37.625076294208462</v>
      </c>
      <c r="G35" s="4">
        <f t="shared" si="7"/>
        <v>0.57677062151418745</v>
      </c>
      <c r="H35" s="140"/>
      <c r="I35" s="4">
        <f>+'3 - Conta AC + SS'!E40</f>
        <v>824.08671874000015</v>
      </c>
      <c r="J35" s="4">
        <f>+'3 - Conta AC + SS'!F40</f>
        <v>1138.82782851</v>
      </c>
      <c r="K35" s="4">
        <f t="shared" si="3"/>
        <v>314.74110976999987</v>
      </c>
      <c r="L35" s="4">
        <f t="shared" si="5"/>
        <v>38.192717175593856</v>
      </c>
    </row>
    <row r="36" spans="2:12">
      <c r="B36" s="125" t="str">
        <f>IF(Indice_index!$Z$1=1,"Outras despesas correntes","Other current expenditures")</f>
        <v>Outras despesas correntes</v>
      </c>
      <c r="C36" s="4">
        <f>+'2 - Conta Consol AP'!H42</f>
        <v>520.05896781849447</v>
      </c>
      <c r="D36" s="4">
        <f>+'2 - Conta Consol AP'!M42</f>
        <v>398.97630654213776</v>
      </c>
      <c r="E36" s="4">
        <f t="shared" si="0"/>
        <v>-121.0826612763567</v>
      </c>
      <c r="F36" s="4">
        <f t="shared" si="6"/>
        <v>-23.282486942637568</v>
      </c>
      <c r="G36" s="4">
        <f t="shared" si="7"/>
        <v>-0.16275323601262992</v>
      </c>
      <c r="H36" s="140"/>
      <c r="I36" s="4">
        <f>+'3 - Conta AC + SS'!E41</f>
        <v>393.4878638900002</v>
      </c>
      <c r="J36" s="4">
        <f>+'3 - Conta AC + SS'!F41</f>
        <v>272.39742567000008</v>
      </c>
      <c r="K36" s="4">
        <f t="shared" si="3"/>
        <v>-121.09043822000012</v>
      </c>
      <c r="L36" s="4">
        <f t="shared" si="5"/>
        <v>-30.773614470064324</v>
      </c>
    </row>
    <row r="37" spans="2:12">
      <c r="B37" s="125" t="str">
        <f>IF(Indice_index!$Z$1=1,"Diferenças de consolidação","Consolidation differences")</f>
        <v>Diferenças de consolidação</v>
      </c>
      <c r="C37" s="4">
        <f>+'2 - Conta Consol AP'!H43</f>
        <v>226.30083812000126</v>
      </c>
      <c r="D37" s="4">
        <f>+'2 - Conta Consol AP'!M43</f>
        <v>494.9466960299963</v>
      </c>
      <c r="E37" s="4">
        <f t="shared" si="0"/>
        <v>268.64585790999502</v>
      </c>
      <c r="F37" s="4"/>
      <c r="G37" s="4"/>
      <c r="H37" s="140"/>
      <c r="I37" s="4">
        <f>+'3 - Conta AC + SS'!E42</f>
        <v>124.689416499998</v>
      </c>
      <c r="J37" s="4">
        <f>+'3 - Conta AC + SS'!F42</f>
        <v>203.6349096399951</v>
      </c>
      <c r="K37" s="4">
        <f t="shared" si="3"/>
        <v>78.945493139997097</v>
      </c>
      <c r="L37" s="4"/>
    </row>
    <row r="38" spans="2:12">
      <c r="B38" s="174" t="str">
        <f>IF(Indice_index!$Z$1=1,"Despesa de capital","Capital expenditure")</f>
        <v>Despesa de capital</v>
      </c>
      <c r="C38" s="134">
        <f>+C39+C40+C41+C42</f>
        <v>5575.6467008378131</v>
      </c>
      <c r="D38" s="134">
        <f>+D39+D40+D41+D42</f>
        <v>6037.1093914278727</v>
      </c>
      <c r="E38" s="134">
        <f t="shared" si="0"/>
        <v>461.46269059005954</v>
      </c>
      <c r="F38" s="134">
        <f>IF(IFERROR((D38-C38)/C38*100,"")&gt;500,"-",IFERROR((D38-C38)/C38*100,""))</f>
        <v>8.2763976153782988</v>
      </c>
      <c r="G38" s="134">
        <f>IFERROR((D38-C38)/$C$43*100,"")</f>
        <v>0.62027498735933817</v>
      </c>
      <c r="H38" s="140"/>
      <c r="I38" s="134">
        <f>+I39+I40+I41+I42</f>
        <v>4309.2874866799993</v>
      </c>
      <c r="J38" s="134">
        <f>+J39+J40+J41+J42</f>
        <v>4516.7745596300001</v>
      </c>
      <c r="K38" s="134">
        <f t="shared" si="3"/>
        <v>207.48707295000077</v>
      </c>
      <c r="L38" s="134">
        <f>IF(IFERROR((J38-I38)/I38*100,"")&gt;500,"-",IFERROR((J38-I38)/I38*100,""))</f>
        <v>4.8148811976769474</v>
      </c>
    </row>
    <row r="39" spans="2:12">
      <c r="B39" s="125" t="str">
        <f>IF(Indice_index!$Z$1=1,"Investimentos","Investments")</f>
        <v>Investimentos</v>
      </c>
      <c r="C39" s="4">
        <f>+'2 - Conta Consol AP'!H45</f>
        <v>3981.8756310381359</v>
      </c>
      <c r="D39" s="4">
        <f>+'2 - Conta Consol AP'!M45</f>
        <v>4689.0087923157189</v>
      </c>
      <c r="E39" s="4">
        <f t="shared" si="0"/>
        <v>707.13316127758299</v>
      </c>
      <c r="F39" s="4">
        <f>IF(IFERROR((D39-C39)/C39*100,"")&gt;500,"-",IFERROR((D39-C39)/C39*100,""))</f>
        <v>17.758795773669668</v>
      </c>
      <c r="G39" s="4">
        <f>IFERROR((D39-C39)/$C$43*100,"")</f>
        <v>0.95049290358007965</v>
      </c>
      <c r="H39" s="140"/>
      <c r="I39" s="4">
        <f>+'3 - Conta AC + SS'!E44</f>
        <v>2310.4502735599999</v>
      </c>
      <c r="J39" s="4">
        <f>+'3 - Conta AC + SS'!F44</f>
        <v>2518.5815996599999</v>
      </c>
      <c r="K39" s="4">
        <f t="shared" si="3"/>
        <v>208.13132610000002</v>
      </c>
      <c r="L39" s="4">
        <f>IF(IFERROR((J39-I39)/I39*100,"")&gt;500,"-",IFERROR((J39-I39)/I39*100,""))</f>
        <v>9.0082581945945126</v>
      </c>
    </row>
    <row r="40" spans="2:12">
      <c r="B40" s="125" t="str">
        <f>IF(Indice_index!$Z$1=1,"Transferências de capital","Capital transfers")</f>
        <v>Transferências de capital</v>
      </c>
      <c r="C40" s="4">
        <f>+'2 - Conta Consol AP'!H46</f>
        <v>1171.0532516896765</v>
      </c>
      <c r="D40" s="4">
        <f>+'2 - Conta Consol AP'!M46</f>
        <v>1204.0918608397214</v>
      </c>
      <c r="E40" s="4">
        <f t="shared" si="0"/>
        <v>33.038609150044977</v>
      </c>
      <c r="F40" s="4">
        <f>IF(IFERROR((D40-C40)/C40*100,"")&gt;500,"-",IFERROR((D40-C40)/C40*100,""))</f>
        <v>2.8212729952608555</v>
      </c>
      <c r="G40" s="4">
        <f>IFERROR((D40-C40)/$C$43*100,"")</f>
        <v>4.4408840174512056E-2</v>
      </c>
      <c r="H40" s="140"/>
      <c r="I40" s="4">
        <f>+'3 - Conta AC + SS'!E45</f>
        <v>1598.2257663099999</v>
      </c>
      <c r="J40" s="4">
        <f>+'3 - Conta AC + SS'!F45</f>
        <v>1865.4208442199999</v>
      </c>
      <c r="K40" s="4">
        <f t="shared" si="3"/>
        <v>267.19507791000001</v>
      </c>
      <c r="L40" s="4">
        <f>IF(IFERROR((J40-I40)/I40*100,"")&gt;500,"-",IFERROR((J40-I40)/I40*100,""))</f>
        <v>16.718231149964673</v>
      </c>
    </row>
    <row r="41" spans="2:12">
      <c r="B41" s="125" t="str">
        <f>IF(Indice_index!$Z$1=1,"Outras despesas de capital","Other capital expenditures")</f>
        <v>Outras despesas de capital</v>
      </c>
      <c r="C41" s="4">
        <f>+'2 - Conta Consol AP'!H49</f>
        <v>141.72685779999998</v>
      </c>
      <c r="D41" s="4">
        <f>+'2 - Conta Consol AP'!M49</f>
        <v>91.96329503243237</v>
      </c>
      <c r="E41" s="4">
        <f t="shared" si="0"/>
        <v>-49.763562767567606</v>
      </c>
      <c r="F41" s="4">
        <f>IF(IFERROR((D41-C41)/C41*100,"")&gt;500,"-",IFERROR((D41-C41)/C41*100,""))</f>
        <v>-35.112302311670682</v>
      </c>
      <c r="G41" s="4">
        <f>IFERROR((D41-C41)/$C$43*100,"")</f>
        <v>-6.688968338293988E-2</v>
      </c>
      <c r="H41" s="140"/>
      <c r="I41" s="4">
        <f>+'3 - Conta AC + SS'!E48</f>
        <v>122.48943483999999</v>
      </c>
      <c r="J41" s="4">
        <f>+'3 - Conta AC + SS'!F48</f>
        <v>79.935520990000015</v>
      </c>
      <c r="K41" s="4">
        <f t="shared" si="3"/>
        <v>-42.553913849999972</v>
      </c>
      <c r="L41" s="4">
        <f>IF(IFERROR((J41-I41)/I41*100,"")&gt;500,"-",IFERROR((J41-I41)/I41*100,""))</f>
        <v>-34.740885126611445</v>
      </c>
    </row>
    <row r="42" spans="2:12">
      <c r="B42" s="125" t="str">
        <f>IF(Indice_index!$Z$1=1,"Diferenças de consolidação","Consolidation differences")</f>
        <v>Diferenças de consolidação</v>
      </c>
      <c r="C42" s="4">
        <f>+'2 - Conta Consol AP'!H50</f>
        <v>280.99096031000016</v>
      </c>
      <c r="D42" s="4">
        <f>+'2 - Conta Consol AP'!M50</f>
        <v>52.04544323999977</v>
      </c>
      <c r="E42" s="4">
        <f t="shared" si="0"/>
        <v>-228.94551707000039</v>
      </c>
      <c r="F42" s="4"/>
      <c r="G42" s="4"/>
      <c r="H42" s="140"/>
      <c r="I42" s="4">
        <f>+'3 - Conta AC + SS'!E49</f>
        <v>278.12201197000007</v>
      </c>
      <c r="J42" s="4">
        <f>+'3 - Conta AC + SS'!F49</f>
        <v>52.83659475999977</v>
      </c>
      <c r="K42" s="4">
        <f t="shared" si="3"/>
        <v>-225.2854172100003</v>
      </c>
      <c r="L42" s="4"/>
    </row>
    <row r="43" spans="2:12">
      <c r="B43" s="17" t="str">
        <f>IF(Indice_index!$Z$1=1,"Despesa efetiva","Effective expenditure")</f>
        <v>Despesa efetiva</v>
      </c>
      <c r="C43" s="18">
        <f>+C27+C38</f>
        <v>74396.46930704375</v>
      </c>
      <c r="D43" s="141">
        <f>+D27+D38</f>
        <v>78916.636843107437</v>
      </c>
      <c r="E43" s="141">
        <f t="shared" si="0"/>
        <v>4520.1675360636873</v>
      </c>
      <c r="F43" s="141">
        <f>IF(IFERROR((D43-C43)/C43*100,"")&gt;500,"-",IFERROR((D43-C43)/C43*100,""))</f>
        <v>6.0757823296806972</v>
      </c>
      <c r="G43" s="141"/>
      <c r="H43" s="139"/>
      <c r="I43" s="18">
        <f>+I27+I38</f>
        <v>69084.978295429974</v>
      </c>
      <c r="J43" s="141">
        <f>+J27+J38</f>
        <v>72879.736916059992</v>
      </c>
      <c r="K43" s="141">
        <f t="shared" si="3"/>
        <v>3794.7586206300184</v>
      </c>
      <c r="L43" s="141">
        <f>IF(IFERROR((J43-I43)/I43*100,"")&gt;500,"-",IFERROR((J43-I43)/I43*100,""))</f>
        <v>5.49288530482327</v>
      </c>
    </row>
    <row r="44" spans="2:12">
      <c r="B44" s="17" t="str">
        <f>IF(Indice_index!$Z$1=1,"Saldo global","Overall balance")</f>
        <v>Saldo global</v>
      </c>
      <c r="C44" s="18">
        <f>+C26-C43</f>
        <v>524.05338023023796</v>
      </c>
      <c r="D44" s="141">
        <f>+D26-D43</f>
        <v>2011.1571175708523</v>
      </c>
      <c r="E44" s="141">
        <f t="shared" si="0"/>
        <v>1487.1037373406143</v>
      </c>
      <c r="F44" s="141"/>
      <c r="G44" s="141"/>
      <c r="H44" s="139"/>
      <c r="I44" s="18">
        <f>+I26-I43</f>
        <v>-7.266781029975391</v>
      </c>
      <c r="J44" s="141">
        <f>+J26-J43</f>
        <v>1202.6552813800081</v>
      </c>
      <c r="K44" s="141">
        <f t="shared" si="3"/>
        <v>1209.9220624099835</v>
      </c>
      <c r="L44" s="141"/>
    </row>
    <row r="45" spans="2:12">
      <c r="B45" s="125" t="str">
        <f>IF(Indice_index!$Z$1=1,"Despesa primária","Primary expenditure")</f>
        <v>Despesa primária</v>
      </c>
      <c r="C45" s="4">
        <f>+C43-C33</f>
        <v>69612.209677418607</v>
      </c>
      <c r="D45" s="4">
        <f>+D43-D33</f>
        <v>74188.949238013141</v>
      </c>
      <c r="E45" s="4">
        <f>+D45-C45</f>
        <v>4576.7395605945349</v>
      </c>
      <c r="F45" s="4">
        <f>IF(IFERROR((D45-C45)/C45*100,"")&gt;500,"-",IFERROR((D45-C45)/C45*100,""))</f>
        <v>6.5746218684955435</v>
      </c>
      <c r="G45" s="4">
        <f>IFERROR((D45-C45)/$C$43*100,"")</f>
        <v>6.1518236056414786</v>
      </c>
      <c r="H45" s="140"/>
      <c r="I45" s="4">
        <f>+I43-I33</f>
        <v>64475.006722309976</v>
      </c>
      <c r="J45" s="4">
        <f>+J43-J33</f>
        <v>68317.307424569997</v>
      </c>
      <c r="K45" s="4">
        <f>+J45-I45</f>
        <v>3842.3007022600214</v>
      </c>
      <c r="L45" s="4"/>
    </row>
    <row r="46" spans="2:12">
      <c r="B46" s="125" t="str">
        <f>IF(Indice_index!$Z$1=1,"Saldo corrente","Current balance")</f>
        <v>Saldo corrente</v>
      </c>
      <c r="C46" s="4">
        <f>+C13-C27</f>
        <v>3804.038169543579</v>
      </c>
      <c r="D46" s="4">
        <f>+D13-D27</f>
        <v>5657.1894791083614</v>
      </c>
      <c r="E46" s="4">
        <f>+D46-C46</f>
        <v>1853.1513095647824</v>
      </c>
      <c r="F46" s="4"/>
      <c r="G46" s="4"/>
      <c r="H46" s="140"/>
      <c r="I46" s="4">
        <f>+I13-I27</f>
        <v>2635.8441143900272</v>
      </c>
      <c r="J46" s="4">
        <f>+J13-J27</f>
        <v>4059.2748976300063</v>
      </c>
      <c r="K46" s="4">
        <f>+J46-I46</f>
        <v>1423.4307832399791</v>
      </c>
      <c r="L46" s="4"/>
    </row>
    <row r="47" spans="2:12">
      <c r="B47" s="125" t="str">
        <f>IF(Indice_index!$Z$1=1,"Saldo de capital","Capital balance")</f>
        <v>Saldo de capital</v>
      </c>
      <c r="C47" s="4">
        <f>+C21-C38</f>
        <v>-3279.9847893133474</v>
      </c>
      <c r="D47" s="4">
        <f>+D21-D38</f>
        <v>-3646.0323615375119</v>
      </c>
      <c r="E47" s="4">
        <f>+D47-C47</f>
        <v>-366.04757222416447</v>
      </c>
      <c r="F47" s="4"/>
      <c r="G47" s="4"/>
      <c r="H47" s="140"/>
      <c r="I47" s="4">
        <f>+I21-I38</f>
        <v>-2643.110895419999</v>
      </c>
      <c r="J47" s="4">
        <f>+J21-J38</f>
        <v>-2856.6196162500009</v>
      </c>
      <c r="K47" s="4">
        <f>+J47-I47</f>
        <v>-213.50872083000195</v>
      </c>
      <c r="L47" s="4"/>
    </row>
    <row r="48" spans="2:12">
      <c r="B48" s="173" t="str">
        <f>IF(Indice_index!$Z$1=1,"Saldo primário","Primary balance")</f>
        <v>Saldo primário</v>
      </c>
      <c r="C48" s="19">
        <f>+C26-C45</f>
        <v>5308.3130098553811</v>
      </c>
      <c r="D48" s="19">
        <f>+D26-D45</f>
        <v>6738.8447226651479</v>
      </c>
      <c r="E48" s="19">
        <f>+D48-C48</f>
        <v>1430.5317128097668</v>
      </c>
      <c r="F48" s="19"/>
      <c r="G48" s="19"/>
      <c r="H48" s="140"/>
      <c r="I48" s="19">
        <f>+I26-I45</f>
        <v>4602.7047920900222</v>
      </c>
      <c r="J48" s="19">
        <f>+J26-J45</f>
        <v>5765.0847728700028</v>
      </c>
      <c r="K48" s="19">
        <f>+J48-I48</f>
        <v>1162.3799807799805</v>
      </c>
      <c r="L48" s="19"/>
    </row>
    <row r="49" spans="2:12">
      <c r="B49" s="9"/>
      <c r="C49" s="9"/>
      <c r="D49" s="9"/>
      <c r="E49" s="9"/>
      <c r="F49" s="9"/>
      <c r="G49" s="9"/>
      <c r="I49" s="9"/>
      <c r="J49" s="9"/>
      <c r="K49" s="9"/>
      <c r="L49" s="9"/>
    </row>
    <row r="50" spans="2:12">
      <c r="B50" s="139" t="s">
        <v>424</v>
      </c>
    </row>
    <row r="51" spans="2:12"/>
    <row r="52" spans="2:12"/>
  </sheetData>
  <mergeCells count="7">
    <mergeCell ref="I9:L9"/>
    <mergeCell ref="B11:B12"/>
    <mergeCell ref="C11:D11"/>
    <mergeCell ref="E11:F11"/>
    <mergeCell ref="G11:G12"/>
    <mergeCell ref="I11:J11"/>
    <mergeCell ref="K11:L11"/>
  </mergeCells>
  <pageMargins left="0.70866141732283472" right="0.70866141732283472" top="0.74803149606299213" bottom="0.74803149606299213" header="0.31496062992125984" footer="0.31496062992125984"/>
  <pageSetup paperSize="9" scale="71"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Folha9">
    <pageSetUpPr fitToPage="1"/>
  </sheetPr>
  <dimension ref="A1:O63"/>
  <sheetViews>
    <sheetView showGridLines="0" zoomScaleNormal="100" workbookViewId="0"/>
  </sheetViews>
  <sheetFormatPr defaultColWidth="0" defaultRowHeight="14.85" customHeight="1" zeroHeight="1"/>
  <cols>
    <col min="1" max="1" width="8.5703125" style="20" customWidth="1"/>
    <col min="2" max="2" width="37" style="28" customWidth="1"/>
    <col min="3" max="9" width="10.42578125" style="28" customWidth="1"/>
    <col min="10" max="10" width="8.5703125" style="28" customWidth="1"/>
    <col min="11" max="15" width="0" hidden="1" customWidth="1"/>
    <col min="16" max="16384" width="9.42578125" hidden="1"/>
  </cols>
  <sheetData>
    <row r="1" spans="1:10" ht="14.85" customHeight="1"/>
    <row r="2" spans="1:10" ht="15"/>
    <row r="3" spans="1:10" ht="15"/>
    <row r="4" spans="1:10" ht="15"/>
    <row r="5" spans="1:10" ht="18" customHeight="1">
      <c r="A5"/>
      <c r="B5" s="270" t="str">
        <f>IF(Indice_index!$Z$1=1,"ANEXOS ESTATÍSTICOS","STATISTICAL ANNEXES")</f>
        <v>ANEXOS ESTATÍSTICOS</v>
      </c>
      <c r="C5"/>
      <c r="D5"/>
      <c r="E5"/>
      <c r="F5"/>
      <c r="G5"/>
      <c r="H5"/>
      <c r="I5"/>
      <c r="J5"/>
    </row>
    <row r="6" spans="1:10" ht="18" customHeight="1">
      <c r="A6"/>
      <c r="B6" s="271" t="str">
        <f>IF(Indice_index!$Z$1=1,"Agosto de 2025","August 2025")</f>
        <v>Agosto de 2025</v>
      </c>
      <c r="C6"/>
      <c r="D6"/>
      <c r="E6"/>
      <c r="F6"/>
      <c r="G6"/>
      <c r="H6"/>
      <c r="I6"/>
      <c r="J6"/>
    </row>
    <row r="7" spans="1:10" ht="49.5" customHeight="1">
      <c r="B7" s="12"/>
      <c r="C7" s="13"/>
      <c r="D7" s="11"/>
      <c r="E7" s="11"/>
      <c r="F7" s="11"/>
      <c r="G7" s="11"/>
      <c r="H7" s="11"/>
      <c r="I7" s="11"/>
    </row>
    <row r="8" spans="1:10" ht="15.75">
      <c r="B8" s="1" t="str">
        <f>IF(Indice_index!$Z$1=1,"Quadro 3 - Conta Consolidada da Administração Central e Segurança Social","3 - Central Government and Social Security Consolidated Account")</f>
        <v>Quadro 3 - Conta Consolidada da Administração Central e Segurança Social</v>
      </c>
      <c r="C8" s="2"/>
      <c r="D8" s="2"/>
      <c r="E8" s="2"/>
      <c r="F8" s="2"/>
      <c r="G8" s="2"/>
      <c r="H8" s="2"/>
      <c r="I8" s="2"/>
    </row>
    <row r="9" spans="1:10" ht="15">
      <c r="B9" s="3" t="str">
        <f>IF(Indice_index!$Z$1=1,"Período: janeiro a agosto","Period: January to August")</f>
        <v>Período: janeiro a agosto</v>
      </c>
      <c r="C9" s="3"/>
      <c r="D9" s="3"/>
      <c r="E9" s="3"/>
      <c r="F9" s="3"/>
      <c r="G9" s="3"/>
      <c r="H9" s="3"/>
      <c r="I9" s="3" t="str">
        <f>IF(Indice_index!$Z$1=1,"€ Milhões","€ Millions")</f>
        <v>€ Milhões</v>
      </c>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308">
        <f>+C14+C15+C16+C17+C20+C21</f>
        <v>108451.28234245001</v>
      </c>
      <c r="D12" s="134">
        <f>SUM(D14:D17)+D20+D21</f>
        <v>116634.69932900372</v>
      </c>
      <c r="E12" s="308">
        <f>+E14+E15+E16+E17+E20+E21</f>
        <v>67411.534923140003</v>
      </c>
      <c r="F12" s="308">
        <f>+F14+F15+F16+F17+F20+F21</f>
        <v>72422.237254060004</v>
      </c>
      <c r="G12" s="134">
        <f>IFERROR(IF(F12/D12*100&lt;-500,"-",IF(F12/D12*100&gt;500,"-",F12/D12*100)),"-")</f>
        <v>62.093217259274624</v>
      </c>
      <c r="H12" s="134">
        <f t="shared" ref="H12:H20" si="0">IF(IFERROR((F12-E12)/E12*100,"")&gt;500,"-",IFERROR((F12-E12)/E12*100,""))</f>
        <v>7.4330043613945422</v>
      </c>
      <c r="I12" s="134">
        <f>IFERROR((F12-E12)/$E$29*100,"")</f>
        <v>7.2537179085260615</v>
      </c>
    </row>
    <row r="13" spans="1:10" ht="14.1" customHeight="1">
      <c r="B13" s="125" t="str">
        <f>IF(Indice_index!$Z$1=1,"Receita fiscal","Tax")</f>
        <v>Receita fiscal</v>
      </c>
      <c r="C13" s="309">
        <f>+C14+C15</f>
        <v>61610.696890070001</v>
      </c>
      <c r="D13" s="4">
        <f>+D14+D15</f>
        <v>64398.664613000001</v>
      </c>
      <c r="E13" s="309">
        <f>+E14+E15</f>
        <v>37132.059023830006</v>
      </c>
      <c r="F13" s="309">
        <f>+F14+F15</f>
        <v>40277.398775999987</v>
      </c>
      <c r="G13" s="4">
        <f>IFERROR(IF(F13/D13*100&lt;-500,"-",IF(F13/D13*100&gt;500,"-",F13/D13*100)),"-")</f>
        <v>62.543841581257396</v>
      </c>
      <c r="H13" s="4">
        <f t="shared" si="0"/>
        <v>8.4706849952797292</v>
      </c>
      <c r="I13" s="4">
        <f t="shared" ref="I13:I20" si="1">IFERROR((F13-E13)/$E$29*100,"")</f>
        <v>4.5533351977277077</v>
      </c>
    </row>
    <row r="14" spans="1:10" ht="14.1" customHeight="1">
      <c r="B14" s="172" t="str">
        <f>IF(Indice_index!$Z$1=1,"Impostos diretos ","Direct taxes")</f>
        <v xml:space="preserve">Impostos diretos </v>
      </c>
      <c r="C14" s="309">
        <v>27679.896564609997</v>
      </c>
      <c r="D14" s="4">
        <v>27974.777635999999</v>
      </c>
      <c r="E14" s="309">
        <v>17204.354300750001</v>
      </c>
      <c r="F14" s="309">
        <v>18607.989977899993</v>
      </c>
      <c r="G14" s="4">
        <f t="shared" ref="G14:G27" si="2">IFERROR(IF(F14/D14*100&lt;-500,"-",IF(F14/D14*100&gt;500,"-",F14/D14*100)),"-")</f>
        <v>66.517025514990564</v>
      </c>
      <c r="H14" s="4">
        <f t="shared" si="0"/>
        <v>8.1586071328977603</v>
      </c>
      <c r="I14" s="4">
        <f t="shared" si="1"/>
        <v>2.0319660949644938</v>
      </c>
    </row>
    <row r="15" spans="1:10" ht="14.1" customHeight="1">
      <c r="B15" s="172" t="str">
        <f>IF(Indice_index!$Z$1=1,"Impostos indiretos","Indirect taxes")</f>
        <v>Impostos indiretos</v>
      </c>
      <c r="C15" s="309">
        <v>33930.800325460004</v>
      </c>
      <c r="D15" s="4">
        <v>36423.886977000002</v>
      </c>
      <c r="E15" s="309">
        <v>19927.704723080002</v>
      </c>
      <c r="F15" s="309">
        <v>21669.408798099998</v>
      </c>
      <c r="G15" s="4">
        <f t="shared" si="2"/>
        <v>59.492301883605194</v>
      </c>
      <c r="H15" s="4">
        <f t="shared" si="0"/>
        <v>8.7401138225556778</v>
      </c>
      <c r="I15" s="4">
        <f t="shared" si="1"/>
        <v>2.5213691027632246</v>
      </c>
    </row>
    <row r="16" spans="1:10" ht="14.1" customHeight="1">
      <c r="B16" s="125" t="str">
        <f>IF(Indice_index!$Z$1=1,"Contribuições para Segurança Social, CGA e ADSE","Social security, CGA and ADSE contributions")</f>
        <v>Contribuições para Segurança Social, CGA e ADSE</v>
      </c>
      <c r="C16" s="309">
        <v>32178.368385239999</v>
      </c>
      <c r="D16" s="4">
        <v>33913.802474999997</v>
      </c>
      <c r="E16" s="309">
        <v>20757.26301142</v>
      </c>
      <c r="F16" s="309">
        <v>22468.667765009999</v>
      </c>
      <c r="G16" s="4">
        <f t="shared" si="2"/>
        <v>66.252281151820327</v>
      </c>
      <c r="H16" s="4">
        <f t="shared" si="0"/>
        <v>8.2448478522839803</v>
      </c>
      <c r="I16" s="4">
        <f t="shared" si="1"/>
        <v>2.4775064432081511</v>
      </c>
    </row>
    <row r="17" spans="2:9" ht="14.1" customHeight="1">
      <c r="B17" s="125" t="str">
        <f>IF(Indice_index!$Z$1=1,"Transferências correntes","Current transfers")</f>
        <v>Transferências correntes</v>
      </c>
      <c r="C17" s="309">
        <f>+C18+C19</f>
        <v>2909.63303963</v>
      </c>
      <c r="D17" s="4">
        <f>+D18+D19</f>
        <v>5921.1771640037095</v>
      </c>
      <c r="E17" s="309">
        <f>+E18+E19</f>
        <v>1836.2544154199998</v>
      </c>
      <c r="F17" s="309">
        <f>+F18+F19</f>
        <v>2063.81054438</v>
      </c>
      <c r="G17" s="4">
        <f t="shared" si="2"/>
        <v>34.854733902008725</v>
      </c>
      <c r="H17" s="4">
        <f t="shared" si="0"/>
        <v>12.392407449049056</v>
      </c>
      <c r="I17" s="4">
        <f t="shared" si="1"/>
        <v>0.32942048016828657</v>
      </c>
    </row>
    <row r="18" spans="2:9" ht="14.1" customHeight="1">
      <c r="B18" s="172" t="str">
        <f>IF(Indice_index!$Z$1=1,"Administrações Públicas","General Government subsectors")</f>
        <v>Administrações Públicas</v>
      </c>
      <c r="C18" s="309">
        <v>150.90787217000002</v>
      </c>
      <c r="D18" s="4">
        <v>161.56608</v>
      </c>
      <c r="E18" s="309">
        <v>117.87249667</v>
      </c>
      <c r="F18" s="309">
        <v>94.332576619999983</v>
      </c>
      <c r="G18" s="4">
        <f t="shared" si="2"/>
        <v>58.386374553371589</v>
      </c>
      <c r="H18" s="4">
        <f t="shared" si="0"/>
        <v>-19.970663823218416</v>
      </c>
      <c r="I18" s="4">
        <f t="shared" si="1"/>
        <v>-3.4077446304938558E-2</v>
      </c>
    </row>
    <row r="19" spans="2:9" ht="14.1" customHeight="1">
      <c r="B19" s="172" t="str">
        <f>IF(Indice_index!$Z$1=1,"Outras","Others")</f>
        <v>Outras</v>
      </c>
      <c r="C19" s="309">
        <v>2758.7251674600002</v>
      </c>
      <c r="D19" s="4">
        <v>5759.6110840037099</v>
      </c>
      <c r="E19" s="309">
        <v>1718.3819187499998</v>
      </c>
      <c r="F19" s="309">
        <v>1969.47796776</v>
      </c>
      <c r="G19" s="4">
        <f t="shared" si="2"/>
        <v>34.194634655625848</v>
      </c>
      <c r="H19" s="4">
        <f t="shared" si="0"/>
        <v>14.612353998269173</v>
      </c>
      <c r="I19" s="4">
        <f t="shared" si="1"/>
        <v>0.36349792647322493</v>
      </c>
    </row>
    <row r="20" spans="2:9" ht="14.1" customHeight="1">
      <c r="B20" s="125" t="str">
        <f>IF(Indice_index!$Z$1=1,"Outras receitas correntes","Other current revenue")</f>
        <v>Outras receitas correntes</v>
      </c>
      <c r="C20" s="309">
        <v>11525.699051669999</v>
      </c>
      <c r="D20" s="4">
        <v>12051.741306999997</v>
      </c>
      <c r="E20" s="309">
        <v>7484.0404520600023</v>
      </c>
      <c r="F20" s="309">
        <v>7585.9446379100018</v>
      </c>
      <c r="G20" s="4">
        <f t="shared" si="2"/>
        <v>62.944801457892794</v>
      </c>
      <c r="H20" s="4">
        <f t="shared" si="0"/>
        <v>1.3616199231252168</v>
      </c>
      <c r="I20" s="4">
        <f t="shared" si="1"/>
        <v>0.14752107968828193</v>
      </c>
    </row>
    <row r="21" spans="2:9" ht="14.1" customHeight="1">
      <c r="B21" s="125" t="str">
        <f>IF(Indice_index!$Z$1=1,"Diferenças de consolidação","Consolidation differences")</f>
        <v>Diferenças de consolidação</v>
      </c>
      <c r="C21" s="309">
        <v>226.88497584000336</v>
      </c>
      <c r="D21" s="4">
        <v>349.31377000000089</v>
      </c>
      <c r="E21" s="309">
        <v>201.91802040999562</v>
      </c>
      <c r="F21" s="309">
        <v>26.415530760010306</v>
      </c>
      <c r="G21" s="4"/>
      <c r="H21" s="4"/>
      <c r="I21" s="4"/>
    </row>
    <row r="22" spans="2:9" ht="14.1" customHeight="1">
      <c r="B22" s="174" t="str">
        <f>IF(Indice_index!$Z$1=1,"Receita de capital","Capital revenue")</f>
        <v>Receita de capital</v>
      </c>
      <c r="C22" s="308">
        <f>+C23+C24+C27+C28</f>
        <v>2474.7074459000014</v>
      </c>
      <c r="D22" s="134">
        <f>+D23+D24+D27+D28</f>
        <v>5871.354988000001</v>
      </c>
      <c r="E22" s="308">
        <f>+E23+E24+E27+E28</f>
        <v>1666.1765912600004</v>
      </c>
      <c r="F22" s="308">
        <f>+F23+F24+F27+F28</f>
        <v>1660.1549433799994</v>
      </c>
      <c r="G22" s="134">
        <f t="shared" si="2"/>
        <v>28.275499382562614</v>
      </c>
      <c r="H22" s="134">
        <f t="shared" ref="H22:H27" si="3">IF(IFERROR((F22-E22)/E22*100,"")&gt;500,"-",IFERROR((F22-E22)/E22*100,""))</f>
        <v>-0.3614051422632969</v>
      </c>
      <c r="I22" s="134">
        <f t="shared" ref="I22:I27" si="4">IFERROR((F22-E22)/$E$29*100,"")</f>
        <v>-8.7172081239918868E-3</v>
      </c>
    </row>
    <row r="23" spans="2:9" ht="14.1" customHeight="1">
      <c r="B23" s="125" t="str">
        <f>IF(Indice_index!$Z$1=1,"Venda de bens de investimento","Sale of investment goods")</f>
        <v>Venda de bens de investimento</v>
      </c>
      <c r="C23" s="309">
        <v>91.187160490000011</v>
      </c>
      <c r="D23" s="4">
        <v>929.92605100000003</v>
      </c>
      <c r="E23" s="309">
        <v>59.455347710000005</v>
      </c>
      <c r="F23" s="309">
        <v>30.48719659</v>
      </c>
      <c r="G23" s="4">
        <f t="shared" si="2"/>
        <v>3.2784538681560171</v>
      </c>
      <c r="H23" s="4">
        <f t="shared" si="3"/>
        <v>-48.722532515149595</v>
      </c>
      <c r="I23" s="4">
        <f t="shared" si="4"/>
        <v>-4.1935597582675101E-2</v>
      </c>
    </row>
    <row r="24" spans="2:9" ht="14.1" customHeight="1">
      <c r="B24" s="125" t="str">
        <f>IF(Indice_index!$Z$1=1,"Transferências de capital","Capital transfers")</f>
        <v>Transferências de capital</v>
      </c>
      <c r="C24" s="309">
        <f>+C25+C26</f>
        <v>2218.5501950400012</v>
      </c>
      <c r="D24" s="4">
        <f>+D25+D26</f>
        <v>4825.1315980000008</v>
      </c>
      <c r="E24" s="309">
        <f>+E25+E26</f>
        <v>1449.3920036000004</v>
      </c>
      <c r="F24" s="309">
        <f>+F25+F26</f>
        <v>1487.9082880899998</v>
      </c>
      <c r="G24" s="4">
        <f t="shared" si="2"/>
        <v>30.836636428874442</v>
      </c>
      <c r="H24" s="4">
        <f t="shared" si="3"/>
        <v>2.6574097548718805</v>
      </c>
      <c r="I24" s="4">
        <f t="shared" si="4"/>
        <v>5.5757904605699439E-2</v>
      </c>
    </row>
    <row r="25" spans="2:9" ht="14.1" customHeight="1">
      <c r="B25" s="172" t="str">
        <f>IF(Indice_index!$Z$1=1,"Administrações Públicas","General Government subsectors")</f>
        <v>Administrações Públicas</v>
      </c>
      <c r="C25" s="309">
        <v>4.7503281200000007</v>
      </c>
      <c r="D25" s="4">
        <v>17.590014</v>
      </c>
      <c r="E25" s="309">
        <v>3.8948542600000002</v>
      </c>
      <c r="F25" s="309">
        <v>4.08623315</v>
      </c>
      <c r="G25" s="4">
        <f t="shared" si="2"/>
        <v>23.230414427185789</v>
      </c>
      <c r="H25" s="4">
        <f t="shared" si="3"/>
        <v>4.9136341753644901</v>
      </c>
      <c r="I25" s="4">
        <f t="shared" si="4"/>
        <v>2.770486830040754E-4</v>
      </c>
    </row>
    <row r="26" spans="2:9" ht="14.1" customHeight="1">
      <c r="B26" s="172" t="str">
        <f>IF(Indice_index!$Z$1=1,"Outras","Others")</f>
        <v>Outras</v>
      </c>
      <c r="C26" s="309">
        <v>2213.799866920001</v>
      </c>
      <c r="D26" s="4">
        <v>4807.5415840000005</v>
      </c>
      <c r="E26" s="309">
        <v>1445.4971493400003</v>
      </c>
      <c r="F26" s="309">
        <v>1483.8220549399998</v>
      </c>
      <c r="G26" s="4">
        <f t="shared" si="2"/>
        <v>30.864466360068821</v>
      </c>
      <c r="H26" s="4">
        <f t="shared" si="3"/>
        <v>2.6513304171854148</v>
      </c>
      <c r="I26" s="4">
        <f t="shared" si="4"/>
        <v>5.548085592269552E-2</v>
      </c>
    </row>
    <row r="27" spans="2:9" ht="14.1" customHeight="1">
      <c r="B27" s="125" t="str">
        <f>IF(Indice_index!$Z$1=1,"Outras receitas de capital","Other capital revenue")</f>
        <v>Outras receitas de capital</v>
      </c>
      <c r="C27" s="309">
        <v>164.69949037000001</v>
      </c>
      <c r="D27" s="4">
        <v>11.153832000000001</v>
      </c>
      <c r="E27" s="309">
        <v>157.14883995</v>
      </c>
      <c r="F27" s="309">
        <v>114.65087408000002</v>
      </c>
      <c r="G27" s="4" t="str">
        <f t="shared" si="2"/>
        <v>-</v>
      </c>
      <c r="H27" s="4">
        <f t="shared" si="3"/>
        <v>-27.043130501963326</v>
      </c>
      <c r="I27" s="4">
        <f t="shared" si="4"/>
        <v>-6.1521965534629519E-2</v>
      </c>
    </row>
    <row r="28" spans="2:9" ht="14.1" customHeight="1">
      <c r="B28" s="125" t="str">
        <f>IF(Indice_index!$Z$1=1,"Diferenças de consolidação","Consolidation differences")</f>
        <v>Diferenças de consolidação</v>
      </c>
      <c r="C28" s="309">
        <v>0.27059999999999995</v>
      </c>
      <c r="D28" s="4">
        <v>105.14350700000007</v>
      </c>
      <c r="E28" s="309">
        <v>0.1804</v>
      </c>
      <c r="F28" s="309">
        <v>27.108584619999753</v>
      </c>
      <c r="G28" s="4"/>
      <c r="H28" s="4"/>
      <c r="I28" s="4"/>
    </row>
    <row r="29" spans="2:9" ht="14.1" customHeight="1">
      <c r="B29" s="30" t="str">
        <f>IF(Indice_index!$Z$1=1,"Receita efetiva","Effective revenue")</f>
        <v>Receita efetiva</v>
      </c>
      <c r="C29" s="18">
        <f>+C12+C22</f>
        <v>110925.98978835001</v>
      </c>
      <c r="D29" s="18">
        <f>+D12+D22</f>
        <v>122506.05431700373</v>
      </c>
      <c r="E29" s="18">
        <f>+E12+E22</f>
        <v>69077.711514399998</v>
      </c>
      <c r="F29" s="18">
        <f>+F12+F22</f>
        <v>74082.39219744</v>
      </c>
      <c r="G29" s="18">
        <f>IFERROR(IF(F29/D29*100&lt;-500,"-",IF(F29/D29*100&gt;500,"-",F29/D29*100)),"-")</f>
        <v>60.472433473157281</v>
      </c>
      <c r="H29" s="18">
        <f t="shared" ref="H29:H41" si="5">IF(IFERROR((F29-E29)/E29*100,"")&gt;500,"-",IFERROR((F29-E29)/E29*100,""))</f>
        <v>7.2450007004020716</v>
      </c>
      <c r="I29" s="18"/>
    </row>
    <row r="30" spans="2:9" ht="14.1" customHeight="1">
      <c r="B30" s="174" t="str">
        <f>IF(Indice_index!$Z$1=1,"Despesa corrente","Current expenditure")</f>
        <v>Despesa corrente</v>
      </c>
      <c r="C30" s="134">
        <f>+C31+C35+C36+C37+C40+C41+C42</f>
        <v>103529.12685373001</v>
      </c>
      <c r="D30" s="134">
        <f>+D31+D35+D36+D37+D40+D41+D42</f>
        <v>112088.39360300171</v>
      </c>
      <c r="E30" s="134">
        <f>+E31+E35+E36+E37+E40+E41+E42</f>
        <v>64775.690808749976</v>
      </c>
      <c r="F30" s="134">
        <f>+F31+F35+F36+F37+F40+F41+F42</f>
        <v>68362.962356429998</v>
      </c>
      <c r="G30" s="134">
        <f t="shared" ref="G30:G48" si="6">IFERROR(IF(F30/D30*100&lt;-500,"-",IF(F30/D30*100&gt;500,"-",F30/D30*100)),"-")</f>
        <v>60.990224017805218</v>
      </c>
      <c r="H30" s="134">
        <f t="shared" si="5"/>
        <v>5.537990414137659</v>
      </c>
      <c r="I30" s="134">
        <f t="shared" ref="I30:I41" si="7">IFERROR((F30-E30)/$E$50*100,"")</f>
        <v>5.1925492866765843</v>
      </c>
    </row>
    <row r="31" spans="2:9" ht="14.1" customHeight="1">
      <c r="B31" s="125" t="str">
        <f>IF(Indice_index!$Z$1=1,"Despesas com o pessoal","Employees")</f>
        <v>Despesas com o pessoal</v>
      </c>
      <c r="C31" s="4">
        <f>+C32+C33+C34</f>
        <v>22278.403720169998</v>
      </c>
      <c r="D31" s="4">
        <f>+D32+D33+D34</f>
        <v>23591.003230999999</v>
      </c>
      <c r="E31" s="4">
        <f>+E32+E33+E34</f>
        <v>14152.801165769994</v>
      </c>
      <c r="F31" s="4">
        <f>+F32+F33+F34</f>
        <v>15511.774267639999</v>
      </c>
      <c r="G31" s="4">
        <f t="shared" si="6"/>
        <v>65.752923331622426</v>
      </c>
      <c r="H31" s="4">
        <f t="shared" si="5"/>
        <v>9.6021493268542653</v>
      </c>
      <c r="I31" s="4">
        <f t="shared" si="7"/>
        <v>1.967103609787054</v>
      </c>
    </row>
    <row r="32" spans="2:9" ht="14.1" customHeight="1">
      <c r="B32" s="172" t="str">
        <f>IF(Indice_index!$Z$1=1,"Remunerações certas e permanentes","Certain and permanent wages")</f>
        <v>Remunerações certas e permanentes</v>
      </c>
      <c r="C32" s="4">
        <v>15827.623098309998</v>
      </c>
      <c r="D32" s="4">
        <v>17101.184700518217</v>
      </c>
      <c r="E32" s="4">
        <v>10048.764734199993</v>
      </c>
      <c r="F32" s="4">
        <v>11024.767441749998</v>
      </c>
      <c r="G32" s="4">
        <f t="shared" si="6"/>
        <v>64.467857840374734</v>
      </c>
      <c r="H32" s="4">
        <f t="shared" si="5"/>
        <v>9.7126635299588155</v>
      </c>
      <c r="I32" s="4">
        <f t="shared" si="7"/>
        <v>1.4127567694619498</v>
      </c>
    </row>
    <row r="33" spans="2:9" ht="14.1" customHeight="1">
      <c r="B33" s="172" t="str">
        <f>IF(Indice_index!$Z$1=1,"Abonos variáveis ou eventuais","Variable or contingent bonuses")</f>
        <v>Abonos variáveis ou eventuais</v>
      </c>
      <c r="C33" s="4">
        <v>1689.3416919199997</v>
      </c>
      <c r="D33" s="4">
        <v>1727.4630888273077</v>
      </c>
      <c r="E33" s="4">
        <v>1073.4582857400001</v>
      </c>
      <c r="F33" s="4">
        <v>1211.6571706100003</v>
      </c>
      <c r="G33" s="4">
        <f t="shared" si="6"/>
        <v>70.140842860644653</v>
      </c>
      <c r="H33" s="4">
        <f t="shared" si="5"/>
        <v>12.874173752800406</v>
      </c>
      <c r="I33" s="4">
        <f t="shared" si="7"/>
        <v>0.2000418734721412</v>
      </c>
    </row>
    <row r="34" spans="2:9" ht="14.1" customHeight="1">
      <c r="B34" s="172" t="str">
        <f>IF(Indice_index!$Z$1=1,"Segurança social","Social security")</f>
        <v>Segurança social</v>
      </c>
      <c r="C34" s="4">
        <v>4761.43892994</v>
      </c>
      <c r="D34" s="4">
        <v>4762.3554416544748</v>
      </c>
      <c r="E34" s="4">
        <v>3030.5781458300003</v>
      </c>
      <c r="F34" s="4">
        <v>3275.3496552800011</v>
      </c>
      <c r="G34" s="4">
        <f t="shared" si="6"/>
        <v>68.775833627028106</v>
      </c>
      <c r="H34" s="4">
        <f t="shared" si="5"/>
        <v>8.0767265410001166</v>
      </c>
      <c r="I34" s="4">
        <f t="shared" si="7"/>
        <v>0.35430496685296442</v>
      </c>
    </row>
    <row r="35" spans="2:9" ht="14.1" customHeight="1">
      <c r="B35" s="125" t="str">
        <f>IF(Indice_index!$Z$1=1,"Aquisição de bens e serviços","Purchase of goods and services")</f>
        <v>Aquisição de bens e serviços</v>
      </c>
      <c r="C35" s="4">
        <v>14122.058171280003</v>
      </c>
      <c r="D35" s="4">
        <v>15683.157079999999</v>
      </c>
      <c r="E35" s="4">
        <v>7725.9319886999992</v>
      </c>
      <c r="F35" s="4">
        <v>7642.9254652800155</v>
      </c>
      <c r="G35" s="4">
        <f t="shared" si="6"/>
        <v>48.733334916518075</v>
      </c>
      <c r="H35" s="4">
        <f t="shared" si="5"/>
        <v>-1.0743884820807337</v>
      </c>
      <c r="I35" s="4">
        <f t="shared" si="7"/>
        <v>-0.12015133458538654</v>
      </c>
    </row>
    <row r="36" spans="2:9" ht="14.1" customHeight="1">
      <c r="B36" s="125" t="str">
        <f>IF(Indice_index!$Z$1=1,"Juros e outros encargos","Interests and other charges")</f>
        <v>Juros e outros encargos</v>
      </c>
      <c r="C36" s="4">
        <v>6690.4704083999995</v>
      </c>
      <c r="D36" s="4">
        <v>6841.8314819999996</v>
      </c>
      <c r="E36" s="4">
        <v>4609.9715731200004</v>
      </c>
      <c r="F36" s="4">
        <v>4562.4294914900001</v>
      </c>
      <c r="G36" s="4">
        <f t="shared" si="6"/>
        <v>66.68433011677034</v>
      </c>
      <c r="H36" s="4">
        <f>IF(IFERROR((F36-E36)/E36*100,"")&gt;500,"-",IFERROR((F36-E36)/E36*100,""))</f>
        <v>-1.0312879564639923</v>
      </c>
      <c r="I36" s="4">
        <f t="shared" si="7"/>
        <v>-6.8816814889475275E-2</v>
      </c>
    </row>
    <row r="37" spans="2:9" ht="14.1" customHeight="1">
      <c r="B37" s="125" t="str">
        <f>IF(Indice_index!$Z$1=1,"Transferências correntes","Current transfers")</f>
        <v>Transferências correntes</v>
      </c>
      <c r="C37" s="4">
        <f>+C38+C39</f>
        <v>58321.847680050007</v>
      </c>
      <c r="D37" s="4">
        <f>+D38+D39</f>
        <v>61546.805773</v>
      </c>
      <c r="E37" s="4">
        <f>+E38+E39</f>
        <v>36944.722082029992</v>
      </c>
      <c r="F37" s="4">
        <f>+F38+F39</f>
        <v>39030.972968199996</v>
      </c>
      <c r="G37" s="4">
        <f t="shared" si="6"/>
        <v>63.416732156914811</v>
      </c>
      <c r="H37" s="4">
        <f>IF(IFERROR((F37-E37)/E37*100,"")&gt;500,"-",IFERROR((F37-E37)/E37*100,""))</f>
        <v>5.6469524429979732</v>
      </c>
      <c r="I37" s="4">
        <f t="shared" si="7"/>
        <v>3.019832874881299</v>
      </c>
    </row>
    <row r="38" spans="2:9" ht="14.1" customHeight="1">
      <c r="B38" s="172" t="str">
        <f>IF(Indice_index!$Z$1=1,"Administrações Públicas","General Government subsectors")</f>
        <v>Administrações Públicas</v>
      </c>
      <c r="C38" s="4">
        <v>6127.6547864299991</v>
      </c>
      <c r="D38" s="4">
        <v>7156.8416510000006</v>
      </c>
      <c r="E38" s="4">
        <v>3930.9408467399999</v>
      </c>
      <c r="F38" s="4">
        <v>4384.7240023900004</v>
      </c>
      <c r="G38" s="4">
        <f t="shared" si="6"/>
        <v>61.266187184361385</v>
      </c>
      <c r="H38" s="4">
        <f>IF(IFERROR((F38-E38)/E38*100,"")&gt;500,"-",IFERROR((F38-E38)/E38*100,""))</f>
        <v>11.543881562764573</v>
      </c>
      <c r="I38" s="4">
        <f t="shared" si="7"/>
        <v>0.65684779361075463</v>
      </c>
    </row>
    <row r="39" spans="2:9" ht="14.1" customHeight="1">
      <c r="B39" s="172" t="str">
        <f>IF(Indice_index!$Z$1=1,"Outras","Others")</f>
        <v>Outras</v>
      </c>
      <c r="C39" s="4">
        <v>52194.192893620006</v>
      </c>
      <c r="D39" s="4">
        <v>54389.964121999998</v>
      </c>
      <c r="E39" s="4">
        <v>33013.781235289993</v>
      </c>
      <c r="F39" s="4">
        <v>34646.248965809995</v>
      </c>
      <c r="G39" s="4">
        <f t="shared" si="6"/>
        <v>63.699709174465255</v>
      </c>
      <c r="H39" s="4">
        <f>IF(IFERROR((F39-E39)/E39*100,"")&gt;500,"-",IFERROR((F39-E39)/E39*100,""))</f>
        <v>4.9448068940827055</v>
      </c>
      <c r="I39" s="4">
        <f t="shared" si="7"/>
        <v>2.362985081270542</v>
      </c>
    </row>
    <row r="40" spans="2:9" ht="14.1" customHeight="1">
      <c r="B40" s="125" t="str">
        <f>IF(Indice_index!$Z$1=1,"Subsídios","Subsidies")</f>
        <v>Subsídios</v>
      </c>
      <c r="C40" s="4">
        <v>1364.0106439900001</v>
      </c>
      <c r="D40" s="4">
        <v>2025.4976709956468</v>
      </c>
      <c r="E40" s="4">
        <v>824.08671874000015</v>
      </c>
      <c r="F40" s="4">
        <v>1138.82782851</v>
      </c>
      <c r="G40" s="4">
        <f t="shared" si="6"/>
        <v>56.224593334150896</v>
      </c>
      <c r="H40" s="4">
        <f>IF(IFERROR((F40-E40)/E40*100,"")&gt;500,"-",IFERROR((F40-E40)/E40*100,""))</f>
        <v>38.192717175593856</v>
      </c>
      <c r="I40" s="4">
        <f t="shared" si="7"/>
        <v>0.45558545075322149</v>
      </c>
    </row>
    <row r="41" spans="2:9" ht="14.1" customHeight="1">
      <c r="B41" s="125" t="str">
        <f>IF(Indice_index!$Z$1=1,"Outras despesas correntes","Other current expenditure")</f>
        <v>Outras despesas correntes</v>
      </c>
      <c r="C41" s="4">
        <v>724.41563165000002</v>
      </c>
      <c r="D41" s="4">
        <v>2377.7048690000001</v>
      </c>
      <c r="E41" s="4">
        <v>393.4878638900002</v>
      </c>
      <c r="F41" s="4">
        <v>272.39742567000008</v>
      </c>
      <c r="G41" s="4">
        <f t="shared" si="6"/>
        <v>11.456317780287142</v>
      </c>
      <c r="H41" s="4">
        <f t="shared" si="5"/>
        <v>-30.773614470064324</v>
      </c>
      <c r="I41" s="4">
        <f t="shared" si="7"/>
        <v>-0.17527752227434709</v>
      </c>
    </row>
    <row r="42" spans="2:9" ht="14.1" customHeight="1">
      <c r="B42" s="125" t="str">
        <f>IF(Indice_index!$Z$1=1,"Diferenças de consolidação","Consolidation differences")</f>
        <v>Diferenças de consolidação</v>
      </c>
      <c r="C42" s="4">
        <v>27.920598189999026</v>
      </c>
      <c r="D42" s="4">
        <v>22.39349700606159</v>
      </c>
      <c r="E42" s="4">
        <v>124.689416499998</v>
      </c>
      <c r="F42" s="4">
        <v>203.6349096399951</v>
      </c>
      <c r="G42" s="4"/>
      <c r="H42" s="4"/>
      <c r="I42" s="4"/>
    </row>
    <row r="43" spans="2:9" ht="14.1" customHeight="1">
      <c r="B43" s="174" t="str">
        <f>IF(Indice_index!$Z$1=1,"Despesa de capital","Capital expenditure")</f>
        <v>Despesa de capital</v>
      </c>
      <c r="C43" s="134">
        <f>+C44+C45+C48+C49</f>
        <v>7997.7728435100007</v>
      </c>
      <c r="D43" s="134">
        <f>+D44+D45+D48+D49</f>
        <v>12654.782887999998</v>
      </c>
      <c r="E43" s="134">
        <f>+E44+E45+E48+E49</f>
        <v>4309.2874866799993</v>
      </c>
      <c r="F43" s="134">
        <f>+F44+F45+F48+F49</f>
        <v>4516.7745596300001</v>
      </c>
      <c r="G43" s="134">
        <f t="shared" si="6"/>
        <v>35.692232728173224</v>
      </c>
      <c r="H43" s="134">
        <f t="shared" ref="H43:H48" si="8">IF(IFERROR((F43-E43)/E43*100,"")&gt;500,"-",IFERROR((F43-E43)/E43*100,""))</f>
        <v>4.8148811976769474</v>
      </c>
      <c r="I43" s="134">
        <f t="shared" ref="I43:I48" si="9">IFERROR((F43-E43)/$E$50*100,"")</f>
        <v>0.30033601814669197</v>
      </c>
    </row>
    <row r="44" spans="2:9" ht="14.1" customHeight="1">
      <c r="B44" s="125" t="str">
        <f>IF(Indice_index!$Z$1=1,"Investimento","Investments")</f>
        <v>Investimento</v>
      </c>
      <c r="C44" s="4">
        <v>4640.9715654199999</v>
      </c>
      <c r="D44" s="4">
        <v>8064.5358319999996</v>
      </c>
      <c r="E44" s="4">
        <v>2310.4502735599999</v>
      </c>
      <c r="F44" s="4">
        <v>2518.5815996599999</v>
      </c>
      <c r="G44" s="4">
        <f t="shared" si="6"/>
        <v>31.230335534827592</v>
      </c>
      <c r="H44" s="4">
        <f t="shared" si="8"/>
        <v>9.0082581945945126</v>
      </c>
      <c r="I44" s="4">
        <f t="shared" si="9"/>
        <v>0.30126856986183359</v>
      </c>
    </row>
    <row r="45" spans="2:9" ht="14.1" customHeight="1">
      <c r="B45" s="125" t="str">
        <f>IF(Indice_index!$Z$1=1,"Transferências de capital","Capital transfers")</f>
        <v>Transferências de capital</v>
      </c>
      <c r="C45" s="4">
        <f>+C46+C47</f>
        <v>2816.9210490400001</v>
      </c>
      <c r="D45" s="4">
        <f>+D46+D47</f>
        <v>4336.6542650000001</v>
      </c>
      <c r="E45" s="4">
        <f>+E46+E47</f>
        <v>1598.2257663099999</v>
      </c>
      <c r="F45" s="4">
        <f>+F46+F47</f>
        <v>1865.4208442199999</v>
      </c>
      <c r="G45" s="4">
        <f t="shared" si="6"/>
        <v>43.015207812975149</v>
      </c>
      <c r="H45" s="4">
        <f t="shared" si="8"/>
        <v>16.718231149964673</v>
      </c>
      <c r="I45" s="4">
        <f t="shared" si="9"/>
        <v>0.38676291793475914</v>
      </c>
    </row>
    <row r="46" spans="2:9" ht="14.1" customHeight="1">
      <c r="B46" s="172" t="str">
        <f>IF(Indice_index!$Z$1=1,"Administrações Públicas","General Government subsectors")</f>
        <v>Administrações Públicas</v>
      </c>
      <c r="C46" s="4">
        <v>1353.7714555500002</v>
      </c>
      <c r="D46" s="4">
        <v>1466.96408</v>
      </c>
      <c r="E46" s="4">
        <v>715.96232345999988</v>
      </c>
      <c r="F46" s="4">
        <v>956.26130077000005</v>
      </c>
      <c r="G46" s="4">
        <f t="shared" si="6"/>
        <v>65.186415523548476</v>
      </c>
      <c r="H46" s="4">
        <f t="shared" si="8"/>
        <v>33.563075798279129</v>
      </c>
      <c r="I46" s="4">
        <f t="shared" si="9"/>
        <v>0.34783100934388822</v>
      </c>
    </row>
    <row r="47" spans="2:9" ht="14.1" customHeight="1">
      <c r="B47" s="172" t="str">
        <f>IF(Indice_index!$Z$1=1,"Outras","Others")</f>
        <v>Outras</v>
      </c>
      <c r="C47" s="4">
        <v>1463.1495934899999</v>
      </c>
      <c r="D47" s="4">
        <v>2869.6901849999999</v>
      </c>
      <c r="E47" s="4">
        <v>882.26344284999993</v>
      </c>
      <c r="F47" s="4">
        <v>909.15954344999989</v>
      </c>
      <c r="G47" s="4">
        <f t="shared" si="6"/>
        <v>31.681452869101268</v>
      </c>
      <c r="H47" s="4">
        <f t="shared" si="8"/>
        <v>3.0485339518451244</v>
      </c>
      <c r="I47" s="4">
        <f t="shared" si="9"/>
        <v>3.8931908590871124E-2</v>
      </c>
    </row>
    <row r="48" spans="2:9" ht="14.1" customHeight="1">
      <c r="B48" s="125" t="str">
        <f>IF(Indice_index!$Z$1=1,"Outras despesas de capital","Other capital expenditure")</f>
        <v>Outras despesas de capital</v>
      </c>
      <c r="C48" s="4">
        <v>314.99973122000006</v>
      </c>
      <c r="D48" s="4">
        <v>253.59279100000001</v>
      </c>
      <c r="E48" s="4">
        <v>122.48943483999999</v>
      </c>
      <c r="F48" s="4">
        <v>79.935520990000015</v>
      </c>
      <c r="G48" s="4">
        <f t="shared" si="6"/>
        <v>31.521211890443691</v>
      </c>
      <c r="H48" s="4">
        <f t="shared" si="8"/>
        <v>-34.740885126611445</v>
      </c>
      <c r="I48" s="4">
        <f t="shared" si="9"/>
        <v>-6.1596478568793224E-2</v>
      </c>
    </row>
    <row r="49" spans="2:9" ht="14.1" customHeight="1">
      <c r="B49" s="125" t="str">
        <f>IF(Indice_index!$Z$1=1,"Diferenças de consolidação","Consolidation differences")</f>
        <v>Diferenças de consolidação</v>
      </c>
      <c r="C49" s="4">
        <v>224.88049783000037</v>
      </c>
      <c r="D49" s="4">
        <v>0</v>
      </c>
      <c r="E49" s="4">
        <v>278.12201197000007</v>
      </c>
      <c r="F49" s="4">
        <v>52.83659475999977</v>
      </c>
      <c r="G49" s="4"/>
      <c r="H49" s="4"/>
      <c r="I49" s="4"/>
    </row>
    <row r="50" spans="2:9" ht="14.1" customHeight="1">
      <c r="B50" s="30" t="str">
        <f>IF(Indice_index!$Z$1=1,"Despesa efetiva","Effective Expenditure")</f>
        <v>Despesa efetiva</v>
      </c>
      <c r="C50" s="18">
        <f>+C30+C43</f>
        <v>111526.89969724001</v>
      </c>
      <c r="D50" s="18">
        <f>+D30+D43</f>
        <v>124743.17649100171</v>
      </c>
      <c r="E50" s="18">
        <f>+E30+E43</f>
        <v>69084.978295429974</v>
      </c>
      <c r="F50" s="18">
        <f>+F30+F43</f>
        <v>72879.736916059992</v>
      </c>
      <c r="G50" s="18">
        <f>IFERROR(IF(F50/D50*100&lt;-500,"-",IF(F50/D50*100&gt;500,"-",F50/D50*100)),"-")</f>
        <v>58.423826429750356</v>
      </c>
      <c r="H50" s="18">
        <f>IF(IFERROR((F50-E50)/E50*100,"")&gt;500,"-",IFERROR((F50-E50)/E50*100,""))</f>
        <v>5.49288530482327</v>
      </c>
      <c r="I50" s="18"/>
    </row>
    <row r="51" spans="2:9" ht="14.1" customHeight="1">
      <c r="B51" s="30" t="str">
        <f>IF(Indice_index!$Z$1=1,"Saldo global","Overall balance")</f>
        <v>Saldo global</v>
      </c>
      <c r="C51" s="18">
        <f>+C29-C50</f>
        <v>-600.90990888999659</v>
      </c>
      <c r="D51" s="18">
        <f>+D29-D50</f>
        <v>-2237.122173997981</v>
      </c>
      <c r="E51" s="18">
        <f>+E29-E50</f>
        <v>-7.266781029975391</v>
      </c>
      <c r="F51" s="18">
        <f>+F29-F50</f>
        <v>1202.6552813800081</v>
      </c>
      <c r="G51" s="18"/>
      <c r="H51" s="18"/>
      <c r="I51" s="18"/>
    </row>
    <row r="52" spans="2:9" ht="14.1" customHeight="1">
      <c r="B52" s="125" t="str">
        <f>IF(Indice_index!$Z$1=1,"Despesa primária","Primary expenditure")</f>
        <v>Despesa primária</v>
      </c>
      <c r="C52" s="4">
        <f>+C50-C36</f>
        <v>104836.42928884001</v>
      </c>
      <c r="D52" s="4">
        <f>+D50-D36</f>
        <v>117901.34500900171</v>
      </c>
      <c r="E52" s="4">
        <f>+E50-E36</f>
        <v>64475.006722309976</v>
      </c>
      <c r="F52" s="4">
        <f>+F50-F36</f>
        <v>68317.307424569997</v>
      </c>
      <c r="G52" s="4">
        <f>IFERROR(IF(F52/D52*100&lt;-500,"-",IF(F52/D52*100&gt;500,"-",F52/D52*100)),"-")</f>
        <v>57.944468249581035</v>
      </c>
      <c r="H52" s="4">
        <f>IF(IFERROR((F52-E52)/E52*100,"")&gt;500,"-",IFERROR((F52-E52)/E52*100,""))</f>
        <v>5.9593645624708227</v>
      </c>
      <c r="I52" s="4">
        <f>IFERROR((F52-E52)/$E$50*100,"")</f>
        <v>5.5617021197127494</v>
      </c>
    </row>
    <row r="53" spans="2:9" ht="14.1" customHeight="1">
      <c r="B53" s="125" t="str">
        <f>IF(Indice_index!$Z$1=1,"Saldo corrente","Current balance")</f>
        <v>Saldo corrente</v>
      </c>
      <c r="C53" s="4">
        <f>+C12-C30</f>
        <v>4922.1554887200036</v>
      </c>
      <c r="D53" s="4">
        <f>+D12-D30</f>
        <v>4546.3057260020141</v>
      </c>
      <c r="E53" s="4">
        <f>+E12-E30</f>
        <v>2635.8441143900272</v>
      </c>
      <c r="F53" s="4">
        <f>+F12-F30</f>
        <v>4059.2748976300063</v>
      </c>
      <c r="G53" s="4"/>
      <c r="H53" s="4"/>
      <c r="I53" s="4"/>
    </row>
    <row r="54" spans="2:9" ht="14.1" customHeight="1">
      <c r="B54" s="125" t="str">
        <f>IF(Indice_index!$Z$1=1,"Saldo de capital","Capital balance")</f>
        <v>Saldo de capital</v>
      </c>
      <c r="C54" s="4">
        <f>+C22-C43</f>
        <v>-5523.0653976099993</v>
      </c>
      <c r="D54" s="4">
        <f>+D22-D43</f>
        <v>-6783.427899999997</v>
      </c>
      <c r="E54" s="4">
        <f>+E22-E43</f>
        <v>-2643.110895419999</v>
      </c>
      <c r="F54" s="4">
        <f>+F22-F43</f>
        <v>-2856.6196162500009</v>
      </c>
      <c r="G54" s="4"/>
      <c r="H54" s="4"/>
      <c r="I54" s="4"/>
    </row>
    <row r="55" spans="2:9" ht="14.1" customHeight="1">
      <c r="B55" s="125" t="str">
        <f>IF(Indice_index!$Z$1=1,"Saldo primário","Primary balance")</f>
        <v>Saldo primário</v>
      </c>
      <c r="C55" s="4">
        <f>+C51+C36</f>
        <v>6089.560499510003</v>
      </c>
      <c r="D55" s="4">
        <f>+D51+D36</f>
        <v>4604.7093080020186</v>
      </c>
      <c r="E55" s="4">
        <f>+E51+E36</f>
        <v>4602.704792090025</v>
      </c>
      <c r="F55" s="4">
        <f>+F51+F36</f>
        <v>5765.0847728700082</v>
      </c>
      <c r="G55" s="4"/>
      <c r="H55" s="4"/>
      <c r="I55" s="4"/>
    </row>
    <row r="56" spans="2:9" ht="14.1" customHeight="1">
      <c r="B56" s="125" t="str">
        <f>IF(Indice_index!$Z$1=1,"Ativos financeiros líquidos de reembolsos","Financial assets net of reimbursements")</f>
        <v>Ativos financeiros líquidos de reembolsos</v>
      </c>
      <c r="C56" s="4">
        <v>3520.3529087000006</v>
      </c>
      <c r="D56" s="4">
        <v>10527.073883999998</v>
      </c>
      <c r="E56" s="4">
        <v>4232.3509713599951</v>
      </c>
      <c r="F56" s="4">
        <v>1735.0382405700011</v>
      </c>
      <c r="G56" s="4"/>
      <c r="H56" s="4"/>
      <c r="I56" s="4"/>
    </row>
    <row r="57" spans="2:9" ht="14.1" customHeight="1">
      <c r="B57" s="297" t="str">
        <f>IF(Indice_index!$Z$1=1,"dos quais Receitas de:","of which revenue from:")</f>
        <v>dos quais Receitas de:</v>
      </c>
      <c r="C57" s="4"/>
      <c r="D57" s="4"/>
      <c r="E57" s="4"/>
      <c r="F57" s="4"/>
      <c r="G57" s="4"/>
      <c r="H57" s="4"/>
      <c r="I57" s="4"/>
    </row>
    <row r="58" spans="2:9" ht="14.1" customHeight="1">
      <c r="B58" s="284" t="str">
        <f>IF(Indice_index!$Z$1=1,"Alienação de partes de capital","Disposal of Capital Shares")</f>
        <v>Alienação de partes de capital</v>
      </c>
      <c r="C58" s="4">
        <v>0</v>
      </c>
      <c r="D58" s="4">
        <v>0</v>
      </c>
      <c r="E58" s="4">
        <v>0</v>
      </c>
      <c r="F58" s="4">
        <v>0</v>
      </c>
      <c r="G58" s="4"/>
      <c r="H58" s="4"/>
      <c r="I58" s="4"/>
    </row>
    <row r="59" spans="2:9" ht="14.1" customHeight="1">
      <c r="B59" s="173" t="str">
        <f>IF(Indice_index!$Z$1=1,"Passivos financeiros líquidos de amortizações","Financial liabilities net of amortizations")</f>
        <v>Passivos financeiros líquidos de amortizações</v>
      </c>
      <c r="C59" s="19">
        <v>5806.7710468800069</v>
      </c>
      <c r="D59" s="19">
        <v>18272.224503000005</v>
      </c>
      <c r="E59" s="19">
        <v>2605.3903561700063</v>
      </c>
      <c r="F59" s="19">
        <v>10984.937924589976</v>
      </c>
      <c r="G59" s="19"/>
      <c r="H59" s="19"/>
      <c r="I59" s="19"/>
    </row>
    <row r="60" spans="2:9" ht="15">
      <c r="B60" s="9" t="str">
        <f>IF(Indice_index!$Z$1=1,"Nota:","Note:")</f>
        <v>Nota:</v>
      </c>
      <c r="C60" s="9"/>
      <c r="D60" s="9"/>
      <c r="E60" s="9"/>
      <c r="F60" s="9"/>
      <c r="G60" s="9"/>
      <c r="H60" s="9"/>
      <c r="I60" s="9"/>
    </row>
    <row r="61" spans="2:9" ht="15">
      <c r="B61" s="392" t="str">
        <f>IF(Indice_index!$Z$1=1,"Os dados de 2024 são mensalmente revistos e atualizados face ao publicado nas Sínteses de Execução Orçamental de 2024.","2024 cumulative execution is monthly reviewed and updated and therefore may differ from data published in 2024.")</f>
        <v>Os dados de 2024 são mensalmente revistos e atualizados face ao publicado nas Sínteses de Execução Orçamental de 2024.</v>
      </c>
      <c r="C61" s="392"/>
      <c r="D61" s="392"/>
      <c r="E61" s="392"/>
      <c r="F61" s="392"/>
      <c r="G61" s="392"/>
      <c r="H61" s="392"/>
      <c r="I61" s="392"/>
    </row>
    <row r="62" spans="2:9" ht="15">
      <c r="B62" s="152" t="str">
        <f>IF(Indice_index!$Z$1=1,"Fonte: Entidade Orçamental.","Source: Budgetary Entity.")</f>
        <v>Fonte: Entidade Orçamental.</v>
      </c>
      <c r="C62" s="152"/>
      <c r="D62" s="152"/>
      <c r="E62" s="29"/>
      <c r="F62" s="189"/>
      <c r="I62" s="153"/>
    </row>
    <row r="63" spans="2:9" ht="14.85" customHeight="1"/>
  </sheetData>
  <mergeCells count="4">
    <mergeCell ref="B10:B11"/>
    <mergeCell ref="E10:F10"/>
    <mergeCell ref="H10:I10"/>
    <mergeCell ref="B61:I61"/>
  </mergeCells>
  <conditionalFormatting sqref="C12:I28">
    <cfRule type="cellIs" dxfId="72" priority="1" operator="equal">
      <formula>0</formula>
    </cfRule>
  </conditionalFormatting>
  <conditionalFormatting sqref="C30:I49">
    <cfRule type="cellIs" dxfId="71" priority="2" operator="equal">
      <formula>0</formula>
    </cfRule>
  </conditionalFormatting>
  <conditionalFormatting sqref="C52:I59">
    <cfRule type="cellIs" dxfId="70" priority="3"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D12" formula="1"/>
    <ignoredError sqref="B62" unlockedFormula="1"/>
  </ignoredError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Folha10">
    <pageSetUpPr fitToPage="1"/>
  </sheetPr>
  <dimension ref="A1:J63"/>
  <sheetViews>
    <sheetView showGridLines="0" zoomScaleNormal="100" workbookViewId="0"/>
  </sheetViews>
  <sheetFormatPr defaultColWidth="0" defaultRowHeight="15.75" zeroHeight="1"/>
  <cols>
    <col min="1" max="1" width="8.5703125" style="47" customWidth="1"/>
    <col min="2" max="2" width="37.5703125" style="47" customWidth="1"/>
    <col min="3" max="4" width="10.42578125" style="47" customWidth="1"/>
    <col min="5" max="6" width="10.42578125" style="48" customWidth="1"/>
    <col min="7" max="9" width="10.42578125" style="47" customWidth="1"/>
    <col min="10" max="10" width="8.5703125" style="47" customWidth="1"/>
    <col min="11" max="16384" width="8.5703125" hidden="1"/>
  </cols>
  <sheetData>
    <row r="1" spans="1:10" ht="15" customHeight="1"/>
    <row r="2" spans="1:10" ht="15" customHeight="1"/>
    <row r="3" spans="1:10"/>
    <row r="4" spans="1:10" ht="15" customHeight="1"/>
    <row r="5" spans="1:10" ht="18" customHeight="1">
      <c r="A5"/>
      <c r="B5" s="270" t="str">
        <f>IF(Indice_index!$Z$1=1,"ANEXOS ESTATÍSTICOS","STATISTICAL ANNEXES")</f>
        <v>ANEXOS ESTATÍSTICOS</v>
      </c>
      <c r="C5"/>
      <c r="D5"/>
      <c r="E5"/>
      <c r="F5"/>
      <c r="G5"/>
      <c r="H5"/>
      <c r="I5"/>
      <c r="J5"/>
    </row>
    <row r="6" spans="1:10" ht="18" customHeight="1">
      <c r="A6"/>
      <c r="B6" s="271" t="str">
        <f>IF(Indice_index!$Z$1=1,"Agosto de 2025","August 2025")</f>
        <v>Agosto de 2025</v>
      </c>
      <c r="C6"/>
      <c r="D6"/>
      <c r="E6"/>
      <c r="F6"/>
      <c r="G6"/>
      <c r="H6"/>
      <c r="I6"/>
      <c r="J6"/>
    </row>
    <row r="7" spans="1:10" ht="44.25" customHeight="1">
      <c r="B7" s="12"/>
      <c r="C7" s="13"/>
      <c r="D7" s="11"/>
      <c r="E7" s="11"/>
      <c r="F7" s="11"/>
      <c r="G7" s="11"/>
      <c r="H7" s="11"/>
      <c r="I7" s="11"/>
    </row>
    <row r="8" spans="1:10">
      <c r="B8" s="1" t="str">
        <f>IF(Indice_index!$Z$1=1,"Quadro 4 - Conta Consolidada da Administração Central","4 - Central Government Account")</f>
        <v>Quadro 4 - Conta Consolidada da Administração Central</v>
      </c>
      <c r="C8" s="2"/>
      <c r="D8" s="2"/>
      <c r="E8" s="2"/>
      <c r="F8" s="2"/>
      <c r="G8" s="2"/>
      <c r="H8" s="2"/>
      <c r="I8" s="2"/>
    </row>
    <row r="9" spans="1:10" ht="15">
      <c r="B9" s="3" t="str">
        <f>+'3 - Conta AC + SS'!B9</f>
        <v>Período: janeiro a agosto</v>
      </c>
      <c r="C9" s="3"/>
      <c r="D9" s="3"/>
      <c r="E9" s="3"/>
      <c r="F9" s="3"/>
      <c r="G9" s="3"/>
      <c r="H9" s="3"/>
      <c r="I9" s="3" t="str">
        <f>IF(Indice_index!$Z$1=1,"€ Milhões","€ Millions")</f>
        <v>€ Milhões</v>
      </c>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corrente","Current revenue")</f>
        <v>Receita corrente</v>
      </c>
      <c r="C12" s="134">
        <f>+C14+C15+C16+C17+C20+C21</f>
        <v>80663.867154730004</v>
      </c>
      <c r="D12" s="134">
        <f>+D14+D15+D16+D17+D20+D21</f>
        <v>86430.714543000024</v>
      </c>
      <c r="E12" s="134">
        <f>+E14+E15+E16+E17+E20+E21</f>
        <v>49491.899736569991</v>
      </c>
      <c r="F12" s="134">
        <f>+F14+F15+F16+F17+F20+F21</f>
        <v>52364.19324618001</v>
      </c>
      <c r="G12" s="134">
        <f>IFERROR(IF(F12/D12*100&lt;-500,"-",IF(F12/D12*100&gt;500,"-",F12/D12*100)),"-")</f>
        <v>60.585167579666802</v>
      </c>
      <c r="H12" s="134">
        <f>IF(IFERROR((F12-E12)/E12*100,"")&gt;500,"-",IFERROR((F12-E12)/E12*100,""))</f>
        <v>5.8035628555346337</v>
      </c>
      <c r="I12" s="134">
        <f t="shared" ref="I12:I20" si="0">IFERROR((F12-E12)/$E$29*100,"")</f>
        <v>5.6146162126681736</v>
      </c>
    </row>
    <row r="13" spans="1:10" ht="14.1" customHeight="1">
      <c r="B13" s="125" t="str">
        <f>IF(Indice_index!$Z$1=1,"Receita fiscal","Tax")</f>
        <v>Receita fiscal</v>
      </c>
      <c r="C13" s="4">
        <f>+C14+C15</f>
        <v>61377.792092659998</v>
      </c>
      <c r="D13" s="4">
        <f>+D14+D15</f>
        <v>64141.836794000003</v>
      </c>
      <c r="E13" s="4">
        <f>+E14+E15</f>
        <v>36978.288111909998</v>
      </c>
      <c r="F13" s="4">
        <f>+F14+F15</f>
        <v>40123.890915530006</v>
      </c>
      <c r="G13" s="4">
        <f t="shared" ref="G13:G27" si="1">IFERROR(IF(F13/D13*100&lt;-500,"-",IF(F13/D13*100&gt;500,"-",F13/D13*100)),"-")</f>
        <v>62.554945291624861</v>
      </c>
      <c r="H13" s="4">
        <f t="shared" ref="H13:H27" si="2">IF(IFERROR((F13-E13)/E13*100,"")&gt;500,"-",IFERROR((F13-E13)/E13*100,""))</f>
        <v>8.5066209503810679</v>
      </c>
      <c r="I13" s="4">
        <f t="shared" si="0"/>
        <v>6.1488676003091678</v>
      </c>
    </row>
    <row r="14" spans="1:10" ht="14.1" customHeight="1">
      <c r="B14" s="172" t="str">
        <f>IF(Indice_index!$Z$1=1,"Impostos diretos ","Direct taxes")</f>
        <v xml:space="preserve">Impostos diretos </v>
      </c>
      <c r="C14" s="4">
        <v>27679.896564609997</v>
      </c>
      <c r="D14" s="4">
        <v>27974.777635999999</v>
      </c>
      <c r="E14" s="4">
        <v>17204.354300750001</v>
      </c>
      <c r="F14" s="4">
        <v>18607.989977900001</v>
      </c>
      <c r="G14" s="4">
        <f t="shared" si="1"/>
        <v>66.517025514990593</v>
      </c>
      <c r="H14" s="4">
        <f t="shared" si="2"/>
        <v>8.1586071328978029</v>
      </c>
      <c r="I14" s="4">
        <f t="shared" si="0"/>
        <v>2.7437570719142381</v>
      </c>
    </row>
    <row r="15" spans="1:10" ht="14.1" customHeight="1">
      <c r="B15" s="172" t="str">
        <f>IF(Indice_index!$Z$1=1,"Impostos indiretos","Indirect taxes")</f>
        <v>Impostos indiretos</v>
      </c>
      <c r="C15" s="4">
        <v>33697.895528050001</v>
      </c>
      <c r="D15" s="4">
        <v>36167.059158000004</v>
      </c>
      <c r="E15" s="4">
        <v>19773.933811159997</v>
      </c>
      <c r="F15" s="4">
        <v>21515.900937630009</v>
      </c>
      <c r="G15" s="4">
        <f t="shared" si="1"/>
        <v>59.490324727911371</v>
      </c>
      <c r="H15" s="4">
        <f t="shared" si="2"/>
        <v>8.8094111323811646</v>
      </c>
      <c r="I15" s="4">
        <f t="shared" si="0"/>
        <v>3.4051105283949363</v>
      </c>
    </row>
    <row r="16" spans="1:10" ht="14.1" customHeight="1">
      <c r="B16" s="125" t="str">
        <f>IF(Indice_index!$Z$1=1,"Contribuições para Segurança Social, CGA e ADSE","Social security, CGA and ADSE contributions")</f>
        <v>Contribuições para Segurança Social, CGA e ADSE</v>
      </c>
      <c r="C16" s="4">
        <v>4489.8988306699994</v>
      </c>
      <c r="D16" s="4">
        <v>4453.2706690000005</v>
      </c>
      <c r="E16" s="4">
        <v>2848.3232842999996</v>
      </c>
      <c r="F16" s="4">
        <v>2956.6551790300009</v>
      </c>
      <c r="G16" s="4">
        <f t="shared" si="1"/>
        <v>66.392891849395028</v>
      </c>
      <c r="H16" s="4">
        <f t="shared" si="2"/>
        <v>3.8033567090901625</v>
      </c>
      <c r="I16" s="4">
        <f t="shared" si="0"/>
        <v>0.21176178912952048</v>
      </c>
    </row>
    <row r="17" spans="2:9" ht="14.1" customHeight="1">
      <c r="B17" s="125" t="str">
        <f>IF(Indice_index!$Z$1=1,"Transferências Correntes","Current transfers")</f>
        <v>Transferências Correntes</v>
      </c>
      <c r="C17" s="4">
        <f>+C18+C19</f>
        <v>3943.0457918499997</v>
      </c>
      <c r="D17" s="4">
        <f>+D18+D19</f>
        <v>5941.8302469999999</v>
      </c>
      <c r="E17" s="4">
        <f>+E18+E19</f>
        <v>2564.7805798200006</v>
      </c>
      <c r="F17" s="4">
        <f>+F18+F19</f>
        <v>2516.9009715700004</v>
      </c>
      <c r="G17" s="4">
        <f t="shared" si="1"/>
        <v>42.359018466419016</v>
      </c>
      <c r="H17" s="4">
        <f t="shared" si="2"/>
        <v>-1.8668110881189113</v>
      </c>
      <c r="I17" s="4">
        <f t="shared" si="0"/>
        <v>-9.3592672140651714E-2</v>
      </c>
    </row>
    <row r="18" spans="2:9" ht="14.1" customHeight="1">
      <c r="B18" s="172" t="str">
        <f>IF(Indice_index!$Z$1=1,"Administrações Públicas","General Government subsectors")</f>
        <v>Administrações Públicas</v>
      </c>
      <c r="C18" s="4">
        <v>2190.5329622299996</v>
      </c>
      <c r="D18" s="4">
        <v>2231.9462819999999</v>
      </c>
      <c r="E18" s="4">
        <v>1461.22800211</v>
      </c>
      <c r="F18" s="4">
        <v>1490.8728430800002</v>
      </c>
      <c r="G18" s="4">
        <f t="shared" si="1"/>
        <v>66.796985890899691</v>
      </c>
      <c r="H18" s="4">
        <f t="shared" si="2"/>
        <v>2.0287621731306307</v>
      </c>
      <c r="I18" s="4">
        <f t="shared" si="0"/>
        <v>5.7948257786068373E-2</v>
      </c>
    </row>
    <row r="19" spans="2:9" ht="14.1" customHeight="1">
      <c r="B19" s="172" t="str">
        <f>IF(Indice_index!$Z$1=1,"Outras","Others")</f>
        <v>Outras</v>
      </c>
      <c r="C19" s="4">
        <v>1752.51282962</v>
      </c>
      <c r="D19" s="4">
        <v>3709.883965</v>
      </c>
      <c r="E19" s="4">
        <v>1103.5525777100006</v>
      </c>
      <c r="F19" s="4">
        <v>1026.02812849</v>
      </c>
      <c r="G19" s="4">
        <f t="shared" si="1"/>
        <v>27.656609699112245</v>
      </c>
      <c r="H19" s="4">
        <f t="shared" si="2"/>
        <v>-7.0249891836483984</v>
      </c>
      <c r="I19" s="4">
        <f t="shared" si="0"/>
        <v>-0.15154092992672052</v>
      </c>
    </row>
    <row r="20" spans="2:9" ht="14.1" customHeight="1">
      <c r="B20" s="125" t="str">
        <f>IF(Indice_index!$Z$1=1,"Outras receitas correntes","Other current revenue")</f>
        <v>Outras receitas correntes</v>
      </c>
      <c r="C20" s="4">
        <v>10626.245463709998</v>
      </c>
      <c r="D20" s="4">
        <v>11544.463062999999</v>
      </c>
      <c r="E20" s="4">
        <v>6898.5897401299935</v>
      </c>
      <c r="F20" s="4">
        <v>6740.3306492900001</v>
      </c>
      <c r="G20" s="4">
        <f t="shared" si="1"/>
        <v>58.385830614268741</v>
      </c>
      <c r="H20" s="4">
        <f t="shared" si="2"/>
        <v>-2.2940788886079093</v>
      </c>
      <c r="I20" s="4">
        <f t="shared" si="0"/>
        <v>-0.3093569839779346</v>
      </c>
    </row>
    <row r="21" spans="2:9" ht="14.1" customHeight="1">
      <c r="B21" s="125" t="str">
        <f>IF(Indice_index!$Z$1=1,"Diferenças de consolidação","Consolidation differences")</f>
        <v>Diferenças de consolidação</v>
      </c>
      <c r="C21" s="4">
        <v>226.88497584000336</v>
      </c>
      <c r="D21" s="4">
        <v>349.31377000000089</v>
      </c>
      <c r="E21" s="4">
        <v>201.91802040999698</v>
      </c>
      <c r="F21" s="4">
        <v>26.415530759999161</v>
      </c>
      <c r="G21" s="4"/>
      <c r="H21" s="4"/>
      <c r="I21" s="4"/>
    </row>
    <row r="22" spans="2:9" ht="14.1" customHeight="1">
      <c r="B22" s="174" t="str">
        <f>IF(Indice_index!$Z$1=1,"Receita de capital","Capital revenue")</f>
        <v>Receita de capital</v>
      </c>
      <c r="C22" s="134">
        <f>+C23+C24+C27+C28</f>
        <v>2473.338285150001</v>
      </c>
      <c r="D22" s="134">
        <f>+D23+D24+D27+D28</f>
        <v>5865.8479220000008</v>
      </c>
      <c r="E22" s="134">
        <f>+E23+E24+E27+E28</f>
        <v>1665.5329500899998</v>
      </c>
      <c r="F22" s="134">
        <f>+F23+F24+F27+F28</f>
        <v>1660.1686024599999</v>
      </c>
      <c r="G22" s="134">
        <f t="shared" si="1"/>
        <v>28.302278281601858</v>
      </c>
      <c r="H22" s="134">
        <f t="shared" si="2"/>
        <v>-0.32207994622442099</v>
      </c>
      <c r="I22" s="134">
        <f t="shared" ref="I22:I27" si="3">IFERROR((F22-E22)/$E$29*100,"")</f>
        <v>-1.0485959416408931E-2</v>
      </c>
    </row>
    <row r="23" spans="2:9" ht="14.1" customHeight="1">
      <c r="B23" s="125" t="str">
        <f>IF(Indice_index!$Z$1=1,"Venda de bens de investimento","Sale of investment goods")</f>
        <v>Venda de bens de investimento</v>
      </c>
      <c r="C23" s="4">
        <v>89.935220340000015</v>
      </c>
      <c r="D23" s="4">
        <v>929.37795600000004</v>
      </c>
      <c r="E23" s="4">
        <v>58.819645420000001</v>
      </c>
      <c r="F23" s="4">
        <v>30.277601130000004</v>
      </c>
      <c r="G23" s="4">
        <f t="shared" si="1"/>
        <v>3.2578350857721441</v>
      </c>
      <c r="H23" s="4">
        <f t="shared" si="2"/>
        <v>-48.524679273729625</v>
      </c>
      <c r="I23" s="4">
        <f t="shared" si="3"/>
        <v>-5.5792565793558145E-2</v>
      </c>
    </row>
    <row r="24" spans="2:9" ht="14.1" customHeight="1">
      <c r="B24" s="125" t="str">
        <f>IF(Indice_index!$Z$1=1,"Transferências de Capital","Capital transfers")</f>
        <v>Transferências de Capital</v>
      </c>
      <c r="C24" s="4">
        <f>+C25+C26</f>
        <v>2218.7123366200012</v>
      </c>
      <c r="D24" s="4">
        <f>+D25+D26</f>
        <v>4828.0520470000001</v>
      </c>
      <c r="E24" s="4">
        <f>+E25+E26</f>
        <v>1449.5724035999999</v>
      </c>
      <c r="F24" s="4">
        <f>+F25+F26</f>
        <v>1488.1346080899998</v>
      </c>
      <c r="G24" s="4">
        <f t="shared" si="1"/>
        <v>30.822671205764649</v>
      </c>
      <c r="H24" s="4">
        <f t="shared" si="2"/>
        <v>2.6602468696445243</v>
      </c>
      <c r="I24" s="4">
        <f t="shared" si="3"/>
        <v>7.537947560072833E-2</v>
      </c>
    </row>
    <row r="25" spans="2:9" ht="14.1" customHeight="1">
      <c r="B25" s="172" t="str">
        <f>IF(Indice_index!$Z$1=1,"Administrações Públicas","General Government subsectors")</f>
        <v>Administrações Públicas</v>
      </c>
      <c r="C25" s="4">
        <v>5.0209281200000007</v>
      </c>
      <c r="D25" s="4">
        <v>20.510462999999998</v>
      </c>
      <c r="E25" s="4">
        <v>4.0752542600000004</v>
      </c>
      <c r="F25" s="4">
        <v>4.3125531500000003</v>
      </c>
      <c r="G25" s="4">
        <f t="shared" si="1"/>
        <v>21.026113111147225</v>
      </c>
      <c r="H25" s="4">
        <f t="shared" si="2"/>
        <v>5.822922322397619</v>
      </c>
      <c r="I25" s="4">
        <f t="shared" si="3"/>
        <v>4.63860044450352E-4</v>
      </c>
    </row>
    <row r="26" spans="2:9" ht="14.1" customHeight="1">
      <c r="B26" s="172" t="str">
        <f>IF(Indice_index!$Z$1=1,"Outras","Others")</f>
        <v>Outras</v>
      </c>
      <c r="C26" s="4">
        <v>2213.6914085000012</v>
      </c>
      <c r="D26" s="4">
        <v>4807.5415840000005</v>
      </c>
      <c r="E26" s="4">
        <v>1445.4971493399999</v>
      </c>
      <c r="F26" s="4">
        <v>1483.8220549399998</v>
      </c>
      <c r="G26" s="4">
        <f t="shared" si="1"/>
        <v>30.864466360068821</v>
      </c>
      <c r="H26" s="4">
        <f t="shared" si="2"/>
        <v>2.6513304171854473</v>
      </c>
      <c r="I26" s="4">
        <f t="shared" si="3"/>
        <v>7.491561555627814E-2</v>
      </c>
    </row>
    <row r="27" spans="2:9" ht="14.1" customHeight="1">
      <c r="B27" s="125" t="str">
        <f>IF(Indice_index!$Z$1=1,"Outras receitas de capital","Other capital revenue")</f>
        <v>Outras receitas de capital</v>
      </c>
      <c r="C27" s="4">
        <v>164.69072819000002</v>
      </c>
      <c r="D27" s="4">
        <v>11.138632000000001</v>
      </c>
      <c r="E27" s="4">
        <v>157.14090106999998</v>
      </c>
      <c r="F27" s="4">
        <v>114.64780862000003</v>
      </c>
      <c r="G27" s="4" t="str">
        <f t="shared" si="1"/>
        <v>-</v>
      </c>
      <c r="H27" s="4">
        <f t="shared" si="2"/>
        <v>-27.041395435979442</v>
      </c>
      <c r="I27" s="4">
        <f t="shared" si="3"/>
        <v>-8.3063379490270275E-2</v>
      </c>
    </row>
    <row r="28" spans="2:9" ht="14.1" customHeight="1">
      <c r="B28" s="125" t="str">
        <f>IF(Indice_index!$Z$1=1,"Diferenças de consolidação","Consolidation differences")</f>
        <v>Diferenças de consolidação</v>
      </c>
      <c r="C28" s="4">
        <v>0</v>
      </c>
      <c r="D28" s="4">
        <v>97.279287000000068</v>
      </c>
      <c r="E28" s="4">
        <v>0</v>
      </c>
      <c r="F28" s="4">
        <v>27.108584620000116</v>
      </c>
      <c r="G28" s="4"/>
      <c r="H28" s="4"/>
      <c r="I28" s="4"/>
    </row>
    <row r="29" spans="2:9" ht="14.1" customHeight="1">
      <c r="B29" s="30" t="str">
        <f>IF(Indice_index!$Z$1=1,"Receita efetiva","Effective revenue")</f>
        <v>Receita efetiva</v>
      </c>
      <c r="C29" s="18">
        <f>+C12+C22</f>
        <v>83137.20543988001</v>
      </c>
      <c r="D29" s="18">
        <f>+D12+D22</f>
        <v>92296.562465000025</v>
      </c>
      <c r="E29" s="18">
        <f>+E12+E22</f>
        <v>51157.432686659988</v>
      </c>
      <c r="F29" s="18">
        <f>+F12+F22</f>
        <v>54024.361848640008</v>
      </c>
      <c r="G29" s="18">
        <f>IFERROR(IF(F29/D29*100&lt;-500,"-",IF(F29/D29*100&gt;500,"-",F29/D29*100)),"-")</f>
        <v>58.533449573624921</v>
      </c>
      <c r="H29" s="18">
        <f t="shared" ref="H29:H48" si="4">IF(IFERROR((F29-E29)/E29*100,"")&gt;500,"-",IFERROR((F29-E29)/E29*100,""))</f>
        <v>5.6041302532517667</v>
      </c>
      <c r="I29" s="18"/>
    </row>
    <row r="30" spans="2:9" ht="14.1" customHeight="1">
      <c r="B30" s="174" t="str">
        <f>IF(Indice_index!$Z$1=1,"Despesa corrente","Current expenditure")</f>
        <v>Despesa corrente</v>
      </c>
      <c r="C30" s="134">
        <f>+C31+C35+C36+C37+C40+C41+C42</f>
        <v>81443.388169690006</v>
      </c>
      <c r="D30" s="134">
        <f>+D31+D35+D36+D37+D40+D41+D42</f>
        <v>87798.087520000001</v>
      </c>
      <c r="E30" s="134">
        <f>+E31+E35+E36+E37+E40+E41+E42</f>
        <v>50283.381430530018</v>
      </c>
      <c r="F30" s="134">
        <f>+F31+F35+F36+F37+F40+F41+F42</f>
        <v>52789.066477579989</v>
      </c>
      <c r="G30" s="134">
        <f t="shared" ref="G30:G48" si="5">IFERROR(IF(F30/D30*100&lt;-500,"-",IF(F30/D30*100&gt;500,"-",F30/D30*100)),"-")</f>
        <v>60.125531168950438</v>
      </c>
      <c r="H30" s="134">
        <f t="shared" si="4"/>
        <v>4.983127577670464</v>
      </c>
      <c r="I30" s="134">
        <f t="shared" ref="I30:I41" si="6">IFERROR((F30-E30)/$E$50*100,"")</f>
        <v>4.5972132801766321</v>
      </c>
    </row>
    <row r="31" spans="2:9" ht="14.1" customHeight="1">
      <c r="B31" s="125" t="str">
        <f>IF(Indice_index!$Z$1=1,"Despesas com o pessoal","Employees")</f>
        <v>Despesas com o pessoal</v>
      </c>
      <c r="C31" s="4">
        <f>+C32+C33+C34</f>
        <v>21934.96514801</v>
      </c>
      <c r="D31" s="4">
        <f>+D32+D33+D34</f>
        <v>23213.595982999999</v>
      </c>
      <c r="E31" s="4">
        <f>+E32+E33+E34</f>
        <v>13932.204947550008</v>
      </c>
      <c r="F31" s="4">
        <f>+F32+F33+F34</f>
        <v>15282.638974749989</v>
      </c>
      <c r="G31" s="4">
        <f t="shared" si="5"/>
        <v>65.834862405384825</v>
      </c>
      <c r="H31" s="4">
        <f t="shared" si="4"/>
        <v>9.6928952185522945</v>
      </c>
      <c r="I31" s="4">
        <f t="shared" si="6"/>
        <v>2.4776590542196559</v>
      </c>
    </row>
    <row r="32" spans="2:9" ht="14.1" customHeight="1">
      <c r="B32" s="172" t="str">
        <f>IF(Indice_index!$Z$1=1,"Remunerações Certas e Permanentes","Certain and permanent wages")</f>
        <v>Remunerações Certas e Permanentes</v>
      </c>
      <c r="C32" s="4">
        <v>15552.714432829998</v>
      </c>
      <c r="D32" s="4">
        <v>16803.161421000001</v>
      </c>
      <c r="E32" s="4">
        <v>9871.1652925000053</v>
      </c>
      <c r="F32" s="4">
        <v>10841.335900679995</v>
      </c>
      <c r="G32" s="4">
        <f t="shared" si="5"/>
        <v>64.519620022996833</v>
      </c>
      <c r="H32" s="4">
        <f t="shared" si="4"/>
        <v>9.8283290719193346</v>
      </c>
      <c r="I32" s="4">
        <f t="shared" si="6"/>
        <v>1.7799847627350831</v>
      </c>
    </row>
    <row r="33" spans="2:9" ht="14.1" customHeight="1">
      <c r="B33" s="172" t="str">
        <f>IF(Indice_index!$Z$1=1,"Abonos Variáveis ou Eventuais","Variable or contingent bonuses")</f>
        <v>Abonos Variáveis ou Eventuais</v>
      </c>
      <c r="C33" s="4">
        <v>1682.6525060599997</v>
      </c>
      <c r="D33" s="4">
        <v>1720.3525790000001</v>
      </c>
      <c r="E33" s="4">
        <v>1069.6745891500009</v>
      </c>
      <c r="F33" s="4">
        <v>1207.0327252999989</v>
      </c>
      <c r="G33" s="4">
        <f t="shared" si="5"/>
        <v>70.161938897526355</v>
      </c>
      <c r="H33" s="4">
        <f t="shared" si="4"/>
        <v>12.841114255050909</v>
      </c>
      <c r="I33" s="4">
        <f t="shared" si="6"/>
        <v>0.25201277726126275</v>
      </c>
    </row>
    <row r="34" spans="2:9" ht="14.1" customHeight="1">
      <c r="B34" s="172" t="str">
        <f>IF(Indice_index!$Z$1=1,"Segurança social","Social security")</f>
        <v>Segurança social</v>
      </c>
      <c r="C34" s="4">
        <v>4699.5982091200003</v>
      </c>
      <c r="D34" s="4">
        <v>4690.081983</v>
      </c>
      <c r="E34" s="4">
        <v>2991.3650659000018</v>
      </c>
      <c r="F34" s="4">
        <v>3234.2703487699955</v>
      </c>
      <c r="G34" s="4">
        <f t="shared" si="5"/>
        <v>68.959782803225153</v>
      </c>
      <c r="H34" s="4">
        <f t="shared" si="4"/>
        <v>8.1202152702452466</v>
      </c>
      <c r="I34" s="4">
        <f t="shared" si="6"/>
        <v>0.44566151422331035</v>
      </c>
    </row>
    <row r="35" spans="2:9" ht="14.1" customHeight="1">
      <c r="B35" s="125" t="str">
        <f>IF(Indice_index!$Z$1=1,"Aquisição de bens e serviços","Purchase of goods and services")</f>
        <v>Aquisição de bens e serviços</v>
      </c>
      <c r="C35" s="4">
        <v>14008.796544820003</v>
      </c>
      <c r="D35" s="4">
        <v>15418.300418999999</v>
      </c>
      <c r="E35" s="4">
        <v>7670.174316239998</v>
      </c>
      <c r="F35" s="4">
        <v>7583.3488996100004</v>
      </c>
      <c r="G35" s="4">
        <f t="shared" si="5"/>
        <v>49.184077969223026</v>
      </c>
      <c r="H35" s="4">
        <f t="shared" si="4"/>
        <v>-1.1319875279257059</v>
      </c>
      <c r="I35" s="4">
        <f t="shared" si="6"/>
        <v>-0.15929973276499085</v>
      </c>
    </row>
    <row r="36" spans="2:9" ht="14.1" customHeight="1">
      <c r="B36" s="125" t="str">
        <f>IF(Indice_index!$Z$1=1,"Juros e outros encargos","Interests and other charges")</f>
        <v>Juros e outros encargos</v>
      </c>
      <c r="C36" s="4">
        <v>6822.2967010699995</v>
      </c>
      <c r="D36" s="4">
        <v>6944.8578539999999</v>
      </c>
      <c r="E36" s="4">
        <v>4686.8134009300029</v>
      </c>
      <c r="F36" s="4">
        <v>4624.112920339996</v>
      </c>
      <c r="G36" s="4">
        <f t="shared" si="5"/>
        <v>66.583262286306777</v>
      </c>
      <c r="H36" s="4">
        <f t="shared" si="4"/>
        <v>-1.3378062070396335</v>
      </c>
      <c r="I36" s="4">
        <f t="shared" si="6"/>
        <v>-0.11503739561410588</v>
      </c>
    </row>
    <row r="37" spans="2:9" ht="14.1" customHeight="1">
      <c r="B37" s="125" t="str">
        <f>IF(Indice_index!$Z$1=1,"Transferências Correntes","Current transfers")</f>
        <v>Transferências Correntes</v>
      </c>
      <c r="C37" s="4">
        <f>+C38+C39</f>
        <v>36941.302092279999</v>
      </c>
      <c r="D37" s="4">
        <f>+D38+D39</f>
        <v>38594.296162999999</v>
      </c>
      <c r="E37" s="4">
        <f>+E38+E39</f>
        <v>22952.043693360003</v>
      </c>
      <c r="F37" s="4">
        <f>+F38+F39</f>
        <v>24207.246267659997</v>
      </c>
      <c r="G37" s="4">
        <f t="shared" si="5"/>
        <v>62.722341574575111</v>
      </c>
      <c r="H37" s="4">
        <f t="shared" si="4"/>
        <v>5.4688052666226081</v>
      </c>
      <c r="I37" s="4">
        <f t="shared" si="6"/>
        <v>2.3029366562559646</v>
      </c>
    </row>
    <row r="38" spans="2:9" ht="14.1" customHeight="1">
      <c r="B38" s="172" t="str">
        <f>IF(Indice_index!$Z$1=1,"Administrações Públicas","General Government subsectors")</f>
        <v>Administrações Públicas</v>
      </c>
      <c r="C38" s="4">
        <v>18042.569845179998</v>
      </c>
      <c r="D38" s="4">
        <v>19164.802692999998</v>
      </c>
      <c r="E38" s="4">
        <v>11215.867035500003</v>
      </c>
      <c r="F38" s="4">
        <v>12427.684288369999</v>
      </c>
      <c r="G38" s="4">
        <f t="shared" si="5"/>
        <v>64.846398303433872</v>
      </c>
      <c r="H38" s="4">
        <f t="shared" si="4"/>
        <v>10.804490183722772</v>
      </c>
      <c r="I38" s="4">
        <f t="shared" si="6"/>
        <v>2.2233370369512402</v>
      </c>
    </row>
    <row r="39" spans="2:9" ht="14.1" customHeight="1">
      <c r="B39" s="172" t="str">
        <f>IF(Indice_index!$Z$1=1,"Outras","Others")</f>
        <v>Outras</v>
      </c>
      <c r="C39" s="4">
        <v>18898.732247100001</v>
      </c>
      <c r="D39" s="4">
        <v>19429.493470000001</v>
      </c>
      <c r="E39" s="4">
        <v>11736.17665786</v>
      </c>
      <c r="F39" s="4">
        <v>11779.561979289998</v>
      </c>
      <c r="G39" s="4">
        <f t="shared" si="5"/>
        <v>60.627221175262051</v>
      </c>
      <c r="H39" s="4">
        <f t="shared" si="4"/>
        <v>0.36967168009474138</v>
      </c>
      <c r="I39" s="4">
        <f t="shared" si="6"/>
        <v>7.9599619304724492E-2</v>
      </c>
    </row>
    <row r="40" spans="2:9" ht="14.1" customHeight="1">
      <c r="B40" s="125" t="str">
        <f>IF(Indice_index!$Z$1=1,"Subsídios","Subsidies")</f>
        <v>Subsídios</v>
      </c>
      <c r="C40" s="4">
        <v>1015.13157583</v>
      </c>
      <c r="D40" s="4">
        <v>1262.9597369999999</v>
      </c>
      <c r="E40" s="4">
        <v>603.68646209000019</v>
      </c>
      <c r="F40" s="4">
        <v>680.02683851999996</v>
      </c>
      <c r="G40" s="4">
        <f t="shared" si="5"/>
        <v>53.843904805335853</v>
      </c>
      <c r="H40" s="4">
        <f t="shared" si="4"/>
        <v>12.645699584798475</v>
      </c>
      <c r="I40" s="4">
        <f t="shared" si="6"/>
        <v>0.14006269173808064</v>
      </c>
    </row>
    <row r="41" spans="2:9" ht="14.1" customHeight="1">
      <c r="B41" s="125" t="str">
        <f>IF(Indice_index!$Z$1=1,"Outras despesas correntes","Other current expenditure")</f>
        <v>Outras despesas correntes</v>
      </c>
      <c r="C41" s="4">
        <v>716.64125847000003</v>
      </c>
      <c r="D41" s="4">
        <v>2363.038665</v>
      </c>
      <c r="E41" s="4">
        <v>386.90957790999954</v>
      </c>
      <c r="F41" s="4">
        <v>265.94650627000004</v>
      </c>
      <c r="G41" s="4">
        <f t="shared" si="5"/>
        <v>11.254428893147207</v>
      </c>
      <c r="H41" s="4">
        <f>IF(IFERROR((F41-E41)/E41*100,"")&gt;500,"-",IFERROR((F41-E41)/E41*100,""))</f>
        <v>-31.263912434893808</v>
      </c>
      <c r="I41" s="4">
        <f t="shared" si="6"/>
        <v>-0.22193253697589432</v>
      </c>
    </row>
    <row r="42" spans="2:9" ht="14.1" customHeight="1">
      <c r="B42" s="125" t="str">
        <f>IF(Indice_index!$Z$1=1,"Diferenças de consolidação","Consolidation differences")</f>
        <v>Diferenças de consolidação</v>
      </c>
      <c r="C42" s="4">
        <v>4.254849210000855</v>
      </c>
      <c r="D42" s="4">
        <v>1.0386989999985969</v>
      </c>
      <c r="E42" s="4">
        <v>51.549032450001135</v>
      </c>
      <c r="F42" s="4">
        <v>145.7460704300025</v>
      </c>
      <c r="G42" s="4"/>
      <c r="H42" s="4"/>
      <c r="I42" s="4"/>
    </row>
    <row r="43" spans="2:9" ht="14.1" customHeight="1">
      <c r="B43" s="174" t="str">
        <f>IF(Indice_index!$Z$1=1,"Despesa de capital","Capital expenditure")</f>
        <v>Despesa de capital</v>
      </c>
      <c r="C43" s="134">
        <f>+C44+C45+C48+C49</f>
        <v>7830.9780549300012</v>
      </c>
      <c r="D43" s="134">
        <f>+D44+D45+D48+D49</f>
        <v>12394.571506</v>
      </c>
      <c r="E43" s="134">
        <f>+E44+E45+E48+E49</f>
        <v>4221.0518933399999</v>
      </c>
      <c r="F43" s="134">
        <f>+F44+F45+F48+F49</f>
        <v>4441.0409247800017</v>
      </c>
      <c r="G43" s="134">
        <f t="shared" si="5"/>
        <v>35.830532121503104</v>
      </c>
      <c r="H43" s="134">
        <f t="shared" si="4"/>
        <v>5.211711132646859</v>
      </c>
      <c r="I43" s="134">
        <f t="shared" ref="I43:I48" si="7">IFERROR((F43-E43)/$E$50*100,"")</f>
        <v>0.40361676660833823</v>
      </c>
    </row>
    <row r="44" spans="2:9" ht="14.1" customHeight="1">
      <c r="B44" s="125" t="str">
        <f>IF(Indice_index!$Z$1=1,"Investimento","Investments")</f>
        <v>Investimento</v>
      </c>
      <c r="C44" s="4">
        <v>4569.3133462300002</v>
      </c>
      <c r="D44" s="4">
        <v>7901.6655609999998</v>
      </c>
      <c r="E44" s="4">
        <v>2280.6648492600002</v>
      </c>
      <c r="F44" s="4">
        <v>2480.7991388800006</v>
      </c>
      <c r="G44" s="4">
        <f t="shared" si="5"/>
        <v>31.39590153149992</v>
      </c>
      <c r="H44" s="4">
        <f t="shared" si="4"/>
        <v>8.7752608492623221</v>
      </c>
      <c r="I44" s="4">
        <f t="shared" si="7"/>
        <v>0.36718901090262734</v>
      </c>
    </row>
    <row r="45" spans="2:9" ht="14.1" customHeight="1">
      <c r="B45" s="125" t="str">
        <f>IF(Indice_index!$Z$1=1,"Transferências de capital","Capital transfers")</f>
        <v>Transferências de capital</v>
      </c>
      <c r="C45" s="4">
        <f>+C46+C47</f>
        <v>2721.7844796500003</v>
      </c>
      <c r="D45" s="4">
        <f>+D46+D47</f>
        <v>4239.3131540000004</v>
      </c>
      <c r="E45" s="4">
        <f>+E46+E47</f>
        <v>1539.7755972699999</v>
      </c>
      <c r="F45" s="4">
        <f>+F46+F47</f>
        <v>1828.26082167</v>
      </c>
      <c r="G45" s="4">
        <f t="shared" si="5"/>
        <v>43.12634512373652</v>
      </c>
      <c r="H45" s="4">
        <f t="shared" si="4"/>
        <v>18.735536847803036</v>
      </c>
      <c r="I45" s="4">
        <f t="shared" si="7"/>
        <v>0.52928763186252414</v>
      </c>
    </row>
    <row r="46" spans="2:9" ht="14.1" customHeight="1">
      <c r="B46" s="172" t="str">
        <f>IF(Indice_index!$Z$1=1,"Administrações Públicas","General Government subsectors")</f>
        <v>Administrações Públicas</v>
      </c>
      <c r="C46" s="4">
        <v>1354.2785625500001</v>
      </c>
      <c r="D46" s="4">
        <v>1468.3640800000001</v>
      </c>
      <c r="E46" s="4">
        <v>715.96232345999999</v>
      </c>
      <c r="F46" s="4">
        <v>957.27877229000012</v>
      </c>
      <c r="G46" s="4">
        <f t="shared" si="5"/>
        <v>65.193556920161114</v>
      </c>
      <c r="H46" s="4">
        <f t="shared" si="4"/>
        <v>33.705188237252571</v>
      </c>
      <c r="I46" s="4">
        <f t="shared" si="7"/>
        <v>0.44274645953307518</v>
      </c>
    </row>
    <row r="47" spans="2:9" ht="14.1" customHeight="1">
      <c r="B47" s="172" t="str">
        <f>IF(Indice_index!$Z$1=1,"Outras","Others")</f>
        <v>Outras</v>
      </c>
      <c r="C47" s="4">
        <v>1367.5059171</v>
      </c>
      <c r="D47" s="4">
        <v>2770.9490740000001</v>
      </c>
      <c r="E47" s="4">
        <v>823.81327380999994</v>
      </c>
      <c r="F47" s="4">
        <v>870.98204938000003</v>
      </c>
      <c r="G47" s="4">
        <f t="shared" si="5"/>
        <v>31.432625649907557</v>
      </c>
      <c r="H47" s="4">
        <f t="shared" si="4"/>
        <v>5.7256634567020654</v>
      </c>
      <c r="I47" s="4">
        <f t="shared" si="7"/>
        <v>8.6541172329449204E-2</v>
      </c>
    </row>
    <row r="48" spans="2:9" ht="14.1" customHeight="1">
      <c r="B48" s="125" t="str">
        <f>IF(Indice_index!$Z$1=1,"Outras despesas de capital","Other capital expenditure")</f>
        <v>Outras despesas de capital</v>
      </c>
      <c r="C48" s="4">
        <v>314.99973122000006</v>
      </c>
      <c r="D48" s="4">
        <v>253.59279100000001</v>
      </c>
      <c r="E48" s="4">
        <v>122.48943483999999</v>
      </c>
      <c r="F48" s="4">
        <v>79.935520990000015</v>
      </c>
      <c r="G48" s="4">
        <f t="shared" si="5"/>
        <v>31.521211890443691</v>
      </c>
      <c r="H48" s="4">
        <f t="shared" si="4"/>
        <v>-34.740885126611445</v>
      </c>
      <c r="I48" s="4">
        <f t="shared" si="7"/>
        <v>-7.8074224893121935E-2</v>
      </c>
    </row>
    <row r="49" spans="2:9" ht="14.1" customHeight="1">
      <c r="B49" s="125" t="str">
        <f>IF(Indice_index!$Z$1=1,"Diferenças de consolidação","Consolidation differences")</f>
        <v>Diferenças de consolidação</v>
      </c>
      <c r="C49" s="4">
        <v>224.88049783000037</v>
      </c>
      <c r="D49" s="4">
        <v>0</v>
      </c>
      <c r="E49" s="4">
        <v>278.12201196999979</v>
      </c>
      <c r="F49" s="4">
        <v>52.045443240000012</v>
      </c>
      <c r="G49" s="4"/>
      <c r="H49" s="4"/>
      <c r="I49" s="4"/>
    </row>
    <row r="50" spans="2:9" ht="14.1" customHeight="1">
      <c r="B50" s="30" t="str">
        <f>IF(Indice_index!$Z$1=1,"Despesa efetiva","Effective Expenditure")</f>
        <v>Despesa efetiva</v>
      </c>
      <c r="C50" s="18">
        <f>+C30+C43</f>
        <v>89274.366224620011</v>
      </c>
      <c r="D50" s="18">
        <f>+D30+D43</f>
        <v>100192.65902600001</v>
      </c>
      <c r="E50" s="18">
        <f>+E30+E43</f>
        <v>54504.43332387002</v>
      </c>
      <c r="F50" s="18">
        <f>+F30+F43</f>
        <v>57230.107402359994</v>
      </c>
      <c r="G50" s="18">
        <f>IFERROR(IF(F50/D50*100&lt;-500,"-",IF(F50/D50*100&gt;500,"-",F50/D50*100)),"-")</f>
        <v>57.120060450245937</v>
      </c>
      <c r="H50" s="18">
        <f>IFERROR((F50-E50)/E50*100,"")</f>
        <v>5.0008300467849738</v>
      </c>
      <c r="I50" s="18"/>
    </row>
    <row r="51" spans="2:9" ht="14.1" customHeight="1">
      <c r="B51" s="30" t="str">
        <f>IF(Indice_index!$Z$1=1,"Saldo global","Overall balance")</f>
        <v>Saldo global</v>
      </c>
      <c r="C51" s="18">
        <f>+C29-C50</f>
        <v>-6137.160784740001</v>
      </c>
      <c r="D51" s="18">
        <f>+D29-D50</f>
        <v>-7896.0965609999839</v>
      </c>
      <c r="E51" s="18">
        <f>+E29-E50</f>
        <v>-3347.0006372100324</v>
      </c>
      <c r="F51" s="18">
        <f>+F29-F50</f>
        <v>-3205.7455537199858</v>
      </c>
      <c r="G51" s="18"/>
      <c r="H51" s="18"/>
      <c r="I51" s="18"/>
    </row>
    <row r="52" spans="2:9" ht="14.1" customHeight="1">
      <c r="B52" s="285" t="str">
        <f>IF(Indice_index!$Z$1=1,"   Por memória:","   Memo item:")</f>
        <v xml:space="preserve">   Por memória:</v>
      </c>
      <c r="C52" s="4"/>
      <c r="D52" s="4"/>
      <c r="E52" s="4"/>
      <c r="F52" s="4"/>
      <c r="G52" s="4"/>
      <c r="H52" s="4"/>
      <c r="I52" s="4"/>
    </row>
    <row r="53" spans="2:9" ht="14.1" customHeight="1">
      <c r="B53" s="172" t="str">
        <f>IF(Indice_index!$Z$1=1,"Despesa primária","Primary expenditure")</f>
        <v>Despesa primária</v>
      </c>
      <c r="C53" s="4">
        <f>+C50-C36</f>
        <v>82452.069523550017</v>
      </c>
      <c r="D53" s="4">
        <f>+D50-D36</f>
        <v>93247.801172000007</v>
      </c>
      <c r="E53" s="4">
        <f>+E50-E36</f>
        <v>49817.619922940015</v>
      </c>
      <c r="F53" s="4">
        <f>+F50-F36</f>
        <v>52605.994482019996</v>
      </c>
      <c r="G53" s="4">
        <f>IFERROR(IF(F53/D53*100&lt;-500,"-",IF(F53/D53*100&gt;500,"-",F53/D53*100)),"-")</f>
        <v>56.415265369084402</v>
      </c>
      <c r="H53" s="4">
        <f>IFERROR((F53-E53)/E53*100,"")</f>
        <v>5.597165347106416</v>
      </c>
      <c r="I53" s="4">
        <f>IFERROR((F53-E53)/$E$50*100,"")</f>
        <v>5.1158674423990798</v>
      </c>
    </row>
    <row r="54" spans="2:9" ht="14.1" customHeight="1">
      <c r="B54" s="172" t="str">
        <f>IF(Indice_index!$Z$1=1,"Saldo corrente","Current balance")</f>
        <v>Saldo corrente</v>
      </c>
      <c r="C54" s="4">
        <f>+C12-C30</f>
        <v>-779.5210149600025</v>
      </c>
      <c r="D54" s="4">
        <f>+D12-D30</f>
        <v>-1367.3729769999773</v>
      </c>
      <c r="E54" s="4">
        <f>+E12-E30</f>
        <v>-791.48169396002777</v>
      </c>
      <c r="F54" s="4">
        <f>+F12-F30</f>
        <v>-424.87323139997898</v>
      </c>
      <c r="G54" s="4"/>
      <c r="H54" s="4"/>
      <c r="I54" s="4"/>
    </row>
    <row r="55" spans="2:9" ht="14.1" customHeight="1">
      <c r="B55" s="172" t="str">
        <f>IF(Indice_index!$Z$1=1,"Saldo de capital","Capital balance")</f>
        <v>Saldo de capital</v>
      </c>
      <c r="C55" s="4">
        <f>+C22-C43</f>
        <v>-5357.6397697800003</v>
      </c>
      <c r="D55" s="4">
        <f>+D22-D43</f>
        <v>-6528.7235839999994</v>
      </c>
      <c r="E55" s="4">
        <f>+E22-E43</f>
        <v>-2555.5189432500001</v>
      </c>
      <c r="F55" s="4">
        <f>+F22-F43</f>
        <v>-2780.8723223200018</v>
      </c>
      <c r="G55" s="4"/>
      <c r="H55" s="4"/>
      <c r="I55" s="4"/>
    </row>
    <row r="56" spans="2:9" ht="14.1" customHeight="1">
      <c r="B56" s="172" t="str">
        <f>IF(Indice_index!$Z$1=1,"Saldo primário","Primary balance")</f>
        <v>Saldo primário</v>
      </c>
      <c r="C56" s="4">
        <f>+C51+C36</f>
        <v>685.13591632999851</v>
      </c>
      <c r="D56" s="4">
        <f>+D51+D36</f>
        <v>-951.23870699998406</v>
      </c>
      <c r="E56" s="4">
        <f>+E51+E36</f>
        <v>1339.8127637199705</v>
      </c>
      <c r="F56" s="4">
        <f>+F51+F36</f>
        <v>1418.3673666200102</v>
      </c>
      <c r="G56" s="4"/>
      <c r="H56" s="4"/>
      <c r="I56" s="4"/>
    </row>
    <row r="57" spans="2:9" ht="14.1" customHeight="1">
      <c r="B57" s="172" t="str">
        <f>IF(Indice_index!$Z$1=1,"Transferências para a Administração Local","Transfers to Local Administration")</f>
        <v>Transferências para a Administração Local</v>
      </c>
      <c r="C57" s="4">
        <v>5534.7627212500001</v>
      </c>
      <c r="D57" s="4">
        <v>6003.386939</v>
      </c>
      <c r="E57" s="295">
        <v>3635.5964154799999</v>
      </c>
      <c r="F57" s="295">
        <v>3997.96096756</v>
      </c>
      <c r="G57" s="4"/>
      <c r="H57" s="4"/>
      <c r="I57" s="4"/>
    </row>
    <row r="58" spans="2:9" ht="14.1" customHeight="1">
      <c r="B58" s="286" t="str">
        <f>IF(Indice_index!$Z$1=1,"Transferências para as Regiões Autónomas","Transfers to the Autonomous Regions")</f>
        <v>Transferências para as Regiões Autónomas</v>
      </c>
      <c r="C58" s="19">
        <v>620.027061</v>
      </c>
      <c r="D58" s="19">
        <v>724.03376300000002</v>
      </c>
      <c r="E58" s="296">
        <v>465.02029425000001</v>
      </c>
      <c r="F58" s="296">
        <v>543.02532225000004</v>
      </c>
      <c r="G58" s="19"/>
      <c r="H58" s="19"/>
      <c r="I58" s="19"/>
    </row>
    <row r="59" spans="2:9" ht="15">
      <c r="B59" s="9" t="str">
        <f>IF(Indice_index!$Z$1=1,"Nota:","Note:")</f>
        <v>Nota:</v>
      </c>
      <c r="C59" s="9"/>
      <c r="D59" s="9"/>
      <c r="E59" s="9"/>
      <c r="F59" s="9"/>
      <c r="G59" s="9"/>
      <c r="H59" s="9"/>
      <c r="I59" s="9"/>
    </row>
    <row r="60" spans="2:9" ht="15">
      <c r="B60" s="392" t="str">
        <f>+'3 - Conta AC + SS'!$B$61</f>
        <v>Os dados de 2024 são mensalmente revistos e atualizados face ao publicado nas Sínteses de Execução Orçamental de 2024.</v>
      </c>
      <c r="C60" s="392"/>
      <c r="D60" s="392"/>
      <c r="E60" s="392"/>
      <c r="F60" s="392"/>
      <c r="G60" s="392"/>
      <c r="H60" s="392"/>
      <c r="I60" s="392"/>
    </row>
    <row r="61" spans="2:9" ht="15">
      <c r="B61" s="28" t="str">
        <f>IF(Indice_index!$Z$1=1,"Fonte: Entidade Orçamental","Source: Budgetary Entity")</f>
        <v>Fonte: Entidade Orçamental</v>
      </c>
      <c r="C61" s="28"/>
      <c r="D61" s="28"/>
      <c r="E61" s="146"/>
      <c r="F61" s="146"/>
      <c r="H61" s="49"/>
      <c r="I61" s="49"/>
    </row>
    <row r="62" spans="2:9">
      <c r="B62" s="48"/>
      <c r="C62" s="48"/>
      <c r="D62" s="48"/>
      <c r="E62" s="32"/>
      <c r="F62" s="32"/>
      <c r="G62" s="49"/>
      <c r="H62" s="48"/>
      <c r="I62" s="48"/>
    </row>
    <row r="63" spans="2:9" ht="15" hidden="1">
      <c r="B63" s="393"/>
      <c r="C63" s="393"/>
      <c r="D63" s="393"/>
      <c r="E63" s="393"/>
      <c r="F63" s="393"/>
      <c r="G63" s="393"/>
      <c r="H63" s="393"/>
      <c r="I63" s="393"/>
    </row>
  </sheetData>
  <mergeCells count="5">
    <mergeCell ref="B10:B11"/>
    <mergeCell ref="E10:F10"/>
    <mergeCell ref="H10:I10"/>
    <mergeCell ref="B60:I60"/>
    <mergeCell ref="B63:I63"/>
  </mergeCells>
  <conditionalFormatting sqref="C12:I28">
    <cfRule type="cellIs" dxfId="69" priority="3" operator="equal">
      <formula>0</formula>
    </cfRule>
  </conditionalFormatting>
  <conditionalFormatting sqref="C30:I49">
    <cfRule type="cellIs" dxfId="68" priority="2" operator="equal">
      <formula>0</formula>
    </cfRule>
  </conditionalFormatting>
  <conditionalFormatting sqref="C52:I58">
    <cfRule type="cellIs" dxfId="67" priority="1" operator="equal">
      <formula>0</formula>
    </cfRule>
  </conditionalFormatting>
  <pageMargins left="0.70866141732283472" right="0.70866141732283472" top="0.74803149606299213" bottom="0.74803149606299213" header="0.31496062992125984" footer="0.31496062992125984"/>
  <pageSetup paperSize="9" scale="79" orientation="portrait" r:id="rId1"/>
  <ignoredErrors>
    <ignoredError sqref="B61" unlockedFormula="1"/>
  </ignoredError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Folha11">
    <pageSetUpPr fitToPage="1"/>
  </sheetPr>
  <dimension ref="A1:O75"/>
  <sheetViews>
    <sheetView showGridLines="0" zoomScaleNormal="100" workbookViewId="0"/>
  </sheetViews>
  <sheetFormatPr defaultColWidth="0" defaultRowHeight="14.85" customHeight="1" zeroHeight="1"/>
  <cols>
    <col min="1" max="1" width="8.5703125" style="50" customWidth="1"/>
    <col min="2" max="2" width="37.5703125" style="31" customWidth="1"/>
    <col min="3" max="4" width="10.42578125" style="31" customWidth="1"/>
    <col min="5" max="9" width="10.42578125" style="50" customWidth="1"/>
    <col min="10" max="10" width="8.5703125" style="50" customWidth="1"/>
    <col min="11" max="11" width="8.5703125" style="50" hidden="1" customWidth="1"/>
    <col min="12" max="15" width="0" hidden="1" customWidth="1"/>
    <col min="16" max="16384" width="9.42578125" hidden="1"/>
  </cols>
  <sheetData>
    <row r="1" spans="1:11" ht="14.85" customHeight="1"/>
    <row r="2" spans="1:11" ht="15"/>
    <row r="3" spans="1:11" ht="15"/>
    <row r="4" spans="1:11" ht="15"/>
    <row r="5" spans="1:11" ht="18" customHeight="1">
      <c r="A5"/>
      <c r="B5" s="270" t="str">
        <f>IF(Indice_index!$Z$1=1,"ANEXOS ESTATÍSTICOS","STATISTICAL ANNEXES")</f>
        <v>ANEXOS ESTATÍSTICOS</v>
      </c>
      <c r="C5"/>
      <c r="D5"/>
      <c r="E5"/>
      <c r="F5"/>
      <c r="G5"/>
      <c r="H5"/>
      <c r="I5"/>
      <c r="J5"/>
      <c r="K5"/>
    </row>
    <row r="6" spans="1:11" ht="18" customHeight="1">
      <c r="A6"/>
      <c r="B6" s="271" t="str">
        <f>IF(Indice_index!$Z$1=1,"Agosto de 2025","August 2025")</f>
        <v>Agosto de 2025</v>
      </c>
      <c r="C6"/>
      <c r="D6"/>
      <c r="E6"/>
      <c r="F6"/>
      <c r="G6"/>
      <c r="H6"/>
      <c r="I6"/>
      <c r="J6"/>
      <c r="K6"/>
    </row>
    <row r="7" spans="1:11" ht="50.1" customHeight="1">
      <c r="B7" s="12"/>
      <c r="C7" s="13"/>
      <c r="D7" s="11"/>
      <c r="E7" s="11"/>
      <c r="F7" s="11"/>
      <c r="G7" s="11"/>
      <c r="H7" s="11"/>
      <c r="I7" s="11"/>
    </row>
    <row r="8" spans="1:11" ht="15.75">
      <c r="B8" s="1" t="str">
        <f>IF(Indice_index!$Z$1=1,"Quadro 5 - Execução Orçamental do Estado","5 - State Budget Execution")</f>
        <v>Quadro 5 - Execução Orçamental do Estado</v>
      </c>
      <c r="C8" s="2"/>
      <c r="D8" s="2"/>
      <c r="E8" s="2"/>
      <c r="F8" s="2"/>
      <c r="G8" s="2"/>
      <c r="H8" s="2"/>
      <c r="I8" s="2"/>
    </row>
    <row r="9" spans="1:11" ht="15">
      <c r="B9" s="3" t="str">
        <f>+'3 - Conta AC + SS'!B9</f>
        <v>Período: janeiro a agosto</v>
      </c>
      <c r="C9" s="3"/>
      <c r="D9" s="3"/>
      <c r="E9" s="3"/>
      <c r="F9" s="3"/>
      <c r="G9" s="3"/>
      <c r="H9" s="3"/>
      <c r="I9" s="3" t="str">
        <f>IF(Indice_index!$Z$1=1,"€ Milhões","€ Millions")</f>
        <v>€ Milhões</v>
      </c>
    </row>
    <row r="10" spans="1:11"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1"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1" ht="14.1" customHeight="1">
      <c r="B12" s="174" t="str">
        <f>IF(Indice_index!$Z$1=1,"Receita corrente","Current revenue")</f>
        <v>Receita corrente</v>
      </c>
      <c r="C12" s="134">
        <f>+C13+C16+C17+C18+C23+C24</f>
        <v>66036.970812379994</v>
      </c>
      <c r="D12" s="134">
        <f>+D13+D16+D17+D18+D23+D24</f>
        <v>68445.574032999997</v>
      </c>
      <c r="E12" s="134">
        <f>+E13+E16+E17+E18+E23+E24</f>
        <v>40125.738090559993</v>
      </c>
      <c r="F12" s="134">
        <f>+F13+F16+F17+F18+F23+F24</f>
        <v>43027.370904390009</v>
      </c>
      <c r="G12" s="134">
        <f>IFERROR(IF(F12/D12*100&lt;-500,"-",IF(F12/D12*100&gt;500,"-",F12/D12*100)),"-")</f>
        <v>62.863627798117392</v>
      </c>
      <c r="H12" s="134">
        <f>IF(IFERROR((F12-E12)/E12*100,"")&gt;500,"-",IFERROR((F12-E12)/E12*100,""))</f>
        <v>7.2313506290683183</v>
      </c>
      <c r="I12" s="134">
        <f t="shared" ref="I12:I23" si="0">IFERROR((F12-E12)/$E$34*100,"-")</f>
        <v>7.1859389243060239</v>
      </c>
    </row>
    <row r="13" spans="1:11" ht="14.1" customHeight="1">
      <c r="B13" s="125" t="str">
        <f>IF(Indice_index!$Z$1=1,"Receita fiscal","Tax")</f>
        <v>Receita fiscal</v>
      </c>
      <c r="C13" s="4">
        <f>SUM(C14:C15)</f>
        <v>60629.394838939996</v>
      </c>
      <c r="D13" s="4">
        <f>SUM(D14:D15)</f>
        <v>63370.941067</v>
      </c>
      <c r="E13" s="4">
        <f>SUM(E14:E15)</f>
        <v>36444.110992279995</v>
      </c>
      <c r="F13" s="4">
        <f>SUM(F14:F15)</f>
        <v>39608.847727950008</v>
      </c>
      <c r="G13" s="4">
        <f t="shared" ref="G13:G32" si="1">IFERROR(IF(F13/D13*100&lt;-500,"-",IF(F13/D13*100&gt;500,"-",F13/D13*100)),"-")</f>
        <v>62.503171108147001</v>
      </c>
      <c r="H13" s="4">
        <f t="shared" ref="H13:H23" si="2">IF(IFERROR((F13-E13)/E13*100,"")&gt;500,"-",IFERROR((F13-E13)/E13*100,""))</f>
        <v>8.6838083012654721</v>
      </c>
      <c r="I13" s="4">
        <f t="shared" si="0"/>
        <v>7.8375198907454102</v>
      </c>
    </row>
    <row r="14" spans="1:11" ht="14.1" customHeight="1">
      <c r="B14" s="172" t="str">
        <f>IF(Indice_index!$Z$1=1,"Impostos diretos","Direct taxes")</f>
        <v>Impostos diretos</v>
      </c>
      <c r="C14" s="4">
        <v>27679.896564609997</v>
      </c>
      <c r="D14" s="4">
        <v>27974.777635999999</v>
      </c>
      <c r="E14" s="4">
        <v>17204.354300750001</v>
      </c>
      <c r="F14" s="4">
        <v>18607.585055100004</v>
      </c>
      <c r="G14" s="4">
        <f t="shared" si="1"/>
        <v>66.5155780582663</v>
      </c>
      <c r="H14" s="4">
        <f t="shared" si="2"/>
        <v>8.1562535264042477</v>
      </c>
      <c r="I14" s="4">
        <f t="shared" si="0"/>
        <v>3.4751228513152954</v>
      </c>
    </row>
    <row r="15" spans="1:11" ht="14.1" customHeight="1">
      <c r="B15" s="172" t="str">
        <f>IF(Indice_index!$Z$1=1,"Impostos indiretos","Indirect taxes")</f>
        <v>Impostos indiretos</v>
      </c>
      <c r="C15" s="4">
        <v>32949.498274329999</v>
      </c>
      <c r="D15" s="4">
        <v>35396.163431000001</v>
      </c>
      <c r="E15" s="4">
        <v>19239.75669152999</v>
      </c>
      <c r="F15" s="4">
        <v>21001.262672850007</v>
      </c>
      <c r="G15" s="4">
        <f t="shared" si="1"/>
        <v>59.332031037174715</v>
      </c>
      <c r="H15" s="4">
        <f t="shared" si="2"/>
        <v>9.1555522741901036</v>
      </c>
      <c r="I15" s="4">
        <f t="shared" si="0"/>
        <v>4.3623970394301335</v>
      </c>
    </row>
    <row r="16" spans="1:11" ht="14.1" customHeight="1">
      <c r="B16" s="125" t="str">
        <f>IF(Indice_index!$Z$1=1,"Contribuições para Segurança Social, CGA e ADSE","Social security, CGA and ADSE contributions")</f>
        <v>Contribuições para Segurança Social, CGA e ADSE</v>
      </c>
      <c r="C16" s="4">
        <v>84.298464389999992</v>
      </c>
      <c r="D16" s="4">
        <v>81.900053</v>
      </c>
      <c r="E16" s="4">
        <v>51.217741310000001</v>
      </c>
      <c r="F16" s="4">
        <v>57.889734400000002</v>
      </c>
      <c r="G16" s="4">
        <f t="shared" si="1"/>
        <v>70.683390644448068</v>
      </c>
      <c r="H16" s="4">
        <f t="shared" si="2"/>
        <v>13.026722614761866</v>
      </c>
      <c r="I16" s="4">
        <f t="shared" si="0"/>
        <v>1.6523294959863422E-2</v>
      </c>
    </row>
    <row r="17" spans="2:9" ht="14.1" customHeight="1">
      <c r="B17" s="125" t="str">
        <f>IF(Indice_index!$Z$1=1,"Taxas, multas e outras penalidades","Taxes, fines and other penalties")</f>
        <v>Taxas, multas e outras penalidades</v>
      </c>
      <c r="C17" s="4">
        <v>944.89052092000009</v>
      </c>
      <c r="D17" s="4">
        <v>897.49934900000005</v>
      </c>
      <c r="E17" s="4">
        <v>653.40502054000001</v>
      </c>
      <c r="F17" s="4">
        <v>685.09881633999976</v>
      </c>
      <c r="G17" s="4">
        <f t="shared" si="1"/>
        <v>76.334185323180634</v>
      </c>
      <c r="H17" s="4">
        <f t="shared" si="2"/>
        <v>4.8505589647607437</v>
      </c>
      <c r="I17" s="4">
        <f t="shared" si="0"/>
        <v>7.8490179671495477E-2</v>
      </c>
    </row>
    <row r="18" spans="2:9" ht="14.1" customHeight="1">
      <c r="B18" s="125" t="str">
        <f>IF(Indice_index!$Z$1=1,"Transferências correntes","Current transfers")</f>
        <v>Transferências correntes</v>
      </c>
      <c r="C18" s="4">
        <f>SUM(C19:C22)</f>
        <v>1181.8375162300001</v>
      </c>
      <c r="D18" s="4">
        <f>SUM(D19:D22)</f>
        <v>1305.3838210000001</v>
      </c>
      <c r="E18" s="4">
        <f>SUM(E19:E22)</f>
        <v>683.14674023999999</v>
      </c>
      <c r="F18" s="4">
        <f>SUM(F19:F22)</f>
        <v>693.76454592999983</v>
      </c>
      <c r="G18" s="4">
        <f t="shared" si="1"/>
        <v>53.146402978898244</v>
      </c>
      <c r="H18" s="4">
        <f t="shared" si="2"/>
        <v>1.5542496310923832</v>
      </c>
      <c r="I18" s="4">
        <f t="shared" si="0"/>
        <v>2.6295161412162604E-2</v>
      </c>
    </row>
    <row r="19" spans="2:9" ht="14.1" customHeight="1">
      <c r="B19" s="172" t="str">
        <f>IF(Indice_index!$Z$1=1,"Administração Central","Central Administration")</f>
        <v>Administração Central</v>
      </c>
      <c r="C19" s="4">
        <v>640.03516144000002</v>
      </c>
      <c r="D19" s="4">
        <v>572.20419300000003</v>
      </c>
      <c r="E19" s="4">
        <v>321.82008079999997</v>
      </c>
      <c r="F19" s="4">
        <v>352.91652634999997</v>
      </c>
      <c r="G19" s="4">
        <f t="shared" si="1"/>
        <v>61.676676030579166</v>
      </c>
      <c r="H19" s="4">
        <f t="shared" si="2"/>
        <v>9.6626803003400408</v>
      </c>
      <c r="I19" s="4">
        <f t="shared" si="0"/>
        <v>7.7010832459657452E-2</v>
      </c>
    </row>
    <row r="20" spans="2:9" ht="14.1" customHeight="1">
      <c r="B20" s="172" t="str">
        <f>IF(Indice_index!$Z$1=1,"Outros subsetores das Administrações Públicas","Other General Government subsectors")</f>
        <v>Outros subsetores das Administrações Públicas</v>
      </c>
      <c r="C20" s="4">
        <v>263.31319848999999</v>
      </c>
      <c r="D20" s="4">
        <v>259.47413000000006</v>
      </c>
      <c r="E20" s="4">
        <v>184.95785367000002</v>
      </c>
      <c r="F20" s="4">
        <v>190.33758344999998</v>
      </c>
      <c r="G20" s="4">
        <f t="shared" si="1"/>
        <v>73.355129257009139</v>
      </c>
      <c r="H20" s="4">
        <f t="shared" si="2"/>
        <v>2.9086246803006395</v>
      </c>
      <c r="I20" s="4">
        <f t="shared" si="0"/>
        <v>1.332298471539642E-2</v>
      </c>
    </row>
    <row r="21" spans="2:9" ht="14.1" customHeight="1">
      <c r="B21" s="172" t="str">
        <f>IF(Indice_index!$Z$1=1,"União Europeia","European Union")</f>
        <v>União Europeia</v>
      </c>
      <c r="C21" s="4">
        <v>252.98639382000002</v>
      </c>
      <c r="D21" s="4">
        <v>434.42332299999998</v>
      </c>
      <c r="E21" s="4">
        <v>156.50092401000003</v>
      </c>
      <c r="F21" s="4">
        <v>134.25421125999998</v>
      </c>
      <c r="G21" s="4">
        <f t="shared" si="1"/>
        <v>30.904006334853246</v>
      </c>
      <c r="H21" s="4">
        <f t="shared" si="2"/>
        <v>-14.215067988083282</v>
      </c>
      <c r="I21" s="4">
        <f t="shared" si="0"/>
        <v>-5.5094331138704052E-2</v>
      </c>
    </row>
    <row r="22" spans="2:9" ht="14.1" customHeight="1">
      <c r="B22" s="172" t="str">
        <f>IF(Indice_index!$Z$1=1,"Outras transferências","Other transfers")</f>
        <v>Outras transferências</v>
      </c>
      <c r="C22" s="4">
        <v>25.502762479999973</v>
      </c>
      <c r="D22" s="4">
        <v>39.282174999999995</v>
      </c>
      <c r="E22" s="4">
        <v>19.86788175999996</v>
      </c>
      <c r="F22" s="4">
        <v>16.256224870000011</v>
      </c>
      <c r="G22" s="4">
        <f t="shared" si="1"/>
        <v>41.383209738259183</v>
      </c>
      <c r="H22" s="4">
        <f t="shared" si="2"/>
        <v>-18.178369156954137</v>
      </c>
      <c r="I22" s="4">
        <f t="shared" si="0"/>
        <v>-8.9443246241869487E-3</v>
      </c>
    </row>
    <row r="23" spans="2:9" ht="14.1" customHeight="1">
      <c r="B23" s="125" t="str">
        <f>IF(Indice_index!$Z$1=1,"Outras receitas correntes","Other current revenue")</f>
        <v>Outras receitas correntes</v>
      </c>
      <c r="C23" s="4">
        <v>3053.1692087799997</v>
      </c>
      <c r="D23" s="4">
        <v>2789.8497429999998</v>
      </c>
      <c r="E23" s="4">
        <v>2119.6222818299998</v>
      </c>
      <c r="F23" s="4">
        <v>1981.7700797700004</v>
      </c>
      <c r="G23" s="4">
        <f t="shared" si="1"/>
        <v>71.035011284835363</v>
      </c>
      <c r="H23" s="4">
        <f t="shared" si="2"/>
        <v>-6.5036211046518702</v>
      </c>
      <c r="I23" s="4">
        <f t="shared" si="0"/>
        <v>-0.34139312867664584</v>
      </c>
    </row>
    <row r="24" spans="2:9" ht="14.1" customHeight="1">
      <c r="B24" s="125" t="str">
        <f>IF(Indice_index!$Z$1=1,"Diferenças de consolidação","Consolidation differences")</f>
        <v>Diferenças de consolidação</v>
      </c>
      <c r="C24" s="4">
        <v>143.38026312000002</v>
      </c>
      <c r="D24" s="4">
        <v>0</v>
      </c>
      <c r="E24" s="4">
        <v>174.23531436000002</v>
      </c>
      <c r="F24" s="4">
        <v>0</v>
      </c>
      <c r="G24" s="4"/>
      <c r="H24" s="4"/>
      <c r="I24" s="4"/>
    </row>
    <row r="25" spans="2:9" ht="14.1" customHeight="1">
      <c r="B25" s="174" t="str">
        <f>IF(Indice_index!$Z$1=1,"Receita de capital","Capital revenue")</f>
        <v>Receita de capital</v>
      </c>
      <c r="C25" s="134">
        <f>C26+C27+C32+C33</f>
        <v>324.41140662999999</v>
      </c>
      <c r="D25" s="134">
        <f>D26+D27+D32+D33</f>
        <v>785.80446500000005</v>
      </c>
      <c r="E25" s="134">
        <f>E26+E27+E32+E33</f>
        <v>253.57551611999997</v>
      </c>
      <c r="F25" s="134">
        <f>F26+F27+F32+F33</f>
        <v>165.61364486000002</v>
      </c>
      <c r="G25" s="134">
        <f t="shared" si="1"/>
        <v>21.075681322324886</v>
      </c>
      <c r="H25" s="134">
        <f t="shared" ref="H25:H32" si="3">IF(IFERROR((F25-E25)/E25*100,"")&gt;500,"-",IFERROR((F25-E25)/E25*100,""))</f>
        <v>-34.688629488334989</v>
      </c>
      <c r="I25" s="134">
        <f t="shared" ref="I25:I32" si="4">IFERROR((F25-E25)/$E$34*100,"-")</f>
        <v>-0.21783894624065211</v>
      </c>
    </row>
    <row r="26" spans="2:9" ht="14.1" customHeight="1">
      <c r="B26" s="125" t="str">
        <f>IF(Indice_index!$Z$1=1,"Venda de bens de investimento","Sale of investment goods")</f>
        <v>Venda de bens de investimento</v>
      </c>
      <c r="C26" s="4">
        <v>3.1043571999999999</v>
      </c>
      <c r="D26" s="4">
        <v>420.23154599999998</v>
      </c>
      <c r="E26" s="4">
        <v>3.0500319999999999</v>
      </c>
      <c r="F26" s="4">
        <v>9.4411080000000008E-2</v>
      </c>
      <c r="G26" s="4">
        <f t="shared" si="1"/>
        <v>2.2466442821501079E-2</v>
      </c>
      <c r="H26" s="4">
        <f t="shared" si="3"/>
        <v>-96.904587230560196</v>
      </c>
      <c r="I26" s="4">
        <f t="shared" si="4"/>
        <v>-7.3196413113645609E-3</v>
      </c>
    </row>
    <row r="27" spans="2:9" ht="14.1" customHeight="1">
      <c r="B27" s="125" t="str">
        <f>IF(Indice_index!$Z$1=1,"Transferências de capital","Capital transfers")</f>
        <v>Transferências de capital</v>
      </c>
      <c r="C27" s="4">
        <f>SUM(C28:C31)</f>
        <v>175.98204077</v>
      </c>
      <c r="D27" s="4">
        <f>SUM(D28:D31)</f>
        <v>362.15110700000002</v>
      </c>
      <c r="E27" s="4">
        <f>SUM(E28:E31)</f>
        <v>110.14814323999998</v>
      </c>
      <c r="F27" s="4">
        <f>SUM(F28:F31)</f>
        <v>154.08400725000001</v>
      </c>
      <c r="G27" s="4">
        <f t="shared" si="1"/>
        <v>42.546882854067874</v>
      </c>
      <c r="H27" s="4">
        <f t="shared" si="3"/>
        <v>39.887975155667313</v>
      </c>
      <c r="I27" s="4">
        <f t="shared" si="4"/>
        <v>0.10880785255035064</v>
      </c>
    </row>
    <row r="28" spans="2:9" ht="14.1" customHeight="1">
      <c r="B28" s="172" t="str">
        <f>IF(Indice_index!$Z$1=1,"Administração Central","Central Administration")</f>
        <v>Administração Central</v>
      </c>
      <c r="C28" s="4">
        <v>43.974031889999999</v>
      </c>
      <c r="D28" s="4">
        <v>48.038671000000001</v>
      </c>
      <c r="E28" s="4">
        <v>16.379840680000001</v>
      </c>
      <c r="F28" s="4">
        <v>73.53235045000001</v>
      </c>
      <c r="G28" s="4">
        <f t="shared" si="1"/>
        <v>153.06907730648919</v>
      </c>
      <c r="H28" s="4">
        <f t="shared" si="3"/>
        <v>348.91981482935893</v>
      </c>
      <c r="I28" s="4">
        <f t="shared" si="4"/>
        <v>0.14153908193363943</v>
      </c>
    </row>
    <row r="29" spans="2:9" ht="14.1" customHeight="1">
      <c r="B29" s="172" t="str">
        <f>IF(Indice_index!$Z$1=1,"Outros subsetores das Administrações Públicas","Other General Government subsectors")</f>
        <v>Outros subsetores das Administrações Públicas</v>
      </c>
      <c r="C29" s="4">
        <v>2.0156020000001718E-2</v>
      </c>
      <c r="D29" s="4">
        <v>1.6809689999999975</v>
      </c>
      <c r="E29" s="4">
        <v>0</v>
      </c>
      <c r="F29" s="4">
        <v>2.0725939999999998E-2</v>
      </c>
      <c r="G29" s="4">
        <f t="shared" si="1"/>
        <v>1.2329757419678786</v>
      </c>
      <c r="H29" s="4" t="str">
        <f t="shared" si="3"/>
        <v>-</v>
      </c>
      <c r="I29" s="4">
        <f t="shared" si="4"/>
        <v>5.132811370169325E-5</v>
      </c>
    </row>
    <row r="30" spans="2:9" ht="14.1" customHeight="1">
      <c r="B30" s="172" t="str">
        <f>IF(Indice_index!$Z$1=1,"União Europeia","European Union")</f>
        <v>União Europeia</v>
      </c>
      <c r="C30" s="4">
        <v>125.70676276</v>
      </c>
      <c r="D30" s="4">
        <v>312.18987700000002</v>
      </c>
      <c r="E30" s="4">
        <v>89.252722519999978</v>
      </c>
      <c r="F30" s="4">
        <v>76.670981899999987</v>
      </c>
      <c r="G30" s="4">
        <f t="shared" si="1"/>
        <v>24.559086488252781</v>
      </c>
      <c r="H30" s="4">
        <f t="shared" si="3"/>
        <v>-14.096758356229014</v>
      </c>
      <c r="I30" s="4">
        <f t="shared" si="4"/>
        <v>-3.1158876900568663E-2</v>
      </c>
    </row>
    <row r="31" spans="2:9" ht="14.1" customHeight="1">
      <c r="B31" s="172" t="str">
        <f>IF(Indice_index!$Z$1=1,"Outras transferências","Other transfers")</f>
        <v>Outras transferências</v>
      </c>
      <c r="C31" s="4">
        <v>6.2810901000000001</v>
      </c>
      <c r="D31" s="4">
        <v>0.24158999999997377</v>
      </c>
      <c r="E31" s="4">
        <v>4.5155800400000032</v>
      </c>
      <c r="F31" s="4">
        <v>3.859948959999997</v>
      </c>
      <c r="G31" s="4" t="str">
        <f t="shared" si="1"/>
        <v>-</v>
      </c>
      <c r="H31" s="4">
        <f t="shared" si="3"/>
        <v>-14.519310347558489</v>
      </c>
      <c r="I31" s="4">
        <f t="shared" si="4"/>
        <v>-1.6236805964218877E-3</v>
      </c>
    </row>
    <row r="32" spans="2:9" ht="14.1" customHeight="1">
      <c r="B32" s="125" t="str">
        <f>IF(Indice_index!$Z$1=1,"Outras receitas de capital","Other capital revenue")</f>
        <v>Outras receitas de capital</v>
      </c>
      <c r="C32" s="4">
        <v>145.32500866000001</v>
      </c>
      <c r="D32" s="4">
        <v>3.4218120000000001</v>
      </c>
      <c r="E32" s="4">
        <v>140.37734087999999</v>
      </c>
      <c r="F32" s="4">
        <v>3.7179794299999998</v>
      </c>
      <c r="G32" s="4">
        <f t="shared" si="1"/>
        <v>108.65528059402445</v>
      </c>
      <c r="H32" s="4">
        <f t="shared" si="3"/>
        <v>-97.351439052276774</v>
      </c>
      <c r="I32" s="4">
        <f t="shared" si="4"/>
        <v>-0.33843904029956645</v>
      </c>
    </row>
    <row r="33" spans="2:10" ht="14.1" customHeight="1">
      <c r="B33" s="125" t="str">
        <f>IF(Indice_index!$Z$1=1,"Diferenças de consolidação","Consolidation differences")</f>
        <v>Diferenças de consolidação</v>
      </c>
      <c r="C33" s="4">
        <v>0</v>
      </c>
      <c r="D33" s="4">
        <v>0</v>
      </c>
      <c r="E33" s="4">
        <v>0</v>
      </c>
      <c r="F33" s="4">
        <v>7.7172471000000016</v>
      </c>
      <c r="G33" s="4"/>
      <c r="H33" s="4"/>
      <c r="I33" s="4"/>
    </row>
    <row r="34" spans="2:10" ht="14.1" customHeight="1">
      <c r="B34" s="30" t="str">
        <f>IF(Indice_index!$Z$1=1,"Receita efetiva","Effective revenue")</f>
        <v>Receita efetiva</v>
      </c>
      <c r="C34" s="18">
        <f>+C12+C25</f>
        <v>66361.382219009989</v>
      </c>
      <c r="D34" s="18">
        <f>+D12+D25</f>
        <v>69231.378497999991</v>
      </c>
      <c r="E34" s="18">
        <f>+E12+E25</f>
        <v>40379.313606679993</v>
      </c>
      <c r="F34" s="18">
        <f>+F12+F25</f>
        <v>43192.98454925001</v>
      </c>
      <c r="G34" s="18">
        <f>IFERROR(IF(F34/D34*100&lt;-500,"-",IF(F34/D34*100&gt;500,"-",F34/D34*100)),"-")</f>
        <v>62.389317512286425</v>
      </c>
      <c r="H34" s="18">
        <f>IFERROR((F34-E34)/E34*100,"-")</f>
        <v>6.9680999780653741</v>
      </c>
      <c r="I34" s="18"/>
    </row>
    <row r="35" spans="2:10" ht="14.1" customHeight="1">
      <c r="B35" s="174" t="str">
        <f>IF(Indice_index!$Z$1=1,"Despesa corrente","Current Expenditure")</f>
        <v>Despesa corrente</v>
      </c>
      <c r="C35" s="134">
        <f>+C36+C40+C41+C42+C47+C48+C49</f>
        <v>67354.823346900012</v>
      </c>
      <c r="D35" s="134">
        <f>+D36+D40+D41+D42+D47+D48+D49</f>
        <v>71213.361628000013</v>
      </c>
      <c r="E35" s="134">
        <f>+E36+E40+E41+E42+E47+E48+E49</f>
        <v>43340.865306269996</v>
      </c>
      <c r="F35" s="134">
        <f>+F36+F40+F41+F42+F47+F48+F49</f>
        <v>45578.113395120003</v>
      </c>
      <c r="G35" s="134">
        <f>IFERROR(IF(F35/D35*100&lt;-500,"-",IF(F35/D35*100&gt;500,"-",F35/D35*100)),"-")</f>
        <v>64.002193342884368</v>
      </c>
      <c r="H35" s="134">
        <f t="shared" ref="H35:H48" si="5">IF(IFERROR((F35-E35)/E35*100,"")&gt;500,"-",IFERROR((F35-E35)/E35*100,""))</f>
        <v>5.1619829762059473</v>
      </c>
      <c r="I35" s="134">
        <f t="shared" ref="I35:I48" si="6">IFERROR((F35-E35)/$E$59*100,"-")</f>
        <v>4.9069151894855922</v>
      </c>
    </row>
    <row r="36" spans="2:10" ht="14.1" customHeight="1">
      <c r="B36" s="125" t="str">
        <f>IF(Indice_index!$Z$1=1,"Despesas com o pessoal","Employees")</f>
        <v>Despesas com o pessoal</v>
      </c>
      <c r="C36" s="4">
        <f>SUM(C37:C39)</f>
        <v>11320.009222369999</v>
      </c>
      <c r="D36" s="4">
        <f>SUM(D37:D39)</f>
        <v>11695.091603000001</v>
      </c>
      <c r="E36" s="4">
        <f>SUM(E37:E39)</f>
        <v>7228.3156010900002</v>
      </c>
      <c r="F36" s="4">
        <f>SUM(F37:F39)</f>
        <v>7782.0486068099999</v>
      </c>
      <c r="G36" s="4">
        <f t="shared" ref="G36:G57" si="7">IFERROR(IF(F36/D36*100&lt;-500,"-",IF(F36/D36*100&gt;500,"-",F36/D36*100)),"-")</f>
        <v>66.541151373399799</v>
      </c>
      <c r="H36" s="4">
        <f t="shared" si="5"/>
        <v>7.6606091415889352</v>
      </c>
      <c r="I36" s="4">
        <f t="shared" si="6"/>
        <v>1.2144924428491242</v>
      </c>
    </row>
    <row r="37" spans="2:10" ht="14.1" customHeight="1">
      <c r="B37" s="172" t="str">
        <f>IF(Indice_index!$Z$1=1,"Remunerações certas e permanentes","Certain and permanent wages")</f>
        <v>Remunerações certas e permanentes</v>
      </c>
      <c r="C37" s="4">
        <v>8170.8594972200008</v>
      </c>
      <c r="D37" s="4">
        <v>8725.9871120000007</v>
      </c>
      <c r="E37" s="4">
        <v>5190.7955905699991</v>
      </c>
      <c r="F37" s="4">
        <v>5613.0831343399996</v>
      </c>
      <c r="G37" s="4">
        <f t="shared" si="7"/>
        <v>64.326053457274455</v>
      </c>
      <c r="H37" s="4">
        <f t="shared" si="5"/>
        <v>8.1353144503929347</v>
      </c>
      <c r="I37" s="4">
        <f t="shared" si="6"/>
        <v>0.92619552260772997</v>
      </c>
    </row>
    <row r="38" spans="2:10" ht="14.1" customHeight="1">
      <c r="B38" s="172" t="str">
        <f>IF(Indice_index!$Z$1=1,"Abonos variáveis ou eventuais","Variable or contingent bonuses")</f>
        <v>Abonos variáveis ou eventuais</v>
      </c>
      <c r="C38" s="4">
        <v>458.76556926999984</v>
      </c>
      <c r="D38" s="4">
        <v>464.48323399999998</v>
      </c>
      <c r="E38" s="4">
        <v>298.85615854000008</v>
      </c>
      <c r="F38" s="4">
        <v>321.46680687999998</v>
      </c>
      <c r="G38" s="4">
        <f t="shared" si="7"/>
        <v>69.209560937564433</v>
      </c>
      <c r="H38" s="4">
        <f t="shared" si="5"/>
        <v>7.5657294299905153</v>
      </c>
      <c r="I38" s="4">
        <f t="shared" si="6"/>
        <v>4.9591520196891802E-2</v>
      </c>
    </row>
    <row r="39" spans="2:10" ht="14.1" customHeight="1">
      <c r="B39" s="172" t="str">
        <f>IF(Indice_index!$Z$1=1,"Segurança social","Social security")</f>
        <v>Segurança social</v>
      </c>
      <c r="C39" s="4">
        <v>2690.38415588</v>
      </c>
      <c r="D39" s="4">
        <v>2504.6212569999998</v>
      </c>
      <c r="E39" s="4">
        <v>1738.6638519800003</v>
      </c>
      <c r="F39" s="4">
        <v>1847.4986655900007</v>
      </c>
      <c r="G39" s="4">
        <f t="shared" si="7"/>
        <v>73.763594412789928</v>
      </c>
      <c r="H39" s="4">
        <f t="shared" si="5"/>
        <v>6.2596811618334733</v>
      </c>
      <c r="I39" s="4">
        <f t="shared" si="6"/>
        <v>0.23870540004450441</v>
      </c>
    </row>
    <row r="40" spans="2:10" ht="14.1" customHeight="1">
      <c r="B40" s="125" t="str">
        <f>IF(Indice_index!$Z$1=1,"Aquisição de bens e serviços","Purchase of goods and services")</f>
        <v>Aquisição de bens e serviços</v>
      </c>
      <c r="C40" s="4">
        <v>2130.3597161200005</v>
      </c>
      <c r="D40" s="4">
        <v>2426.2900049999998</v>
      </c>
      <c r="E40" s="4">
        <v>997.05222931999913</v>
      </c>
      <c r="F40" s="4">
        <v>828.73256175000029</v>
      </c>
      <c r="G40" s="4">
        <f t="shared" si="7"/>
        <v>34.156368778760246</v>
      </c>
      <c r="H40" s="4">
        <f t="shared" si="5"/>
        <v>-16.881730226388918</v>
      </c>
      <c r="I40" s="4">
        <f t="shared" si="6"/>
        <v>-0.36917243894616025</v>
      </c>
      <c r="J40" s="51"/>
    </row>
    <row r="41" spans="2:10" ht="14.1" customHeight="1">
      <c r="B41" s="125" t="str">
        <f>IF(Indice_index!$Z$1=1,"Juros e outros encargos","Interests")</f>
        <v>Juros e outros encargos</v>
      </c>
      <c r="C41" s="4">
        <v>6801.4313721899998</v>
      </c>
      <c r="D41" s="4">
        <v>7000.2060430000001</v>
      </c>
      <c r="E41" s="4">
        <v>4739.4717212200003</v>
      </c>
      <c r="F41" s="4">
        <v>4780.3863601499997</v>
      </c>
      <c r="G41" s="4">
        <f t="shared" si="7"/>
        <v>68.289223642641844</v>
      </c>
      <c r="H41" s="4">
        <f t="shared" si="5"/>
        <v>0.86327424946566633</v>
      </c>
      <c r="I41" s="4">
        <f t="shared" si="6"/>
        <v>8.9737326959179659E-2</v>
      </c>
    </row>
    <row r="42" spans="2:10" ht="14.1" customHeight="1">
      <c r="B42" s="125" t="str">
        <f>IF(Indice_index!$Z$1=1,"Transferências correntes","Current transfers")</f>
        <v>Transferências correntes</v>
      </c>
      <c r="C42" s="4">
        <f>SUM(C43:C46)</f>
        <v>46715.78892235001</v>
      </c>
      <c r="D42" s="4">
        <f>SUM(D43:D46)</f>
        <v>48551.103077</v>
      </c>
      <c r="E42" s="4">
        <f>SUM(E43:E46)</f>
        <v>30161.568371600002</v>
      </c>
      <c r="F42" s="4">
        <f>SUM(F43:F46)</f>
        <v>31819.749891420004</v>
      </c>
      <c r="G42" s="4">
        <f t="shared" si="7"/>
        <v>65.53867548787764</v>
      </c>
      <c r="H42" s="4">
        <f t="shared" si="5"/>
        <v>5.4976634483680842</v>
      </c>
      <c r="I42" s="4">
        <f t="shared" si="6"/>
        <v>3.6368591069895317</v>
      </c>
    </row>
    <row r="43" spans="2:10" ht="14.1" customHeight="1">
      <c r="B43" s="172" t="str">
        <f>IF(Indice_index!$Z$1=1,"Administração Central","Central Administration")</f>
        <v>Administração Central</v>
      </c>
      <c r="C43" s="4">
        <v>25970.956975510006</v>
      </c>
      <c r="D43" s="4">
        <v>27043.034221999998</v>
      </c>
      <c r="E43" s="4">
        <v>17109.86259158</v>
      </c>
      <c r="F43" s="4">
        <v>17719.903651290006</v>
      </c>
      <c r="G43" s="4">
        <f t="shared" si="7"/>
        <v>65.524835363609242</v>
      </c>
      <c r="H43" s="4">
        <f t="shared" si="5"/>
        <v>3.5654351777799493</v>
      </c>
      <c r="I43" s="4">
        <f t="shared" si="6"/>
        <v>1.3379918646570816</v>
      </c>
    </row>
    <row r="44" spans="2:10" ht="14.1" customHeight="1">
      <c r="B44" s="172" t="str">
        <f>IF(Indice_index!$Z$1=1,"Outros subsetores das Administrações Públicas","Other General Government subsectors")</f>
        <v>Outros subsetores das Administrações Públicas</v>
      </c>
      <c r="C44" s="4">
        <v>16726.025449100005</v>
      </c>
      <c r="D44" s="4">
        <v>17852.057277000004</v>
      </c>
      <c r="E44" s="4">
        <v>10490.428802830003</v>
      </c>
      <c r="F44" s="4">
        <v>11698.54906067</v>
      </c>
      <c r="G44" s="4">
        <f t="shared" si="7"/>
        <v>65.530537344522315</v>
      </c>
      <c r="H44" s="4">
        <f t="shared" si="5"/>
        <v>11.516404911056471</v>
      </c>
      <c r="I44" s="4">
        <f t="shared" si="6"/>
        <v>2.6497479977589453</v>
      </c>
    </row>
    <row r="45" spans="2:10" ht="14.1" customHeight="1">
      <c r="B45" s="172" t="str">
        <f>IF(Indice_index!$Z$1=1,"União Europeia","European Union")</f>
        <v>União Europeia</v>
      </c>
      <c r="C45" s="4">
        <v>2496.7226769700005</v>
      </c>
      <c r="D45" s="4">
        <v>2835.4554659999999</v>
      </c>
      <c r="E45" s="4">
        <v>1555.3800550700005</v>
      </c>
      <c r="F45" s="4">
        <v>1893.09618075</v>
      </c>
      <c r="G45" s="4">
        <f t="shared" si="7"/>
        <v>66.765153022156483</v>
      </c>
      <c r="H45" s="4">
        <f t="shared" si="5"/>
        <v>21.712772037879869</v>
      </c>
      <c r="I45" s="4">
        <f t="shared" si="6"/>
        <v>0.74070658282927526</v>
      </c>
    </row>
    <row r="46" spans="2:10" ht="14.1" customHeight="1">
      <c r="B46" s="172" t="str">
        <f>IF(Indice_index!$Z$1=1,"Outras transferências","Other transfers")</f>
        <v>Outras transferências</v>
      </c>
      <c r="C46" s="4">
        <v>1522.0838207699999</v>
      </c>
      <c r="D46" s="4">
        <v>820.55611200000021</v>
      </c>
      <c r="E46" s="4">
        <v>1005.8969221199998</v>
      </c>
      <c r="F46" s="4">
        <v>508.20099870999979</v>
      </c>
      <c r="G46" s="4">
        <f t="shared" si="7"/>
        <v>61.933729001338499</v>
      </c>
      <c r="H46" s="4">
        <f t="shared" si="5"/>
        <v>-49.477825457609534</v>
      </c>
      <c r="I46" s="4">
        <f t="shared" si="6"/>
        <v>-1.0915873382557699</v>
      </c>
    </row>
    <row r="47" spans="2:10" ht="14.1" customHeight="1">
      <c r="B47" s="125" t="str">
        <f>IF(Indice_index!$Z$1=1,"Subsídios","Subsidies")</f>
        <v>Subsídios</v>
      </c>
      <c r="C47" s="4">
        <v>268.84527562</v>
      </c>
      <c r="D47" s="4">
        <v>352.88835499999999</v>
      </c>
      <c r="E47" s="4">
        <v>132.88446430000002</v>
      </c>
      <c r="F47" s="4">
        <v>246.82358617000003</v>
      </c>
      <c r="G47" s="4">
        <f t="shared" si="7"/>
        <v>69.943817264811713</v>
      </c>
      <c r="H47" s="4">
        <f t="shared" si="5"/>
        <v>85.742996722905858</v>
      </c>
      <c r="I47" s="4">
        <f t="shared" si="6"/>
        <v>0.24990058570926618</v>
      </c>
    </row>
    <row r="48" spans="2:10" ht="14.1" customHeight="1">
      <c r="B48" s="125" t="str">
        <f>IF(Indice_index!$Z$1=1,"Outras despesas correntes","Other current expenditure")</f>
        <v>Outras despesas correntes</v>
      </c>
      <c r="C48" s="4">
        <v>118.31294442999994</v>
      </c>
      <c r="D48" s="4">
        <v>1186.7730180000001</v>
      </c>
      <c r="E48" s="4">
        <v>81.485000839999969</v>
      </c>
      <c r="F48" s="4">
        <v>68.936987090000017</v>
      </c>
      <c r="G48" s="4">
        <f t="shared" si="7"/>
        <v>5.8087760712807182</v>
      </c>
      <c r="H48" s="4">
        <f t="shared" si="5"/>
        <v>-15.39916993391045</v>
      </c>
      <c r="I48" s="4">
        <f t="shared" si="6"/>
        <v>-2.7521328356301417E-2</v>
      </c>
    </row>
    <row r="49" spans="2:9" ht="14.1" customHeight="1">
      <c r="B49" s="125" t="str">
        <f>IF(Indice_index!$Z$1=1,"Diferenças de consolidação","Consolidation differences")</f>
        <v>Diferenças de consolidação</v>
      </c>
      <c r="C49" s="4">
        <v>7.5893820000000001E-2</v>
      </c>
      <c r="D49" s="4">
        <v>1.0095269999999443</v>
      </c>
      <c r="E49" s="4">
        <v>8.7917899999999993E-2</v>
      </c>
      <c r="F49" s="4">
        <v>51.435401729999974</v>
      </c>
      <c r="G49" s="4"/>
      <c r="H49" s="4"/>
      <c r="I49" s="4"/>
    </row>
    <row r="50" spans="2:9" ht="14.1" customHeight="1">
      <c r="B50" s="174" t="str">
        <f>IF(Indice_index!$Z$1=1,"Despesa de capital","Capital expenditure")</f>
        <v>Despesa de capital</v>
      </c>
      <c r="C50" s="134">
        <f>+C51+C52+C57+C58</f>
        <v>4662.4904830300002</v>
      </c>
      <c r="D50" s="134">
        <f>+D51+D52+D57+D58</f>
        <v>5008.4531230000011</v>
      </c>
      <c r="E50" s="134">
        <f>+E51+E52+E57+E58</f>
        <v>2252.9141347099999</v>
      </c>
      <c r="F50" s="134">
        <f>+F51+F52+F57+F58</f>
        <v>2316.1310727300006</v>
      </c>
      <c r="G50" s="134">
        <f t="shared" si="7"/>
        <v>46.244439467622826</v>
      </c>
      <c r="H50" s="134">
        <f t="shared" ref="H50:H57" si="8">IF(IFERROR((F50-E50)/E50*100,"")&gt;500,"-",IFERROR((F50-E50)/E50*100,""))</f>
        <v>2.8060074303780844</v>
      </c>
      <c r="I50" s="134">
        <f t="shared" ref="I50:I57" si="9">IFERROR((F50-E50)/$E$59*100,"-")</f>
        <v>0.13865255040291946</v>
      </c>
    </row>
    <row r="51" spans="2:9" ht="14.1" customHeight="1">
      <c r="B51" s="125" t="str">
        <f>IF(Indice_index!$Z$1=1,"Investimento","Investment")</f>
        <v>Investimento</v>
      </c>
      <c r="C51" s="4">
        <v>1044.4613917099998</v>
      </c>
      <c r="D51" s="4">
        <v>1255.525173</v>
      </c>
      <c r="E51" s="4">
        <v>307.6913610200001</v>
      </c>
      <c r="F51" s="4">
        <v>441.8428984900001</v>
      </c>
      <c r="G51" s="4">
        <f t="shared" si="7"/>
        <v>35.191878903888778</v>
      </c>
      <c r="H51" s="4">
        <f t="shared" si="8"/>
        <v>43.599383819320195</v>
      </c>
      <c r="I51" s="4">
        <f t="shared" si="9"/>
        <v>0.29423210603467476</v>
      </c>
    </row>
    <row r="52" spans="2:9" ht="14.1" customHeight="1">
      <c r="B52" s="125" t="str">
        <f>IF(Indice_index!$Z$1=1,"Transferências de capital","Capital transfers")</f>
        <v>Transferências de capital</v>
      </c>
      <c r="C52" s="4">
        <f>SUM(C53:C56)</f>
        <v>3599.8443487900004</v>
      </c>
      <c r="D52" s="4">
        <f>SUM(D53:D56)</f>
        <v>3751.3836050000004</v>
      </c>
      <c r="E52" s="4">
        <f>SUM(E53:E56)</f>
        <v>1942.1923994700001</v>
      </c>
      <c r="F52" s="4">
        <f>SUM(F53:F56)</f>
        <v>1873.2740188400003</v>
      </c>
      <c r="G52" s="4">
        <f t="shared" si="7"/>
        <v>49.93554954879108</v>
      </c>
      <c r="H52" s="4">
        <f t="shared" si="8"/>
        <v>-3.5484836954776848</v>
      </c>
      <c r="I52" s="4">
        <f t="shared" si="9"/>
        <v>-0.15115741988271206</v>
      </c>
    </row>
    <row r="53" spans="2:9" ht="14.1" customHeight="1">
      <c r="B53" s="172" t="str">
        <f>IF(Indice_index!$Z$1=1,"Administração Central","Central Administration")</f>
        <v>Administração Central</v>
      </c>
      <c r="C53" s="4">
        <v>2647.5181640600008</v>
      </c>
      <c r="D53" s="4">
        <v>3023.9412619999998</v>
      </c>
      <c r="E53" s="4">
        <v>1371.2924990700001</v>
      </c>
      <c r="F53" s="4">
        <v>1217.5524197800003</v>
      </c>
      <c r="G53" s="4">
        <f t="shared" si="7"/>
        <v>40.263758925486705</v>
      </c>
      <c r="H53" s="4">
        <f t="shared" si="8"/>
        <v>-11.211326496299305</v>
      </c>
      <c r="I53" s="4">
        <f t="shared" si="9"/>
        <v>-0.33719529544378413</v>
      </c>
    </row>
    <row r="54" spans="2:9" ht="14.1" customHeight="1">
      <c r="B54" s="172" t="str">
        <f>IF(Indice_index!$Z$1=1,"Outros subsetores das Administrações Públicas","Other General Government subsectors")</f>
        <v>Outros subsetores das Administrações Públicas</v>
      </c>
      <c r="C54" s="4">
        <v>896.83274508999966</v>
      </c>
      <c r="D54" s="4">
        <v>687.0983210000004</v>
      </c>
      <c r="E54" s="4">
        <v>539.43165496999995</v>
      </c>
      <c r="F54" s="4">
        <v>644.49915319999991</v>
      </c>
      <c r="G54" s="4">
        <f t="shared" si="7"/>
        <v>93.800135075573792</v>
      </c>
      <c r="H54" s="4">
        <f t="shared" si="8"/>
        <v>19.47744394715642</v>
      </c>
      <c r="I54" s="4">
        <f t="shared" si="9"/>
        <v>0.23044261633543059</v>
      </c>
    </row>
    <row r="55" spans="2:9" ht="14.1" customHeight="1">
      <c r="B55" s="172" t="str">
        <f>IF(Indice_index!$Z$1=1,"União Europeia","European Union")</f>
        <v>União Europeia</v>
      </c>
      <c r="C55" s="4">
        <v>0</v>
      </c>
      <c r="D55" s="4">
        <v>2.095E-2</v>
      </c>
      <c r="E55" s="4">
        <v>0</v>
      </c>
      <c r="F55" s="4">
        <v>2.095E-2</v>
      </c>
      <c r="G55" s="4">
        <f t="shared" si="7"/>
        <v>100</v>
      </c>
      <c r="H55" s="4" t="str">
        <f t="shared" si="8"/>
        <v>-</v>
      </c>
      <c r="I55" s="4">
        <f t="shared" si="9"/>
        <v>4.5949250658457142E-5</v>
      </c>
    </row>
    <row r="56" spans="2:9" ht="14.1" customHeight="1">
      <c r="B56" s="172" t="str">
        <f>IF(Indice_index!$Z$1=1,"Outras transferências","Other transfers")</f>
        <v>Outras transferências</v>
      </c>
      <c r="C56" s="4">
        <v>55.493439639999998</v>
      </c>
      <c r="D56" s="4">
        <v>40.323072000000003</v>
      </c>
      <c r="E56" s="4">
        <v>31.46824543</v>
      </c>
      <c r="F56" s="4">
        <v>11.20149586</v>
      </c>
      <c r="G56" s="4">
        <f t="shared" si="7"/>
        <v>27.779371224494003</v>
      </c>
      <c r="H56" s="4">
        <f t="shared" si="8"/>
        <v>-64.403811820657978</v>
      </c>
      <c r="I56" s="4">
        <f t="shared" si="9"/>
        <v>-4.4450690025017114E-2</v>
      </c>
    </row>
    <row r="57" spans="2:9" ht="14.1" customHeight="1">
      <c r="B57" s="125" t="str">
        <f>IF(Indice_index!$Z$1=1,"Outras despesas de capital","Other capital expenditure")</f>
        <v>Outras despesas de capital</v>
      </c>
      <c r="C57" s="4">
        <v>1.97412133</v>
      </c>
      <c r="D57" s="4">
        <v>1.5443450000000001</v>
      </c>
      <c r="E57" s="4">
        <v>1.3379763</v>
      </c>
      <c r="F57" s="4">
        <v>1.0141553999999999</v>
      </c>
      <c r="G57" s="4">
        <f t="shared" si="7"/>
        <v>65.668966455034322</v>
      </c>
      <c r="H57" s="4">
        <f t="shared" si="8"/>
        <v>-24.202289681812754</v>
      </c>
      <c r="I57" s="4">
        <f t="shared" si="9"/>
        <v>-7.1023043926239562E-4</v>
      </c>
    </row>
    <row r="58" spans="2:9" ht="14.1" customHeight="1">
      <c r="B58" s="125" t="str">
        <f>IF(Indice_index!$Z$1=1,"Diferenças de consolidação","Consolidation differences")</f>
        <v>Diferenças de consolidação</v>
      </c>
      <c r="C58" s="4">
        <v>16.210621199999935</v>
      </c>
      <c r="D58" s="4">
        <v>0</v>
      </c>
      <c r="E58" s="4">
        <v>1.6923979200000019</v>
      </c>
      <c r="F58" s="4">
        <v>0</v>
      </c>
      <c r="G58" s="4"/>
      <c r="H58" s="4"/>
      <c r="I58" s="4"/>
    </row>
    <row r="59" spans="2:9" ht="14.1" customHeight="1">
      <c r="B59" s="30" t="str">
        <f>IF(Indice_index!$Z$1=1,"Despesa efetiva","Effective Expenditure")</f>
        <v>Despesa efetiva</v>
      </c>
      <c r="C59" s="18">
        <f>+C35+C50</f>
        <v>72017.313829930004</v>
      </c>
      <c r="D59" s="18">
        <f>+D35+D50</f>
        <v>76221.814751000013</v>
      </c>
      <c r="E59" s="18">
        <f>+E35+E50</f>
        <v>45593.779440979997</v>
      </c>
      <c r="F59" s="18">
        <f>+F35+F50</f>
        <v>47894.244467850003</v>
      </c>
      <c r="G59" s="18">
        <f>IFERROR(IF(F59/D59*100&lt;-500,"-",IF(F59/D59*100&gt;500,"-",F59/D59*100)),"-")</f>
        <v>62.835350515216689</v>
      </c>
      <c r="H59" s="18">
        <f>IFERROR((F59-E59)/E59*100,"-")</f>
        <v>5.0455677398885088</v>
      </c>
      <c r="I59" s="18"/>
    </row>
    <row r="60" spans="2:9" ht="14.1" customHeight="1">
      <c r="B60" s="30" t="str">
        <f>IF(Indice_index!$Z$1=1,"Saldo global","Overall Balance")</f>
        <v>Saldo global</v>
      </c>
      <c r="C60" s="18">
        <f>+C34-C59</f>
        <v>-5655.9316109200154</v>
      </c>
      <c r="D60" s="18">
        <f>+D34-D59</f>
        <v>-6990.4362530000217</v>
      </c>
      <c r="E60" s="18">
        <f>+E34-E59</f>
        <v>-5214.4658343000046</v>
      </c>
      <c r="F60" s="18">
        <f>+F34-F59</f>
        <v>-4701.2599185999934</v>
      </c>
      <c r="G60" s="18"/>
      <c r="H60" s="18"/>
      <c r="I60" s="18"/>
    </row>
    <row r="61" spans="2:9" ht="14.1" customHeight="1">
      <c r="B61" s="125" t="str">
        <f>IF(Indice_index!$Z$1=1,"Despesa primária","Primary Expenditure")</f>
        <v>Despesa primária</v>
      </c>
      <c r="C61" s="4">
        <f>+C59-C41</f>
        <v>65215.882457740008</v>
      </c>
      <c r="D61" s="4">
        <f>+D59-D41</f>
        <v>69221.608708000014</v>
      </c>
      <c r="E61" s="4">
        <f>+E59-E41</f>
        <v>40854.30771976</v>
      </c>
      <c r="F61" s="4">
        <f>+F59-F41</f>
        <v>43113.858107700005</v>
      </c>
      <c r="G61" s="4">
        <f>IFERROR(IF(F61/D61*100&lt;-500,"-",IF(F61/D61*100&gt;500,"-",F61/D61*100)),"-")</f>
        <v>62.283814133197538</v>
      </c>
      <c r="H61" s="4">
        <f>IF(IFERROR((F61-E61)/E61*100,"")&gt;500,"-",IFERROR((F61-E61)/E61*100,""))</f>
        <v>5.5307518693974327</v>
      </c>
      <c r="I61" s="4"/>
    </row>
    <row r="62" spans="2:9" ht="14.1" customHeight="1">
      <c r="B62" s="125" t="str">
        <f>IF(Indice_index!$Z$1=1,"Saldo corrente","Current balance")</f>
        <v>Saldo corrente</v>
      </c>
      <c r="C62" s="4">
        <f>+C12-C35</f>
        <v>-1317.8525345200178</v>
      </c>
      <c r="D62" s="4">
        <f>+D12-D35</f>
        <v>-2767.7875950000162</v>
      </c>
      <c r="E62" s="4">
        <f>+E12-E35</f>
        <v>-3215.1272157100029</v>
      </c>
      <c r="F62" s="4">
        <f>+F12-F35</f>
        <v>-2550.7424907299937</v>
      </c>
      <c r="G62" s="4"/>
      <c r="H62" s="4"/>
      <c r="I62" s="4"/>
    </row>
    <row r="63" spans="2:9" ht="14.1" customHeight="1">
      <c r="B63" s="125" t="str">
        <f>IF(Indice_index!$Z$1=1,"Saldo de capital","Capital balance")</f>
        <v>Saldo de capital</v>
      </c>
      <c r="C63" s="4">
        <f>+C25-C50</f>
        <v>-4338.0790764000003</v>
      </c>
      <c r="D63" s="4">
        <f>+D25-D50</f>
        <v>-4222.648658000001</v>
      </c>
      <c r="E63" s="4">
        <f>+E25-E50</f>
        <v>-1999.3386185899999</v>
      </c>
      <c r="F63" s="4">
        <f>+F25-F50</f>
        <v>-2150.5174278700006</v>
      </c>
      <c r="G63" s="4"/>
      <c r="H63" s="4"/>
      <c r="I63" s="4"/>
    </row>
    <row r="64" spans="2:9" ht="14.1" customHeight="1">
      <c r="B64" s="125" t="str">
        <f>IF(Indice_index!$Z$1=1,"Saldo primário","Primary balance")</f>
        <v>Saldo primário</v>
      </c>
      <c r="C64" s="4">
        <f>+C60+C41</f>
        <v>1145.4997612699844</v>
      </c>
      <c r="D64" s="4">
        <f>+D60+D41</f>
        <v>9.7697899999784568</v>
      </c>
      <c r="E64" s="4">
        <f>+E60+E41</f>
        <v>-474.99411308000435</v>
      </c>
      <c r="F64" s="4">
        <f>+F60+F41</f>
        <v>79.126441550006348</v>
      </c>
      <c r="G64" s="4"/>
      <c r="H64" s="4"/>
      <c r="I64" s="4"/>
    </row>
    <row r="65" spans="2:9" ht="14.1" customHeight="1">
      <c r="B65" s="125" t="str">
        <f>IF(Indice_index!$Z$1=1,"Ativos financeiros líquidos de reembolsos","Financial assets net of reimbursements")</f>
        <v>Ativos financeiros líquidos de reembolsos</v>
      </c>
      <c r="C65" s="4">
        <v>4116.01332826</v>
      </c>
      <c r="D65" s="4">
        <v>11218.854867</v>
      </c>
      <c r="E65" s="4">
        <v>2141.9533620599996</v>
      </c>
      <c r="F65" s="4">
        <v>1799.5976657900001</v>
      </c>
      <c r="G65" s="4"/>
      <c r="H65" s="4"/>
      <c r="I65" s="4"/>
    </row>
    <row r="66" spans="2:9" ht="14.1" customHeight="1">
      <c r="B66" s="297" t="str">
        <f>IF(Indice_index!$Z$1=1,"dos quais Receitas de:","of which revenue from:")</f>
        <v>dos quais Receitas de:</v>
      </c>
      <c r="C66" s="4"/>
      <c r="D66" s="4"/>
      <c r="E66" s="4"/>
      <c r="F66" s="4"/>
      <c r="G66" s="4"/>
      <c r="H66" s="4"/>
      <c r="I66" s="4"/>
    </row>
    <row r="67" spans="2:9" ht="14.1" customHeight="1">
      <c r="B67" s="172" t="str">
        <f>IF(Indice_index!$Z$1=1,"Alienação de partes de Capital","Disposal of Capital Shares")</f>
        <v>Alienação de partes de Capital</v>
      </c>
      <c r="C67" s="4">
        <v>0</v>
      </c>
      <c r="D67" s="4">
        <v>0</v>
      </c>
      <c r="E67" s="4">
        <v>0</v>
      </c>
      <c r="F67" s="4">
        <v>0</v>
      </c>
      <c r="G67" s="4"/>
      <c r="H67" s="4"/>
      <c r="I67" s="4"/>
    </row>
    <row r="68" spans="2:9" ht="14.1" customHeight="1">
      <c r="B68" s="172" t="str">
        <f>IF(Indice_index!$Z$1=1,"Outros Ativos","Other Assets")</f>
        <v>Outros Ativos</v>
      </c>
      <c r="C68" s="4">
        <v>485.00960067</v>
      </c>
      <c r="D68" s="4">
        <v>202.03254999999999</v>
      </c>
      <c r="E68" s="4">
        <v>247.04308593000002</v>
      </c>
      <c r="F68" s="4">
        <v>217.18692237999997</v>
      </c>
      <c r="G68" s="4">
        <f>IFERROR(IF(F68/D68*100&lt;-500,"-",IF(F68/D68*100&gt;500,"-",F68/D68*100)),"-")</f>
        <v>107.50095585092598</v>
      </c>
      <c r="H68" s="4">
        <f>IF(IFERROR((F68-E68)/E68*100,"")&gt;500,"-",IFERROR((F68-E68)/E68*100,""))</f>
        <v>-12.085407465505767</v>
      </c>
      <c r="I68" s="4"/>
    </row>
    <row r="69" spans="2:9" ht="14.1" customHeight="1">
      <c r="B69" s="173" t="str">
        <f>IF(Indice_index!$Z$1=1,"Passivos financeiros líquidos de amortizações","Financial liabilities net of amortizations")</f>
        <v>Passivos financeiros líquidos de amortizações</v>
      </c>
      <c r="C69" s="19">
        <v>9774.0890019900107</v>
      </c>
      <c r="D69" s="19">
        <v>18209.291120000009</v>
      </c>
      <c r="E69" s="19">
        <v>-3945.758825439987</v>
      </c>
      <c r="F69" s="19">
        <v>6000.9325760700076</v>
      </c>
      <c r="G69" s="19"/>
      <c r="H69" s="19"/>
      <c r="I69" s="19"/>
    </row>
    <row r="70" spans="2:9" ht="15">
      <c r="B70" s="9" t="str">
        <f>IF(Indice_index!$Z$1=1,"Notas:","Notes:")</f>
        <v>Notas:</v>
      </c>
      <c r="C70" s="9"/>
      <c r="D70" s="9"/>
      <c r="E70" s="9"/>
      <c r="F70" s="9"/>
      <c r="G70" s="9"/>
      <c r="H70" s="9"/>
      <c r="I70" s="9"/>
    </row>
    <row r="71" spans="2:9" ht="15">
      <c r="B71" s="392" t="str">
        <f>+'3 - Conta AC + SS'!$B$61</f>
        <v>Os dados de 2024 são mensalmente revistos e atualizados face ao publicado nas Sínteses de Execução Orçamental de 2024.</v>
      </c>
      <c r="C71" s="392"/>
      <c r="D71" s="392"/>
      <c r="E71" s="392"/>
      <c r="F71" s="392"/>
      <c r="G71" s="392"/>
      <c r="H71" s="392"/>
      <c r="I71" s="392"/>
    </row>
    <row r="72" spans="2:9" ht="24" hidden="1" customHeight="1">
      <c r="B72" s="394"/>
      <c r="C72" s="394"/>
      <c r="D72" s="394"/>
      <c r="E72" s="394"/>
      <c r="F72" s="394"/>
      <c r="G72" s="394"/>
      <c r="H72" s="394"/>
      <c r="I72" s="394"/>
    </row>
    <row r="73" spans="2:9" ht="24" hidden="1" customHeight="1">
      <c r="B73" s="394"/>
      <c r="C73" s="394"/>
      <c r="D73" s="394"/>
      <c r="E73" s="394"/>
      <c r="F73" s="394"/>
      <c r="G73" s="394"/>
      <c r="H73" s="394"/>
      <c r="I73" s="394"/>
    </row>
    <row r="74" spans="2:9" ht="14.85" customHeight="1">
      <c r="B74" s="31" t="str">
        <f>IF(Indice_index!$Z$1=1,"Fonte: Entidade Orçamental.","Source: Budgetary Entity.")</f>
        <v>Fonte: Entidade Orçamental.</v>
      </c>
    </row>
    <row r="75" spans="2:9" ht="14.85" customHeight="1"/>
  </sheetData>
  <mergeCells count="6">
    <mergeCell ref="B73:I73"/>
    <mergeCell ref="B10:B11"/>
    <mergeCell ref="E10:F10"/>
    <mergeCell ref="H10:I10"/>
    <mergeCell ref="B71:I71"/>
    <mergeCell ref="B72:I72"/>
  </mergeCells>
  <conditionalFormatting sqref="C12:I33">
    <cfRule type="cellIs" dxfId="66" priority="1" operator="equal">
      <formula>0</formula>
    </cfRule>
  </conditionalFormatting>
  <conditionalFormatting sqref="C35:I58">
    <cfRule type="cellIs" dxfId="65" priority="3" operator="equal">
      <formula>0</formula>
    </cfRule>
  </conditionalFormatting>
  <conditionalFormatting sqref="C61:I69">
    <cfRule type="cellIs" dxfId="64" priority="2" operator="equal">
      <formula>0</formula>
    </cfRule>
  </conditionalFormatting>
  <pageMargins left="0.70866141732283472" right="0.70866141732283472" top="0.74803149606299213" bottom="0.74803149606299213" header="0.31496062992125984" footer="0.31496062992125984"/>
  <pageSetup paperSize="9" scale="69" orientation="portrait" r:id="rId1"/>
  <ignoredErrors>
    <ignoredError sqref="C36:D36 C42:D42 D50 C52:D52 C13 D13 C18 C25 C27 D27 D25 D18 E13:F13 E18:F18 E27:F27 E36:F36 E42:F42 E52:F52" formulaRange="1"/>
  </ignoredError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Folha12">
    <pageSetUpPr fitToPage="1"/>
  </sheetPr>
  <dimension ref="A1:J74"/>
  <sheetViews>
    <sheetView showGridLines="0" zoomScaleNormal="100" workbookViewId="0"/>
  </sheetViews>
  <sheetFormatPr defaultColWidth="0" defaultRowHeight="15" zeroHeight="1"/>
  <cols>
    <col min="1" max="1" width="8.5703125" style="55" customWidth="1"/>
    <col min="2" max="2" width="44.5703125" style="55" bestFit="1" customWidth="1"/>
    <col min="3" max="9" width="10.42578125" style="55" customWidth="1"/>
    <col min="10" max="10" width="8.5703125" style="55" customWidth="1"/>
    <col min="11" max="16384" width="8.5703125" hidden="1"/>
  </cols>
  <sheetData>
    <row r="1" spans="1:10"/>
    <row r="2" spans="1:10"/>
    <row r="3" spans="1:10"/>
    <row r="4" spans="1:10"/>
    <row r="5" spans="1:10" ht="18" customHeight="1">
      <c r="A5"/>
      <c r="B5" s="270" t="str">
        <f>IF(Indice_index!$Z$1=1,"ANEXOS ESTATÍSTICOS","STATISTICAL ANNEXES")</f>
        <v>ANEXOS ESTATÍSTICOS</v>
      </c>
      <c r="C5"/>
      <c r="D5"/>
      <c r="E5"/>
      <c r="F5"/>
      <c r="G5"/>
      <c r="H5"/>
      <c r="I5"/>
      <c r="J5"/>
    </row>
    <row r="6" spans="1:10" ht="18" customHeight="1">
      <c r="A6"/>
      <c r="B6" s="271" t="str">
        <f>IF(Indice_index!$Z$1=1,"Agosto de 2025","August 2025")</f>
        <v>Agosto de 2025</v>
      </c>
      <c r="C6"/>
      <c r="D6"/>
      <c r="E6"/>
      <c r="F6"/>
      <c r="G6"/>
      <c r="H6"/>
      <c r="I6"/>
      <c r="J6"/>
    </row>
    <row r="7" spans="1:10" ht="48.75" customHeight="1">
      <c r="B7" s="12"/>
      <c r="C7" s="13"/>
      <c r="D7" s="11"/>
      <c r="E7" s="11"/>
      <c r="F7" s="11"/>
      <c r="G7" s="11"/>
      <c r="H7" s="11"/>
      <c r="I7" s="11"/>
    </row>
    <row r="8" spans="1:10" ht="15.75">
      <c r="B8" s="1" t="str">
        <f>IF(Indice_index!$Z$1=1,"Quadro 6 - Receita do Estado","6 - State Revenue")</f>
        <v>Quadro 6 - Receita do Estado</v>
      </c>
      <c r="C8" s="2"/>
      <c r="D8" s="2"/>
      <c r="E8" s="2"/>
      <c r="F8" s="2"/>
      <c r="G8" s="2"/>
      <c r="H8" s="2"/>
      <c r="I8" s="2"/>
    </row>
    <row r="9" spans="1:10">
      <c r="B9" s="3" t="str">
        <f>+'3 - Conta AC + SS'!B9</f>
        <v>Período: janeiro a agosto</v>
      </c>
      <c r="C9" s="3"/>
      <c r="D9" s="3"/>
      <c r="E9" s="3"/>
      <c r="F9" s="3"/>
      <c r="G9" s="3"/>
      <c r="H9" s="3"/>
      <c r="I9" s="3" t="str">
        <f>IF(Indice_index!$Z$1=1,"€ Milhões","€ Millions")</f>
        <v>€ Milhões</v>
      </c>
    </row>
    <row r="10" spans="1:10" ht="26.85" customHeight="1">
      <c r="B10" s="390"/>
      <c r="C10" s="22" t="str">
        <f>IF(Indice_index!$Z$1=1,"CGE","Final execution")</f>
        <v>CGE</v>
      </c>
      <c r="D10" s="22" t="str">
        <f>IF(Indice_index!$Z$1=1,"Orçamento Inicial","Budget")</f>
        <v>Orçamento Inicial</v>
      </c>
      <c r="E10" s="391" t="str">
        <f>IF(Indice_index!$Z$1=1,"Execução Acumulada","Accumulated Execution")</f>
        <v>Execução Acumulada</v>
      </c>
      <c r="F10" s="388"/>
      <c r="G10" s="22" t="str">
        <f>IF(Indice_index!$Z$1=1,"Grau de Execução (%)","Execution Rate (%)")</f>
        <v>Grau de Execução (%)</v>
      </c>
      <c r="H10" s="391" t="str">
        <f>IF(Indice_index!$Z$1=1,"Variação Homóloga Acumulada","YOY Change Rate")</f>
        <v>Variação Homóloga Acumulada</v>
      </c>
      <c r="I10" s="388"/>
    </row>
    <row r="11" spans="1:10" ht="26.85" customHeight="1">
      <c r="B11" s="389"/>
      <c r="C11" s="22">
        <v>2024</v>
      </c>
      <c r="D11" s="22">
        <v>2025</v>
      </c>
      <c r="E11" s="22">
        <v>2024</v>
      </c>
      <c r="F11" s="22">
        <v>2025</v>
      </c>
      <c r="G11" s="22">
        <v>2025</v>
      </c>
      <c r="H11" s="22" t="str">
        <f>IF(Indice_index!$Z$1=1,"Relativa (%)","Relative change (%)")</f>
        <v>Relativa (%)</v>
      </c>
      <c r="I11" s="22" t="str">
        <f>IF(Indice_index!$Z$1=1,"Contributo VHA  (pp)","YOY Change Rate Contrib. (pp)")</f>
        <v>Contributo VHA  (pp)</v>
      </c>
    </row>
    <row r="12" spans="1:10" ht="14.1" customHeight="1">
      <c r="B12" s="174" t="str">
        <f>IF(Indice_index!$Z$1=1,"Receita fiscal","Tax revenue")</f>
        <v>Receita fiscal</v>
      </c>
      <c r="C12" s="134">
        <f>SUM(C13,C17)</f>
        <v>60629.394838940003</v>
      </c>
      <c r="D12" s="134">
        <f>SUM(D13,D17)</f>
        <v>63370.941067</v>
      </c>
      <c r="E12" s="134">
        <f>SUM(E13,E17)</f>
        <v>36444.110992280002</v>
      </c>
      <c r="F12" s="134">
        <f>SUM(F13,F17)</f>
        <v>39608.84772795</v>
      </c>
      <c r="G12" s="134">
        <f>IFERROR(IF(F12/D12*100&lt;-500,"-",IF(F12/D12*100&gt;500,"-",F12/D12*100)),"-")</f>
        <v>62.503171108146994</v>
      </c>
      <c r="H12" s="134">
        <f t="shared" ref="H12:H25" si="0">IF(IFERROR((F12-E12)/E12*100,"")&gt;500,"-",IFERROR((F12-E12)/E12*100,""))</f>
        <v>8.6838083012654312</v>
      </c>
      <c r="I12" s="134">
        <f t="shared" ref="I12:I51" si="1">IFERROR((F12-E12)/$E$62*100,"-")</f>
        <v>7.8375198907453729</v>
      </c>
    </row>
    <row r="13" spans="1:10" ht="14.1" customHeight="1">
      <c r="B13" s="125" t="str">
        <f>IF(Indice_index!$Z$1=1,"Impostos diretos","Direct taxes")</f>
        <v>Impostos diretos</v>
      </c>
      <c r="C13" s="4">
        <f>SUM(C14:C16)</f>
        <v>27679.89656461</v>
      </c>
      <c r="D13" s="4">
        <f>SUM(D14:D16)</f>
        <v>27974.777635999999</v>
      </c>
      <c r="E13" s="4">
        <f>SUM(E14:E16)</f>
        <v>17204.354300750001</v>
      </c>
      <c r="F13" s="4">
        <f>SUM(F14:F16)</f>
        <v>18607.5850551</v>
      </c>
      <c r="G13" s="4">
        <f t="shared" ref="G13:G61" si="2">IFERROR(IF(F13/D13*100&lt;-500,"-",IF(F13/D13*100&gt;500,"-",F13/D13*100)),"-")</f>
        <v>66.515578058266286</v>
      </c>
      <c r="H13" s="4">
        <f t="shared" si="0"/>
        <v>8.1562535264042264</v>
      </c>
      <c r="I13" s="4">
        <f t="shared" si="1"/>
        <v>3.4751228513152856</v>
      </c>
    </row>
    <row r="14" spans="1:10" ht="14.1" customHeight="1">
      <c r="B14" s="172" t="str">
        <f>IF(Indice_index!$Z$1=1,"Imposto sobre o Rendimento Pessoas Singulares (IRS)","Personal income tax (IRS)")</f>
        <v>Imposto sobre o Rendimento Pessoas Singulares (IRS)</v>
      </c>
      <c r="C14" s="4">
        <v>17018.882313530001</v>
      </c>
      <c r="D14" s="4">
        <v>16610.190689999999</v>
      </c>
      <c r="E14" s="4">
        <v>11294.812665760001</v>
      </c>
      <c r="F14" s="4">
        <v>13160.565549700001</v>
      </c>
      <c r="G14" s="4">
        <f>IFERROR(IF(F14/D14*100&lt;-500,"-",IF(F14/D14*100&gt;500,"-",F14/D14*100)),"-")</f>
        <v>79.23187515013413</v>
      </c>
      <c r="H14" s="4">
        <f t="shared" si="0"/>
        <v>16.518670465389771</v>
      </c>
      <c r="I14" s="4">
        <f t="shared" si="1"/>
        <v>4.6205661198543666</v>
      </c>
    </row>
    <row r="15" spans="1:10" ht="14.1" customHeight="1">
      <c r="B15" s="172" t="str">
        <f>IF(Indice_index!$Z$1=1,"Imposto sobre o Rendimento Pessoas Coletivas (IRC)","Corporate income tax (IRC)")</f>
        <v>Imposto sobre o Rendimento Pessoas Coletivas (IRC)</v>
      </c>
      <c r="C15" s="4">
        <v>10227.50133422</v>
      </c>
      <c r="D15" s="4">
        <v>10794.030607000001</v>
      </c>
      <c r="E15" s="4">
        <v>5649.4135758299999</v>
      </c>
      <c r="F15" s="4">
        <v>5223.6748384499997</v>
      </c>
      <c r="G15" s="4">
        <f t="shared" si="2"/>
        <v>48.394108082873252</v>
      </c>
      <c r="H15" s="4">
        <f t="shared" si="0"/>
        <v>-7.5359810653878627</v>
      </c>
      <c r="I15" s="4">
        <f t="shared" si="1"/>
        <v>-1.05434862396861</v>
      </c>
    </row>
    <row r="16" spans="1:10" ht="14.1" customHeight="1">
      <c r="B16" s="172" t="str">
        <f>IF(Indice_index!$Z$1=1,"Outros","Others")</f>
        <v>Outros</v>
      </c>
      <c r="C16" s="4">
        <v>433.51291686000002</v>
      </c>
      <c r="D16" s="4">
        <v>570.55633899999998</v>
      </c>
      <c r="E16" s="4">
        <v>260.12805916000002</v>
      </c>
      <c r="F16" s="4">
        <v>223.34466695</v>
      </c>
      <c r="G16" s="4">
        <f t="shared" si="2"/>
        <v>39.14506801229318</v>
      </c>
      <c r="H16" s="4">
        <f t="shared" si="0"/>
        <v>-14.140493850905649</v>
      </c>
      <c r="I16" s="4">
        <f t="shared" si="1"/>
        <v>-9.1094644570468605E-2</v>
      </c>
    </row>
    <row r="17" spans="2:9" ht="14.1" customHeight="1">
      <c r="B17" s="125" t="str">
        <f>IF(Indice_index!$Z$1=1,"Impostos indiretos","Indirect taxes")</f>
        <v>Impostos indiretos</v>
      </c>
      <c r="C17" s="4">
        <f>SUM(C18:C25)</f>
        <v>32949.498274329999</v>
      </c>
      <c r="D17" s="4">
        <f>SUM(D18:D25)</f>
        <v>35396.163431000001</v>
      </c>
      <c r="E17" s="4">
        <f>SUM(E18:E25)</f>
        <v>19239.756691530001</v>
      </c>
      <c r="F17" s="4">
        <f>SUM(F18:F25)</f>
        <v>21001.26267285</v>
      </c>
      <c r="G17" s="4">
        <f t="shared" si="2"/>
        <v>59.332031037174694</v>
      </c>
      <c r="H17" s="4">
        <f t="shared" si="0"/>
        <v>9.1555522741900059</v>
      </c>
      <c r="I17" s="4">
        <f t="shared" si="1"/>
        <v>4.3623970394300873</v>
      </c>
    </row>
    <row r="18" spans="2:9" ht="14.1" customHeight="1">
      <c r="B18" s="172" t="str">
        <f>IF(Indice_index!$Z$1=1,"Imposto sobre os produtos petrolíferos e energéticos (ISP)","Tax on oil and energy products (ISP)")</f>
        <v>Imposto sobre os produtos petrolíferos e energéticos (ISP)</v>
      </c>
      <c r="C18" s="4">
        <v>3448.6720316699998</v>
      </c>
      <c r="D18" s="4">
        <v>4194.6757390000002</v>
      </c>
      <c r="E18" s="4">
        <v>2221.50065778</v>
      </c>
      <c r="F18" s="4">
        <v>2505.9844623700001</v>
      </c>
      <c r="G18" s="4">
        <f t="shared" si="2"/>
        <v>59.742030571531622</v>
      </c>
      <c r="H18" s="4">
        <f t="shared" si="0"/>
        <v>12.805929343018594</v>
      </c>
      <c r="I18" s="4">
        <f t="shared" si="1"/>
        <v>0.70452857956193093</v>
      </c>
    </row>
    <row r="19" spans="2:9" ht="14.1" customHeight="1">
      <c r="B19" s="172" t="str">
        <f>IF(Indice_index!$Z$1=1,"Imposto sobre o Valor Acrescentado (IVA)","Value-added tax (IVA)")</f>
        <v>Imposto sobre o Valor Acrescentado (IVA)</v>
      </c>
      <c r="C19" s="4">
        <v>24183.489884930001</v>
      </c>
      <c r="D19" s="4">
        <v>25632.237483000001</v>
      </c>
      <c r="E19" s="4">
        <v>13549.50939205</v>
      </c>
      <c r="F19" s="4">
        <v>14818.79790958</v>
      </c>
      <c r="G19" s="4">
        <f t="shared" si="2"/>
        <v>57.813126612174337</v>
      </c>
      <c r="H19" s="4">
        <f t="shared" si="0"/>
        <v>9.3677821152309644</v>
      </c>
      <c r="I19" s="4">
        <f t="shared" si="1"/>
        <v>3.1434128125447378</v>
      </c>
    </row>
    <row r="20" spans="2:9" ht="14.1" customHeight="1">
      <c r="B20" s="172" t="str">
        <f>IF(Indice_index!$Z$1=1,"Imposto sobre Veículos (ISV)","Tax on vehicles (ISV)")</f>
        <v>Imposto sobre Veículos (ISV)</v>
      </c>
      <c r="C20" s="4">
        <v>456.38907854000001</v>
      </c>
      <c r="D20" s="4">
        <v>468.01345300000003</v>
      </c>
      <c r="E20" s="4">
        <v>321.51582191</v>
      </c>
      <c r="F20" s="4">
        <v>310.35970064000003</v>
      </c>
      <c r="G20" s="4">
        <f t="shared" si="2"/>
        <v>66.314269098585072</v>
      </c>
      <c r="H20" s="4">
        <f t="shared" si="0"/>
        <v>-3.4698514069154696</v>
      </c>
      <c r="I20" s="4">
        <f t="shared" si="1"/>
        <v>-2.7628308342899619E-2</v>
      </c>
    </row>
    <row r="21" spans="2:9" ht="14.1" customHeight="1">
      <c r="B21" s="172" t="str">
        <f>IF(Indice_index!$Z$1=1,"Imposto de consumo sobre o Tabaco","Tax on tobacco")</f>
        <v>Imposto de consumo sobre o Tabaco</v>
      </c>
      <c r="C21" s="4">
        <v>1525.4060425</v>
      </c>
      <c r="D21" s="4">
        <v>1637.161801</v>
      </c>
      <c r="E21" s="4">
        <v>904.93560149999996</v>
      </c>
      <c r="F21" s="4">
        <v>1040.76481704</v>
      </c>
      <c r="G21" s="4">
        <f t="shared" si="2"/>
        <v>63.571286381363599</v>
      </c>
      <c r="H21" s="4">
        <f t="shared" si="0"/>
        <v>15.00982117565634</v>
      </c>
      <c r="I21" s="4">
        <f t="shared" si="1"/>
        <v>0.33638317100449588</v>
      </c>
    </row>
    <row r="22" spans="2:9" ht="14.1" customHeight="1">
      <c r="B22" s="172" t="str">
        <f>IF(Indice_index!$Z$1=1,"Imposto sobre o Álcool e as Bebidas Alcoólicas (IABA)","Tax on alcoholic beverages (IABA)")</f>
        <v>Imposto sobre o Álcool e as Bebidas Alcoólicas (IABA)</v>
      </c>
      <c r="C22" s="4">
        <v>345.58241283000001</v>
      </c>
      <c r="D22" s="4">
        <v>364.69176599999997</v>
      </c>
      <c r="E22" s="4">
        <v>228.18379540999999</v>
      </c>
      <c r="F22" s="4">
        <v>230.41495649999999</v>
      </c>
      <c r="G22" s="4">
        <f t="shared" si="2"/>
        <v>63.180740006068582</v>
      </c>
      <c r="H22" s="4">
        <f t="shared" si="0"/>
        <v>0.97779120817543441</v>
      </c>
      <c r="I22" s="4">
        <f t="shared" si="1"/>
        <v>5.5255052419486816E-3</v>
      </c>
    </row>
    <row r="23" spans="2:9" ht="14.1" customHeight="1">
      <c r="B23" s="172" t="str">
        <f>IF(Indice_index!$Z$1=1,"Imposto do Selo","Stamp tax")</f>
        <v>Imposto do Selo</v>
      </c>
      <c r="C23" s="4">
        <v>2164.8862986600002</v>
      </c>
      <c r="D23" s="4">
        <v>2248.7513039999999</v>
      </c>
      <c r="E23" s="4">
        <v>1457.9788808200001</v>
      </c>
      <c r="F23" s="4">
        <v>1517.1459500200001</v>
      </c>
      <c r="G23" s="4">
        <f t="shared" si="2"/>
        <v>67.466150984386502</v>
      </c>
      <c r="H23" s="4">
        <f t="shared" si="0"/>
        <v>4.0581568072318799</v>
      </c>
      <c r="I23" s="4">
        <f t="shared" si="1"/>
        <v>0.14652816978595679</v>
      </c>
    </row>
    <row r="24" spans="2:9" ht="14.1" customHeight="1">
      <c r="B24" s="172" t="str">
        <f>IF(Indice_index!$Z$1=1,"Imposto Único de Circulação (IUC)","Tax on vehicle circulation (IUC)")</f>
        <v>Imposto Único de Circulação (IUC)</v>
      </c>
      <c r="C24" s="4">
        <v>517.32197352000003</v>
      </c>
      <c r="D24" s="4">
        <v>534.96294699999999</v>
      </c>
      <c r="E24" s="4">
        <v>350.57620111</v>
      </c>
      <c r="F24" s="4">
        <v>363.32745132999997</v>
      </c>
      <c r="G24" s="4">
        <f t="shared" si="2"/>
        <v>67.916376894416956</v>
      </c>
      <c r="H24" s="4">
        <f t="shared" si="0"/>
        <v>3.6372264231361862</v>
      </c>
      <c r="I24" s="4">
        <f t="shared" si="1"/>
        <v>3.1578670069048721E-2</v>
      </c>
    </row>
    <row r="25" spans="2:9" ht="14.1" customHeight="1">
      <c r="B25" s="172" t="str">
        <f>IF(Indice_index!$Z$1=1,"Outros","Others")</f>
        <v>Outros</v>
      </c>
      <c r="C25" s="4">
        <v>307.75055167999983</v>
      </c>
      <c r="D25" s="4">
        <v>315.66893799999991</v>
      </c>
      <c r="E25" s="4">
        <v>205.55634094999999</v>
      </c>
      <c r="F25" s="4">
        <v>214.46742537</v>
      </c>
      <c r="G25" s="4">
        <f t="shared" si="2"/>
        <v>67.940617385040298</v>
      </c>
      <c r="H25" s="4">
        <f t="shared" si="0"/>
        <v>4.3351055865348185</v>
      </c>
      <c r="I25" s="4">
        <f t="shared" si="1"/>
        <v>2.2068439564871249E-2</v>
      </c>
    </row>
    <row r="26" spans="2:9" ht="14.1" customHeight="1">
      <c r="B26" s="174" t="str">
        <f>IF(Indice_index!$Z$1=1,"Contribuições para Segurança Social, CGA e ADSE","Social security, CGA and ADSE contributions")</f>
        <v>Contribuições para Segurança Social, CGA e ADSE</v>
      </c>
      <c r="C26" s="134">
        <f>SUM(C27:C28)</f>
        <v>84.298464390000007</v>
      </c>
      <c r="D26" s="134">
        <f>SUM(D27:D28)</f>
        <v>81.900053</v>
      </c>
      <c r="E26" s="134">
        <f>SUM(E27:E28)</f>
        <v>51.217741310000001</v>
      </c>
      <c r="F26" s="134">
        <f>SUM(F27:F28)</f>
        <v>57.889734400000002</v>
      </c>
      <c r="G26" s="134">
        <f>IFERROR(IF(F26/D26*100&lt;-500,"-",IF(F26/D26*100&gt;500,"-",F26/D26*100)),"-")</f>
        <v>70.683390644448068</v>
      </c>
      <c r="H26" s="134">
        <f>IF(IFERROR((F26-E26)/E26*100,"")&gt;500,"-",IFERROR((F26-E26)/E26*100,""))</f>
        <v>13.026722614761866</v>
      </c>
      <c r="I26" s="134">
        <f>IFERROR((F26-E26)/$E$62*100,"-")</f>
        <v>1.6523294959863419E-2</v>
      </c>
    </row>
    <row r="27" spans="2:9" ht="14.1" hidden="1" customHeight="1">
      <c r="B27" s="125" t="str">
        <f>IF(Indice_index!$Z$1=1,"Comparticipações para a ADSE","ADSE co-payments")</f>
        <v>Comparticipações para a ADSE</v>
      </c>
      <c r="C27" s="4">
        <v>0</v>
      </c>
      <c r="D27" s="4">
        <v>0</v>
      </c>
      <c r="E27" s="4">
        <v>0</v>
      </c>
      <c r="F27" s="4">
        <v>0</v>
      </c>
      <c r="G27" s="4" t="str">
        <f t="shared" si="2"/>
        <v>-</v>
      </c>
      <c r="H27" s="4" t="str">
        <f>IF(IFERROR((F27-E27)/E27*100,"")&gt;500,"-",IFERROR((F27-E27)/E27*100,""))</f>
        <v>-</v>
      </c>
      <c r="I27" s="4">
        <f t="shared" si="1"/>
        <v>0</v>
      </c>
    </row>
    <row r="28" spans="2:9" ht="14.1" customHeight="1">
      <c r="B28" s="125" t="str">
        <f>IF(Indice_index!$Z$1=1,"Outros","Others")</f>
        <v>Outros</v>
      </c>
      <c r="C28" s="4">
        <v>84.298464390000007</v>
      </c>
      <c r="D28" s="4">
        <v>81.900053</v>
      </c>
      <c r="E28" s="4">
        <v>51.217741310000001</v>
      </c>
      <c r="F28" s="4">
        <v>57.889734400000002</v>
      </c>
      <c r="G28" s="4">
        <f t="shared" si="2"/>
        <v>70.683390644448068</v>
      </c>
      <c r="H28" s="4">
        <f>IF(IFERROR((F28-E28)/E28*100,"")&gt;500,"-",IFERROR((F28-E28)/E28*100,""))</f>
        <v>13.026722614761866</v>
      </c>
      <c r="I28" s="4">
        <f t="shared" si="1"/>
        <v>1.6523294959863419E-2</v>
      </c>
    </row>
    <row r="29" spans="2:9" ht="14.1" customHeight="1">
      <c r="B29" s="174" t="str">
        <f>IF(Indice_index!$Z$1=1,"Receita não fiscal","Non-tax revenue")</f>
        <v>Receita não fiscal</v>
      </c>
      <c r="C29" s="134">
        <f>+C30+C53</f>
        <v>5647.6889156799998</v>
      </c>
      <c r="D29" s="134">
        <f>+D30+D53</f>
        <v>5778.537378</v>
      </c>
      <c r="E29" s="134">
        <f>+E30+E53</f>
        <v>3883.9848730899998</v>
      </c>
      <c r="F29" s="134">
        <f>+F30+F53</f>
        <v>3526.2470868999999</v>
      </c>
      <c r="G29" s="134">
        <f t="shared" si="2"/>
        <v>61.023176908487244</v>
      </c>
      <c r="H29" s="134">
        <f t="shared" ref="H29:H51" si="3">IF(IFERROR((F29-E29)/E29*100,"")&gt;500,"-",IFERROR((F29-E29)/E29*100,""))</f>
        <v>-9.2105864950342315</v>
      </c>
      <c r="I29" s="134">
        <f t="shared" si="1"/>
        <v>-0.8859432076399113</v>
      </c>
    </row>
    <row r="30" spans="2:9" ht="14.1" customHeight="1">
      <c r="B30" s="125" t="str">
        <f>IF(Indice_index!$Z$1=1,"Correntes","Current")</f>
        <v>Correntes</v>
      </c>
      <c r="C30" s="4">
        <f>SUM(C31,C36,C40,C45:C46,C50:C52)</f>
        <v>5323.2775090499999</v>
      </c>
      <c r="D30" s="4">
        <f>SUM(D31,D36,D40,D45:D46,D50:D52)</f>
        <v>4992.7329129999998</v>
      </c>
      <c r="E30" s="4">
        <f>SUM(E31,E36,E40,E45:E46,E50:E52)</f>
        <v>3630.4093569699999</v>
      </c>
      <c r="F30" s="4">
        <f>SUM(F31,F36,F40,F45:F46,F50:F52)</f>
        <v>3360.6334420399999</v>
      </c>
      <c r="G30" s="4">
        <f t="shared" si="2"/>
        <v>67.310499091382098</v>
      </c>
      <c r="H30" s="4">
        <f t="shared" si="3"/>
        <v>-7.4310053881956577</v>
      </c>
      <c r="I30" s="4">
        <f t="shared" si="1"/>
        <v>-0.66810426139925927</v>
      </c>
    </row>
    <row r="31" spans="2:9" ht="14.1" customHeight="1">
      <c r="B31" s="172" t="str">
        <f>IF(Indice_index!$Z$1=1,"Taxas, multas e outras penalidades","Taxes, fines and other penalties")</f>
        <v>Taxas, multas e outras penalidades</v>
      </c>
      <c r="C31" s="4">
        <f>SUM(C32:C35)</f>
        <v>944.89052092000009</v>
      </c>
      <c r="D31" s="4">
        <f>SUM(D32:D35)</f>
        <v>897.49934899999994</v>
      </c>
      <c r="E31" s="4">
        <f>SUM(E32:E35)</f>
        <v>653.40502054000001</v>
      </c>
      <c r="F31" s="4">
        <f>SUM(F32:F35)</f>
        <v>685.09881633999998</v>
      </c>
      <c r="G31" s="4">
        <f t="shared" si="2"/>
        <v>76.334185323180677</v>
      </c>
      <c r="H31" s="4">
        <f t="shared" si="3"/>
        <v>4.8505589647607783</v>
      </c>
      <c r="I31" s="4">
        <f t="shared" si="1"/>
        <v>7.8490179671496019E-2</v>
      </c>
    </row>
    <row r="32" spans="2:9" ht="14.1" customHeight="1">
      <c r="B32" s="284" t="str">
        <f>IF(Indice_index!$Z$1=1,"Taxas","Taxes")</f>
        <v>Taxas</v>
      </c>
      <c r="C32" s="4">
        <v>622.06269525000005</v>
      </c>
      <c r="D32" s="4">
        <v>656.35424</v>
      </c>
      <c r="E32" s="4">
        <v>422.44271816999998</v>
      </c>
      <c r="F32" s="4">
        <v>425.21465179</v>
      </c>
      <c r="G32" s="4">
        <f t="shared" si="2"/>
        <v>64.784323140808837</v>
      </c>
      <c r="H32" s="4">
        <f t="shared" si="3"/>
        <v>0.65616792544274405</v>
      </c>
      <c r="I32" s="4">
        <f t="shared" si="1"/>
        <v>6.8647368476849558E-3</v>
      </c>
    </row>
    <row r="33" spans="2:9" ht="14.1" customHeight="1">
      <c r="B33" s="284" t="str">
        <f>IF(Indice_index!$Z$1=1,"Juros de mora e compensatórios","Default and compensatory interests")</f>
        <v>Juros de mora e compensatórios</v>
      </c>
      <c r="C33" s="4">
        <v>94.502222979999999</v>
      </c>
      <c r="D33" s="4">
        <v>12.126776</v>
      </c>
      <c r="E33" s="4">
        <v>76.459854010000001</v>
      </c>
      <c r="F33" s="4">
        <v>101.43624663999999</v>
      </c>
      <c r="G33" s="4" t="str">
        <f t="shared" si="2"/>
        <v>-</v>
      </c>
      <c r="H33" s="4">
        <f t="shared" si="3"/>
        <v>32.666021866499236</v>
      </c>
      <c r="I33" s="4">
        <f t="shared" si="1"/>
        <v>6.1854425940187648E-2</v>
      </c>
    </row>
    <row r="34" spans="2:9" ht="14.1" customHeight="1">
      <c r="B34" s="284" t="str">
        <f>IF(Indice_index!$Z$1=1,"Multas do Código da Estrada","Highway code fines")</f>
        <v>Multas do Código da Estrada</v>
      </c>
      <c r="C34" s="4">
        <v>70.801520550000006</v>
      </c>
      <c r="D34" s="4">
        <v>99.205877000000001</v>
      </c>
      <c r="E34" s="4">
        <v>44.667113329999999</v>
      </c>
      <c r="F34" s="4">
        <v>61.224910270000002</v>
      </c>
      <c r="G34" s="4">
        <f t="shared" si="2"/>
        <v>61.71500330570133</v>
      </c>
      <c r="H34" s="4">
        <f t="shared" si="3"/>
        <v>37.069323951317905</v>
      </c>
      <c r="I34" s="4">
        <f t="shared" si="1"/>
        <v>4.1005642397202183E-2</v>
      </c>
    </row>
    <row r="35" spans="2:9" ht="14.1" customHeight="1">
      <c r="B35" s="284" t="str">
        <f>IF(Indice_index!$Z$1=1,"Outras multas e penalidades diversas","Other fines and diverse penalties")</f>
        <v>Outras multas e penalidades diversas</v>
      </c>
      <c r="C35" s="4">
        <v>157.52408213999999</v>
      </c>
      <c r="D35" s="4">
        <v>129.812456</v>
      </c>
      <c r="E35" s="4">
        <v>109.83533503</v>
      </c>
      <c r="F35" s="4">
        <v>97.223007640000006</v>
      </c>
      <c r="G35" s="4">
        <f t="shared" si="2"/>
        <v>74.894975902774689</v>
      </c>
      <c r="H35" s="4">
        <f t="shared" si="3"/>
        <v>-11.482941611235681</v>
      </c>
      <c r="I35" s="4">
        <f t="shared" si="1"/>
        <v>-3.1234625513578612E-2</v>
      </c>
    </row>
    <row r="36" spans="2:9" ht="14.1" customHeight="1">
      <c r="B36" s="172" t="str">
        <f>IF(Indice_index!$Z$1=1,"Rendimentos da propriedade","Property income")</f>
        <v>Rendimentos da propriedade</v>
      </c>
      <c r="C36" s="4">
        <f>SUM(C37:C39)</f>
        <v>754.84664043000009</v>
      </c>
      <c r="D36" s="4">
        <f>SUM(D37:D39)</f>
        <v>961.53126899999995</v>
      </c>
      <c r="E36" s="4">
        <f>SUM(E37:E39)</f>
        <v>711.30944360000001</v>
      </c>
      <c r="F36" s="4">
        <f>SUM(F37:F39)</f>
        <v>731.61819147000006</v>
      </c>
      <c r="G36" s="4">
        <f t="shared" si="2"/>
        <v>76.08886107582218</v>
      </c>
      <c r="H36" s="4">
        <f t="shared" si="3"/>
        <v>2.8551213614170052</v>
      </c>
      <c r="I36" s="4">
        <f t="shared" si="1"/>
        <v>5.02949308842148E-2</v>
      </c>
    </row>
    <row r="37" spans="2:9" ht="14.1" customHeight="1">
      <c r="B37" s="284" t="str">
        <f>IF(Indice_index!$Z$1=1,"Juros","Interests")</f>
        <v>Juros</v>
      </c>
      <c r="C37" s="4">
        <v>75.114174920000011</v>
      </c>
      <c r="D37" s="4">
        <v>84.430563000000021</v>
      </c>
      <c r="E37" s="4">
        <v>53.539184149999997</v>
      </c>
      <c r="F37" s="4">
        <v>35.338165740000001</v>
      </c>
      <c r="G37" s="4">
        <f t="shared" si="2"/>
        <v>41.854708158229379</v>
      </c>
      <c r="H37" s="4">
        <f t="shared" si="3"/>
        <v>-33.995696234381256</v>
      </c>
      <c r="I37" s="4">
        <f t="shared" si="1"/>
        <v>-4.5075105999298065E-2</v>
      </c>
    </row>
    <row r="38" spans="2:9" ht="14.1" customHeight="1">
      <c r="B38" s="284" t="str">
        <f>IF(Indice_index!$Z$1=1,"Dividendos e participações nos lucros","Dividends and profit participations")</f>
        <v>Dividendos e participações nos lucros</v>
      </c>
      <c r="C38" s="4">
        <v>674.86121721000006</v>
      </c>
      <c r="D38" s="4">
        <v>861.71002499999997</v>
      </c>
      <c r="E38" s="4">
        <v>655.16771219999998</v>
      </c>
      <c r="F38" s="4">
        <v>692.94965301000002</v>
      </c>
      <c r="G38" s="4">
        <f t="shared" si="2"/>
        <v>80.41564249063947</v>
      </c>
      <c r="H38" s="4">
        <f t="shared" si="3"/>
        <v>5.7667586644542279</v>
      </c>
      <c r="I38" s="4">
        <f t="shared" si="1"/>
        <v>9.356756575413834E-2</v>
      </c>
    </row>
    <row r="39" spans="2:9" ht="14.1" customHeight="1">
      <c r="B39" s="284" t="str">
        <f>IF(Indice_index!$Z$1=1,"Outros","Others")</f>
        <v>Outros</v>
      </c>
      <c r="C39" s="4">
        <v>4.8712482999999995</v>
      </c>
      <c r="D39" s="4">
        <v>15.390681000000001</v>
      </c>
      <c r="E39" s="4">
        <v>2.6025472500000002</v>
      </c>
      <c r="F39" s="4">
        <v>3.3303727200000002</v>
      </c>
      <c r="G39" s="4">
        <f t="shared" si="2"/>
        <v>21.638891222552139</v>
      </c>
      <c r="H39" s="4">
        <f t="shared" si="3"/>
        <v>27.965888803747941</v>
      </c>
      <c r="I39" s="4">
        <f t="shared" si="1"/>
        <v>1.8024711293745093E-3</v>
      </c>
    </row>
    <row r="40" spans="2:9" ht="14.1" customHeight="1">
      <c r="B40" s="172" t="str">
        <f>IF(Indice_index!$Z$1=1,"Transferências correntes","Current transfers")</f>
        <v>Transferências correntes</v>
      </c>
      <c r="C40" s="4">
        <f>SUM(C41:C44)</f>
        <v>1181.8375162299999</v>
      </c>
      <c r="D40" s="4">
        <f>SUM(D41:D44)</f>
        <v>1305.3838209999999</v>
      </c>
      <c r="E40" s="4">
        <f>SUM(E41:E44)</f>
        <v>683.1467402400001</v>
      </c>
      <c r="F40" s="4">
        <f>SUM(F41:F44)</f>
        <v>693.76454593000005</v>
      </c>
      <c r="G40" s="4">
        <f t="shared" si="2"/>
        <v>53.14640297889828</v>
      </c>
      <c r="H40" s="4">
        <f t="shared" si="3"/>
        <v>1.5542496310923997</v>
      </c>
      <c r="I40" s="4">
        <f t="shared" si="1"/>
        <v>2.6295161412162881E-2</v>
      </c>
    </row>
    <row r="41" spans="2:9" ht="14.1" customHeight="1">
      <c r="B41" s="284" t="str">
        <f>IF(Indice_index!$Z$1=1,"Administração Central","Central Administration")</f>
        <v>Administração Central</v>
      </c>
      <c r="C41" s="4">
        <v>640.03516144000002</v>
      </c>
      <c r="D41" s="4">
        <v>572.20419299999992</v>
      </c>
      <c r="E41" s="4">
        <v>321.82008080000003</v>
      </c>
      <c r="F41" s="4">
        <v>352.91652635000003</v>
      </c>
      <c r="G41" s="4">
        <f t="shared" si="2"/>
        <v>61.676676030579195</v>
      </c>
      <c r="H41" s="4">
        <f t="shared" si="3"/>
        <v>9.662680300340039</v>
      </c>
      <c r="I41" s="4">
        <f t="shared" si="1"/>
        <v>7.7010832459657452E-2</v>
      </c>
    </row>
    <row r="42" spans="2:9" ht="14.1" customHeight="1">
      <c r="B42" s="284" t="str">
        <f>IF(Indice_index!$Z$1=1,"Outros subsetores das Administrações Públicas","Other General Government subsectors")</f>
        <v>Outros subsetores das Administrações Públicas</v>
      </c>
      <c r="C42" s="4">
        <v>263.31319848999999</v>
      </c>
      <c r="D42" s="4">
        <v>259.47413</v>
      </c>
      <c r="E42" s="4">
        <v>184.95785366999999</v>
      </c>
      <c r="F42" s="4">
        <v>190.33758345000001</v>
      </c>
      <c r="G42" s="4">
        <f t="shared" si="2"/>
        <v>73.355129257009168</v>
      </c>
      <c r="H42" s="4">
        <f t="shared" si="3"/>
        <v>2.9086246803006706</v>
      </c>
      <c r="I42" s="4">
        <f t="shared" si="1"/>
        <v>1.3322984715396557E-2</v>
      </c>
    </row>
    <row r="43" spans="2:9" ht="14.1" customHeight="1">
      <c r="B43" s="284" t="str">
        <f>IF(Indice_index!$Z$1=1,"União Europeia","European Union")</f>
        <v>União Europeia</v>
      </c>
      <c r="C43" s="4">
        <v>252.98639381999999</v>
      </c>
      <c r="D43" s="4">
        <v>434.42332299999998</v>
      </c>
      <c r="E43" s="4">
        <v>156.50092401000001</v>
      </c>
      <c r="F43" s="4">
        <v>134.25421126000001</v>
      </c>
      <c r="G43" s="4">
        <f t="shared" si="2"/>
        <v>30.90400633485325</v>
      </c>
      <c r="H43" s="4">
        <f t="shared" si="3"/>
        <v>-14.215067988083248</v>
      </c>
      <c r="I43" s="4">
        <f t="shared" si="1"/>
        <v>-5.5094331138703899E-2</v>
      </c>
    </row>
    <row r="44" spans="2:9" ht="14.1" customHeight="1">
      <c r="B44" s="284" t="str">
        <f>IF(Indice_index!$Z$1=1,"Outros","Others")</f>
        <v>Outros</v>
      </c>
      <c r="C44" s="4">
        <v>25.502762480000001</v>
      </c>
      <c r="D44" s="4">
        <v>39.282174999999995</v>
      </c>
      <c r="E44" s="4">
        <v>19.86788176</v>
      </c>
      <c r="F44" s="4">
        <v>16.25622487</v>
      </c>
      <c r="G44" s="4">
        <f t="shared" si="2"/>
        <v>41.383209738259154</v>
      </c>
      <c r="H44" s="4">
        <f t="shared" si="3"/>
        <v>-18.17836915695435</v>
      </c>
      <c r="I44" s="4">
        <f t="shared" si="1"/>
        <v>-8.9443246241870684E-3</v>
      </c>
    </row>
    <row r="45" spans="2:9" ht="14.1" customHeight="1">
      <c r="B45" s="172" t="str">
        <f>IF(Indice_index!$Z$1=1,"Venda de bens e serviços correntes","Sale of current goods and services")</f>
        <v>Venda de bens e serviços correntes</v>
      </c>
      <c r="C45" s="4">
        <v>989.53601090999996</v>
      </c>
      <c r="D45" s="4">
        <v>1050.2333389999999</v>
      </c>
      <c r="E45" s="4">
        <v>303.43215580999998</v>
      </c>
      <c r="F45" s="4">
        <v>319.47966305</v>
      </c>
      <c r="G45" s="4">
        <f t="shared" si="2"/>
        <v>30.419874439921969</v>
      </c>
      <c r="H45" s="4">
        <f t="shared" si="3"/>
        <v>5.2886640168909711</v>
      </c>
      <c r="I45" s="4">
        <f t="shared" si="1"/>
        <v>3.974190199544466E-2</v>
      </c>
    </row>
    <row r="46" spans="2:9" ht="14.1" customHeight="1">
      <c r="B46" s="172" t="str">
        <f>IF(Indice_index!$Z$1=1,"Outras receitas correntes","Other current revenue")</f>
        <v>Outras receitas correntes</v>
      </c>
      <c r="C46" s="4">
        <f>SUM(C47:C49)</f>
        <v>358.07647166000004</v>
      </c>
      <c r="D46" s="4">
        <f>SUM(D47:D49)</f>
        <v>290.23055199999999</v>
      </c>
      <c r="E46" s="4">
        <f>SUM(E47:E49)</f>
        <v>283.21906737</v>
      </c>
      <c r="F46" s="4">
        <f>SUM(F47:F49)</f>
        <v>189.71604115</v>
      </c>
      <c r="G46" s="4">
        <f t="shared" si="2"/>
        <v>65.367357034830704</v>
      </c>
      <c r="H46" s="4">
        <f t="shared" si="3"/>
        <v>-33.014382501954501</v>
      </c>
      <c r="I46" s="4">
        <f t="shared" si="1"/>
        <v>-0.23156170293229475</v>
      </c>
    </row>
    <row r="47" spans="2:9" ht="14.1" customHeight="1">
      <c r="B47" s="284" t="str">
        <f>IF(Indice_index!$Z$1=1,"Prémios e taxas por garantias de riscos","Premiums and rates on risk guarantees")</f>
        <v>Prémios e taxas por garantias de riscos</v>
      </c>
      <c r="C47" s="4">
        <v>122.75662766000001</v>
      </c>
      <c r="D47" s="4">
        <v>34.670270000000002</v>
      </c>
      <c r="E47" s="4">
        <v>113.34041014</v>
      </c>
      <c r="F47" s="4">
        <v>14.23175425</v>
      </c>
      <c r="G47" s="4">
        <f t="shared" si="2"/>
        <v>41.048870545282739</v>
      </c>
      <c r="H47" s="4">
        <f t="shared" si="3"/>
        <v>-87.443353846681262</v>
      </c>
      <c r="I47" s="4">
        <f>IFERROR((F47-E47)/$E$62*100,"-")</f>
        <v>-0.2454441322489552</v>
      </c>
    </row>
    <row r="48" spans="2:9" ht="14.1" customHeight="1">
      <c r="B48" s="284" t="str">
        <f>IF(Indice_index!$Z$1=1,"Subsídios","Subsidies")</f>
        <v>Subsídios</v>
      </c>
      <c r="C48" s="4">
        <v>133.26773594000002</v>
      </c>
      <c r="D48" s="4">
        <v>177.65928700000001</v>
      </c>
      <c r="E48" s="4">
        <v>94.300932180000004</v>
      </c>
      <c r="F48" s="4">
        <v>95.744569299999995</v>
      </c>
      <c r="G48" s="4">
        <f t="shared" si="2"/>
        <v>53.892239981802916</v>
      </c>
      <c r="H48" s="4">
        <f t="shared" si="3"/>
        <v>1.5308831913181953</v>
      </c>
      <c r="I48" s="4">
        <f t="shared" si="1"/>
        <v>3.575189846122517E-3</v>
      </c>
    </row>
    <row r="49" spans="2:9" ht="14.1" customHeight="1">
      <c r="B49" s="284" t="str">
        <f>IF(Indice_index!$Z$1=1,"Outras","Others")</f>
        <v>Outras</v>
      </c>
      <c r="C49" s="4">
        <v>102.05210805999999</v>
      </c>
      <c r="D49" s="4">
        <v>77.900994999999995</v>
      </c>
      <c r="E49" s="4">
        <v>75.577725049999998</v>
      </c>
      <c r="F49" s="4">
        <v>79.739717600000006</v>
      </c>
      <c r="G49" s="4">
        <f t="shared" si="2"/>
        <v>102.36033262476303</v>
      </c>
      <c r="H49" s="4">
        <f t="shared" si="3"/>
        <v>5.5069037169967157</v>
      </c>
      <c r="I49" s="4">
        <f t="shared" si="1"/>
        <v>1.0307239470537915E-2</v>
      </c>
    </row>
    <row r="50" spans="2:9" ht="14.1" customHeight="1">
      <c r="B50" s="172" t="str">
        <f>IF(Indice_index!$Z$1=1,"Recursos próprios comunitários","Community own resources")</f>
        <v>Recursos próprios comunitários</v>
      </c>
      <c r="C50" s="4">
        <v>328.92635065000002</v>
      </c>
      <c r="D50" s="4">
        <v>380</v>
      </c>
      <c r="E50" s="4">
        <v>216.25162172</v>
      </c>
      <c r="F50" s="4">
        <v>237.59442670999999</v>
      </c>
      <c r="G50" s="4">
        <f t="shared" si="2"/>
        <v>62.524849134210527</v>
      </c>
      <c r="H50" s="4">
        <f t="shared" si="3"/>
        <v>9.86943118402802</v>
      </c>
      <c r="I50" s="4">
        <f t="shared" si="1"/>
        <v>5.2855789471540758E-2</v>
      </c>
    </row>
    <row r="51" spans="2:9" ht="14.1" customHeight="1">
      <c r="B51" s="172" t="str">
        <f>IF(Indice_index!$Z$1=1,"Reposições não abatidas nos pagamentos","Refunds not deducted from payments")</f>
        <v>Reposições não abatidas nos pagamentos</v>
      </c>
      <c r="C51" s="4">
        <v>621.78373512999997</v>
      </c>
      <c r="D51" s="4">
        <v>107.85458300000001</v>
      </c>
      <c r="E51" s="4">
        <v>605.40999333000002</v>
      </c>
      <c r="F51" s="4">
        <v>503.36175738999998</v>
      </c>
      <c r="G51" s="4">
        <f t="shared" si="2"/>
        <v>466.70409674663517</v>
      </c>
      <c r="H51" s="4">
        <f t="shared" si="3"/>
        <v>-16.856054089674576</v>
      </c>
      <c r="I51" s="4">
        <f t="shared" si="1"/>
        <v>-0.25272404809555277</v>
      </c>
    </row>
    <row r="52" spans="2:9" ht="14.1" customHeight="1">
      <c r="B52" s="172" t="str">
        <f>IF(Indice_index!$Z$1=1,"Diferenças de consolidação","Consolidation differences")</f>
        <v>Diferenças de consolidação</v>
      </c>
      <c r="C52" s="4">
        <v>143.38026311999997</v>
      </c>
      <c r="D52" s="4">
        <v>0</v>
      </c>
      <c r="E52" s="4">
        <v>174.23531435999999</v>
      </c>
      <c r="F52" s="4">
        <v>0</v>
      </c>
      <c r="G52" s="4" t="str">
        <f t="shared" si="2"/>
        <v>-</v>
      </c>
      <c r="H52" s="4"/>
      <c r="I52" s="4"/>
    </row>
    <row r="53" spans="2:9" ht="14.1" customHeight="1">
      <c r="B53" s="125" t="s">
        <v>8</v>
      </c>
      <c r="C53" s="4">
        <f>SUM(C54:C55,C60:C61)</f>
        <v>324.41140663000004</v>
      </c>
      <c r="D53" s="4">
        <f>SUM(D54:D55,D60:D61)</f>
        <v>785.80446499999994</v>
      </c>
      <c r="E53" s="4">
        <f>SUM(E54:E55,E60:E61)</f>
        <v>253.57551612</v>
      </c>
      <c r="F53" s="4">
        <f>SUM(F54:F55,F60:F61)</f>
        <v>165.61364486000002</v>
      </c>
      <c r="G53" s="4">
        <f t="shared" si="2"/>
        <v>21.07568132232489</v>
      </c>
      <c r="H53" s="4">
        <f t="shared" ref="H53:H60" si="4">IF(IFERROR((F53-E53)/E53*100,"")&gt;500,"-",IFERROR((F53-E53)/E53*100,""))</f>
        <v>-34.688629488334996</v>
      </c>
      <c r="I53" s="4">
        <f t="shared" ref="I53:I59" si="5">IFERROR((F53-E53)/$E$62*100,"-")</f>
        <v>-0.21783894624065211</v>
      </c>
    </row>
    <row r="54" spans="2:9" ht="14.1" customHeight="1">
      <c r="B54" s="172" t="str">
        <f>IF(Indice_index!$Z$1=1,"Venda de bens de investimento","Sale of investment goods")</f>
        <v>Venda de bens de investimento</v>
      </c>
      <c r="C54" s="4">
        <v>3.1043571999999999</v>
      </c>
      <c r="D54" s="4">
        <v>420.23154599999998</v>
      </c>
      <c r="E54" s="4">
        <v>3.0500319999999999</v>
      </c>
      <c r="F54" s="4">
        <v>9.4411079999999994E-2</v>
      </c>
      <c r="G54" s="4">
        <f t="shared" si="2"/>
        <v>2.2466442821501079E-2</v>
      </c>
      <c r="H54" s="4">
        <f t="shared" si="4"/>
        <v>-96.904587230560196</v>
      </c>
      <c r="I54" s="4">
        <f t="shared" si="5"/>
        <v>-7.3196413113645591E-3</v>
      </c>
    </row>
    <row r="55" spans="2:9" ht="14.1" customHeight="1">
      <c r="B55" s="172" t="str">
        <f>IF(Indice_index!$Z$1=1,"Transferências de capital","Capital transfers")</f>
        <v>Transferências de capital</v>
      </c>
      <c r="C55" s="4">
        <f>SUM(C56:C59)</f>
        <v>175.98204077000003</v>
      </c>
      <c r="D55" s="4">
        <f>SUM(D56:D59)</f>
        <v>362.15110699999997</v>
      </c>
      <c r="E55" s="4">
        <f>SUM(E56:E59)</f>
        <v>110.14814324000001</v>
      </c>
      <c r="F55" s="4">
        <f>SUM(F56:F59)</f>
        <v>154.08400725000001</v>
      </c>
      <c r="G55" s="4">
        <f t="shared" si="2"/>
        <v>42.546882854067881</v>
      </c>
      <c r="H55" s="4">
        <f t="shared" si="4"/>
        <v>39.88797515566727</v>
      </c>
      <c r="I55" s="4">
        <f t="shared" si="5"/>
        <v>0.10880785255035053</v>
      </c>
    </row>
    <row r="56" spans="2:9" ht="14.1" customHeight="1">
      <c r="B56" s="284" t="str">
        <f>IF(Indice_index!$Z$1=1,"Administração Central","Central Administration")</f>
        <v>Administração Central</v>
      </c>
      <c r="C56" s="4">
        <v>43.97403189000002</v>
      </c>
      <c r="D56" s="4">
        <v>48.038670999999979</v>
      </c>
      <c r="E56" s="4">
        <v>16.379840680000001</v>
      </c>
      <c r="F56" s="4">
        <v>73.532350449999996</v>
      </c>
      <c r="G56" s="4">
        <f t="shared" si="2"/>
        <v>153.06907730648925</v>
      </c>
      <c r="H56" s="4">
        <f t="shared" si="4"/>
        <v>348.91981482935887</v>
      </c>
      <c r="I56" s="4">
        <f t="shared" si="5"/>
        <v>0.14153908193363937</v>
      </c>
    </row>
    <row r="57" spans="2:9" ht="14.1" customHeight="1">
      <c r="B57" s="284" t="str">
        <f>IF(Indice_index!$Z$1=1,"Outros subsetores das Administrações Públicas","Other General Government subsectors")</f>
        <v>Outros subsetores das Administrações Públicas</v>
      </c>
      <c r="C57" s="4">
        <v>2.015602E-2</v>
      </c>
      <c r="D57" s="4">
        <v>1.6809689999999999</v>
      </c>
      <c r="E57" s="4">
        <v>0</v>
      </c>
      <c r="F57" s="4">
        <v>2.0725940000000002E-2</v>
      </c>
      <c r="G57" s="4">
        <f>IFERROR(IF(F57/D57*100&lt;-500,"-",IF(F57/D57*100&gt;500,"-",F57/D57*100)),"-")</f>
        <v>1.2329757419678768</v>
      </c>
      <c r="H57" s="4" t="str">
        <f t="shared" si="4"/>
        <v>-</v>
      </c>
      <c r="I57" s="4">
        <f t="shared" si="5"/>
        <v>5.1328113701693237E-5</v>
      </c>
    </row>
    <row r="58" spans="2:9" ht="14.1" customHeight="1">
      <c r="B58" s="284" t="str">
        <f>IF(Indice_index!$Z$1=1,"União Europeia","European Union")</f>
        <v>União Europeia</v>
      </c>
      <c r="C58" s="4">
        <v>125.70676276</v>
      </c>
      <c r="D58" s="4">
        <v>312.18987700000002</v>
      </c>
      <c r="E58" s="4">
        <v>89.252722520000006</v>
      </c>
      <c r="F58" s="4">
        <v>76.670981900000001</v>
      </c>
      <c r="G58" s="4">
        <f t="shared" si="2"/>
        <v>24.559086488252788</v>
      </c>
      <c r="H58" s="4">
        <f t="shared" si="4"/>
        <v>-14.096758356229024</v>
      </c>
      <c r="I58" s="4">
        <f t="shared" si="5"/>
        <v>-3.1158876900568695E-2</v>
      </c>
    </row>
    <row r="59" spans="2:9" ht="14.1" customHeight="1">
      <c r="B59" s="284" t="str">
        <f>IF(Indice_index!$Z$1=1,"Outros","Others")</f>
        <v>Outros</v>
      </c>
      <c r="C59" s="4">
        <v>6.2810901000000001</v>
      </c>
      <c r="D59" s="4">
        <v>0.24159</v>
      </c>
      <c r="E59" s="4">
        <v>4.5155800399999997</v>
      </c>
      <c r="F59" s="4">
        <v>3.8599489600000001</v>
      </c>
      <c r="G59" s="4" t="str">
        <f t="shared" si="2"/>
        <v>-</v>
      </c>
      <c r="H59" s="4">
        <f t="shared" si="4"/>
        <v>-14.519310347558353</v>
      </c>
      <c r="I59" s="4">
        <f t="shared" si="5"/>
        <v>-1.6236805964218713E-3</v>
      </c>
    </row>
    <row r="60" spans="2:9" ht="14.1" customHeight="1">
      <c r="B60" s="172" t="str">
        <f>IF(Indice_index!$Z$1=1,"Outras receitas de capital","Other capital revenue")</f>
        <v>Outras receitas de capital</v>
      </c>
      <c r="C60" s="4">
        <v>145.32500866000001</v>
      </c>
      <c r="D60" s="4">
        <v>3.4218120000000001</v>
      </c>
      <c r="E60" s="4">
        <v>140.37734087999999</v>
      </c>
      <c r="F60" s="4">
        <v>3.7179794300000002</v>
      </c>
      <c r="G60" s="4">
        <f t="shared" si="2"/>
        <v>108.65528059402445</v>
      </c>
      <c r="H60" s="4">
        <f t="shared" si="4"/>
        <v>-97.35143905227676</v>
      </c>
      <c r="I60" s="4">
        <f>IFERROR((F60-E60)/$E$62*100,"-")</f>
        <v>-0.33843904029956628</v>
      </c>
    </row>
    <row r="61" spans="2:9" ht="14.1" customHeight="1">
      <c r="B61" s="172" t="str">
        <f>IF(Indice_index!$Z$1=1,"Diferenças de consolidação","Consolidation differences")</f>
        <v>Diferenças de consolidação</v>
      </c>
      <c r="C61" s="4">
        <v>0</v>
      </c>
      <c r="D61" s="4">
        <v>1.4210854715202004E-14</v>
      </c>
      <c r="E61" s="4">
        <v>0</v>
      </c>
      <c r="F61" s="4">
        <v>7.7172470999999998</v>
      </c>
      <c r="G61" s="4" t="str">
        <f t="shared" si="2"/>
        <v>-</v>
      </c>
      <c r="H61" s="4"/>
      <c r="I61" s="4"/>
    </row>
    <row r="62" spans="2:9" ht="14.1" customHeight="1">
      <c r="B62" s="30" t="str">
        <f>IF(Indice_index!$Z$1=1,"Receita efetiva","Effective Revenue")</f>
        <v>Receita efetiva</v>
      </c>
      <c r="C62" s="18">
        <f>+C12+C26+C29</f>
        <v>66361.382219010004</v>
      </c>
      <c r="D62" s="18">
        <f>+D12+D26+D29</f>
        <v>69231.378497999991</v>
      </c>
      <c r="E62" s="18">
        <f>+E12+E26+E29</f>
        <v>40379.31360668</v>
      </c>
      <c r="F62" s="18">
        <f>+F12+F26+F29</f>
        <v>43192.984549250003</v>
      </c>
      <c r="G62" s="18">
        <f>IFERROR(IF(F62/D62*100&lt;-500,"-",IF(F62/D62*100&gt;500,"-",F62/D62*100)),"-")</f>
        <v>62.389317512286425</v>
      </c>
      <c r="H62" s="18">
        <f>IFERROR((F62-E62)/E62*100,"-")</f>
        <v>6.9680999780653368</v>
      </c>
      <c r="I62" s="18"/>
    </row>
    <row r="63" spans="2:9" ht="14.1" customHeight="1">
      <c r="B63" s="285" t="str">
        <f>IF(Indice_index!$Z$1=1,"   Por memória:","   Memo item:")</f>
        <v xml:space="preserve">   Por memória:</v>
      </c>
      <c r="C63" s="4"/>
      <c r="D63" s="4"/>
      <c r="E63" s="4"/>
      <c r="F63" s="4"/>
      <c r="G63" s="4"/>
      <c r="H63" s="4"/>
      <c r="I63" s="4"/>
    </row>
    <row r="64" spans="2:9" ht="14.1" customHeight="1">
      <c r="B64" s="172" t="str">
        <f>IF(Indice_index!$Z$1=1,"Ativos financeiros","Financial assets")</f>
        <v>Ativos financeiros</v>
      </c>
      <c r="C64" s="4">
        <f>SUM(C65:C66)</f>
        <v>485.00960067</v>
      </c>
      <c r="D64" s="4">
        <f>SUM(D65:D66)</f>
        <v>202.03254999999999</v>
      </c>
      <c r="E64" s="4">
        <f>SUM(E65:E66)</f>
        <v>247.04308592999999</v>
      </c>
      <c r="F64" s="4">
        <f>SUM(F65:F66)</f>
        <v>217.18692238</v>
      </c>
      <c r="G64" s="4"/>
      <c r="H64" s="4"/>
      <c r="I64" s="4"/>
    </row>
    <row r="65" spans="2:9" ht="14.1" customHeight="1">
      <c r="B65" s="284" t="str">
        <f>IF(Indice_index!$Z$1=1,"Alienação de partes sociais de empresas","Divestment of company shares")</f>
        <v>Alienação de partes sociais de empresas</v>
      </c>
      <c r="C65" s="4"/>
      <c r="D65" s="4"/>
      <c r="E65" s="4">
        <v>0</v>
      </c>
      <c r="F65" s="4">
        <v>0</v>
      </c>
      <c r="G65" s="4"/>
      <c r="H65" s="4"/>
      <c r="I65" s="4"/>
    </row>
    <row r="66" spans="2:9" ht="14.1" customHeight="1">
      <c r="B66" s="284" t="str">
        <f>IF(Indice_index!$Z$1=1,"Outros ativos","Other assets")</f>
        <v>Outros ativos</v>
      </c>
      <c r="C66" s="4">
        <v>485.00960067</v>
      </c>
      <c r="D66" s="4">
        <v>202.03254999999999</v>
      </c>
      <c r="E66" s="4">
        <v>247.04308592999999</v>
      </c>
      <c r="F66" s="4">
        <v>217.18692238</v>
      </c>
      <c r="G66" s="4"/>
      <c r="H66" s="4"/>
      <c r="I66" s="4"/>
    </row>
    <row r="67" spans="2:9" ht="14.1" customHeight="1">
      <c r="B67" s="172" t="str">
        <f>IF(Indice_index!$Z$1=1,"Passivos financeiros","Financial liabilities")</f>
        <v>Passivos financeiros</v>
      </c>
      <c r="C67" s="4">
        <v>110845.1689802</v>
      </c>
      <c r="D67" s="4">
        <v>189895.342898</v>
      </c>
      <c r="E67" s="4">
        <v>71489.680521539995</v>
      </c>
      <c r="F67" s="4">
        <v>78449.20267405</v>
      </c>
      <c r="G67" s="4"/>
      <c r="H67" s="4"/>
      <c r="I67" s="4"/>
    </row>
    <row r="68" spans="2:9" ht="14.1" customHeight="1">
      <c r="B68" s="286" t="str">
        <f>IF(Indice_index!$Z$1=1,"Saldo da gerência anterior","Previous management balance")</f>
        <v>Saldo da gerência anterior</v>
      </c>
      <c r="C68" s="19">
        <v>-2.8319349599999999</v>
      </c>
      <c r="D68" s="19"/>
      <c r="E68" s="19">
        <v>-2.8319349600008699</v>
      </c>
      <c r="F68" s="19">
        <v>1.28331157611683E-12</v>
      </c>
      <c r="G68" s="19"/>
      <c r="H68" s="19"/>
      <c r="I68" s="19"/>
    </row>
    <row r="69" spans="2:9">
      <c r="B69" s="9" t="str">
        <f>IF(Indice_index!$Z$1=1,"Notas:","Notes:")</f>
        <v>Notas:</v>
      </c>
      <c r="C69" s="9"/>
      <c r="D69" s="9"/>
      <c r="E69" s="9"/>
      <c r="F69" s="9"/>
      <c r="G69" s="9"/>
      <c r="H69" s="9"/>
      <c r="I69" s="9"/>
    </row>
    <row r="70" spans="2:9">
      <c r="B70" s="395" t="str">
        <f>IF(Indice_index!$Z$1=1,"Valores registados no Sistema Central de Receitas (SCR).","Amounts accounted for on the Central Revenue System (SCR).")</f>
        <v>Valores registados no Sistema Central de Receitas (SCR).</v>
      </c>
      <c r="C70" s="395"/>
      <c r="D70" s="395"/>
      <c r="E70" s="395"/>
      <c r="F70" s="395"/>
      <c r="G70" s="395"/>
      <c r="H70" s="395"/>
      <c r="I70" s="395"/>
    </row>
    <row r="71" spans="2:9">
      <c r="B71" s="392" t="str">
        <f>+'3 - Conta AC + SS'!$B$61</f>
        <v>Os dados de 2024 são mensalmente revistos e atualizados face ao publicado nas Sínteses de Execução Orçamental de 2024.</v>
      </c>
      <c r="C71" s="392"/>
      <c r="D71" s="392"/>
      <c r="E71" s="392"/>
      <c r="F71" s="392"/>
      <c r="G71" s="392"/>
      <c r="H71" s="392"/>
      <c r="I71" s="392"/>
    </row>
    <row r="72" spans="2:9">
      <c r="B72" s="395" t="str">
        <f>IF(Indice_index!$Z$1=1,"As cobranças líquidas negativas, ou inferiores ao mês anterior, resultam de estornos ou de pagamentos de reembolso e/ou restituição.","Negative net collections or inferior than those of the previous month result from reversals or reimbursement and/or restitution payments.")</f>
        <v>As cobranças líquidas negativas, ou inferiores ao mês anterior, resultam de estornos ou de pagamentos de reembolso e/ou restituição.</v>
      </c>
      <c r="C72" s="395"/>
      <c r="D72" s="395"/>
      <c r="E72" s="395"/>
      <c r="F72" s="395"/>
      <c r="G72" s="395"/>
      <c r="H72" s="395"/>
      <c r="I72" s="395"/>
    </row>
    <row r="73" spans="2:9">
      <c r="B73" s="147" t="str">
        <f>IF(Indice_index!$Z$1=1,"Fonte: Entidade Orçamental.","Source: Budgetary Entity.")</f>
        <v>Fonte: Entidade Orçamental.</v>
      </c>
      <c r="C73" s="147"/>
      <c r="D73" s="147"/>
    </row>
    <row r="74" spans="2:9"/>
  </sheetData>
  <mergeCells count="6">
    <mergeCell ref="B72:I72"/>
    <mergeCell ref="B10:B11"/>
    <mergeCell ref="E10:F10"/>
    <mergeCell ref="H10:I10"/>
    <mergeCell ref="B70:I70"/>
    <mergeCell ref="B71:I71"/>
  </mergeCells>
  <conditionalFormatting sqref="C12:I61">
    <cfRule type="cellIs" dxfId="63" priority="2" operator="equal">
      <formula>0</formula>
    </cfRule>
  </conditionalFormatting>
  <conditionalFormatting sqref="C63:I68">
    <cfRule type="cellIs" dxfId="62" priority="1" operator="equal">
      <formula>0</formula>
    </cfRule>
  </conditionalFormatting>
  <pageMargins left="0.70866141732283472" right="0.70866141732283472" top="0.74803149606299213" bottom="0.74803149606299213" header="0.31496062992125984" footer="0.31496062992125984"/>
  <pageSetup paperSize="9" scale="71" orientation="portrait" r:id="rId1"/>
  <ignoredErrors>
    <ignoredError sqref="D30:F31 C46:F46 C64:F64 D36:F36 C40:F40 C53:F53 C55:F55 E17:F17 C30" formulaRange="1"/>
  </ignoredError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Ordem xmlns="0765058e-95b3-4ff3-80c4-5ff3bc59ec36">2</Ordem>
    <Mes xmlns="23bc334f-0e17-402a-872b-0123af4c73a8">9</Mes>
    <_dlc_DocId xmlns="23bc334f-0e17-402a-872b-0123af4c73a8">X4XX2SRTQWXX-37-1892</_dlc_DocId>
    <_dlc_DocIdUrl xmlns="23bc334f-0e17-402a-872b-0123af4c73a8">
      <Url>https://www.eo.gov.pt/execucaoorcamental/_layouts/15/DocIdRedir.aspx?ID=X4XX2SRTQWXX-37-1892</Url>
      <Description>X4XX2SRTQWXX-37-1892</Description>
    </_dlc_DocIdUrl>
    <Ano xmlns="23bc334f-0e17-402a-872b-0123af4c73a8">68</Ano>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D200C6C5585014EA355E4441A780B35" ma:contentTypeVersion="3" ma:contentTypeDescription="Criar um novo documento." ma:contentTypeScope="" ma:versionID="39ce4b9ecf3c5625da182453b2dd6f5e">
  <xsd:schema xmlns:xsd="http://www.w3.org/2001/XMLSchema" xmlns:xs="http://www.w3.org/2001/XMLSchema" xmlns:p="http://schemas.microsoft.com/office/2006/metadata/properties" xmlns:ns2="23bc334f-0e17-402a-872b-0123af4c73a8" xmlns:ns3="0765058e-95b3-4ff3-80c4-5ff3bc59ec36" targetNamespace="http://schemas.microsoft.com/office/2006/metadata/properties" ma:root="true" ma:fieldsID="0abda25f79b054e559cdec95c2419faf" ns2:_="" ns3:_="">
    <xsd:import namespace="23bc334f-0e17-402a-872b-0123af4c73a8"/>
    <xsd:import namespace="0765058e-95b3-4ff3-80c4-5ff3bc59ec36"/>
    <xsd:element name="properties">
      <xsd:complexType>
        <xsd:sequence>
          <xsd:element name="documentManagement">
            <xsd:complexType>
              <xsd:all>
                <xsd:element ref="ns2:Ano"/>
                <xsd:element ref="ns2:Mes"/>
                <xsd:element ref="ns3:Ordem"/>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bc334f-0e17-402a-872b-0123af4c73a8" elementFormDefault="qualified">
    <xsd:import namespace="http://schemas.microsoft.com/office/2006/documentManagement/types"/>
    <xsd:import namespace="http://schemas.microsoft.com/office/infopath/2007/PartnerControls"/>
    <xsd:element name="Ano" ma:index="8" ma:displayName="Ano" ma:list="{966f2760-667a-45cb-8ed1-c972f4e2f9db}" ma:internalName="Ano" ma:showField="Title" ma:web="23bc334f-0e17-402a-872b-0123af4c73a8">
      <xsd:simpleType>
        <xsd:restriction base="dms:Lookup"/>
      </xsd:simpleType>
    </xsd:element>
    <xsd:element name="Mes" ma:index="9" ma:displayName="Mes" ma:list="{eace2fa2-25a5-411e-924e-acb9b055deb3}" ma:internalName="Mes" ma:showField="Title" ma:web="23bc334f-0e17-402a-872b-0123af4c73a8">
      <xsd:simpleType>
        <xsd:restriction base="dms:Lookup"/>
      </xsd:simpleType>
    </xsd:element>
    <xsd:element name="_dlc_DocId" ma:index="11" nillable="true" ma:displayName="Valor do ID do Documento" ma:description="O valor do ID do documento atribuído a este item." ma:internalName="_dlc_DocId" ma:readOnly="true">
      <xsd:simpleType>
        <xsd:restriction base="dms:Text"/>
      </xsd:simpleType>
    </xsd:element>
    <xsd:element name="_dlc_DocIdUrl" ma:index="12" nillable="true" ma:displayName="ID do Documento" ma:description="Ligação permanente a este documento."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3"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0765058e-95b3-4ff3-80c4-5ff3bc59ec36" elementFormDefault="qualified">
    <xsd:import namespace="http://schemas.microsoft.com/office/2006/documentManagement/types"/>
    <xsd:import namespace="http://schemas.microsoft.com/office/infopath/2007/PartnerControls"/>
    <xsd:element name="Ordem" ma:index="10" ma:displayName="Ordem" ma:internalName="Ordem">
      <xsd:simpleType>
        <xsd:restriction base="dms:Number"/>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56923BD-AEEB-47C8-931A-DADC7752F3BE}"/>
</file>

<file path=customXml/itemProps2.xml><?xml version="1.0" encoding="utf-8"?>
<ds:datastoreItem xmlns:ds="http://schemas.openxmlformats.org/officeDocument/2006/customXml" ds:itemID="{AAE11E14-F6D6-4D47-BB89-FC89C5887800}"/>
</file>

<file path=customXml/itemProps3.xml><?xml version="1.0" encoding="utf-8"?>
<ds:datastoreItem xmlns:ds="http://schemas.openxmlformats.org/officeDocument/2006/customXml" ds:itemID="{F431772A-C1C6-4204-A711-B5C4B3A2E50B}"/>
</file>

<file path=customXml/itemProps4.xml><?xml version="1.0" encoding="utf-8"?>
<ds:datastoreItem xmlns:ds="http://schemas.openxmlformats.org/officeDocument/2006/customXml" ds:itemID="{D98B45A5-5815-4867-8019-F8B170C640B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29</vt:i4>
      </vt:variant>
      <vt:variant>
        <vt:lpstr>Intervalos com Nome</vt:lpstr>
      </vt:variant>
      <vt:variant>
        <vt:i4>43</vt:i4>
      </vt:variant>
    </vt:vector>
  </HeadingPairs>
  <TitlesOfParts>
    <vt:vector size="72" baseType="lpstr">
      <vt:lpstr>Capa</vt:lpstr>
      <vt:lpstr>Indice_index</vt:lpstr>
      <vt:lpstr>1 - Saldo Global Rec Desp</vt:lpstr>
      <vt:lpstr>2 - Conta Consol AP</vt:lpstr>
      <vt:lpstr>2 - Conta Consol AP_Texto</vt:lpstr>
      <vt:lpstr>3 - Conta AC + SS</vt:lpstr>
      <vt:lpstr>4 - Conta AC</vt:lpstr>
      <vt:lpstr>5 - Estado</vt:lpstr>
      <vt:lpstr>6 - R_Est</vt:lpstr>
      <vt:lpstr>7 - SFA</vt:lpstr>
      <vt:lpstr>8 - EPR</vt:lpstr>
      <vt:lpstr>9 - CGA</vt:lpstr>
      <vt:lpstr>10 - SS</vt:lpstr>
      <vt:lpstr>11 - SS Eco</vt:lpstr>
      <vt:lpstr>12 - Adm R</vt:lpstr>
      <vt:lpstr>13 - Adm Loc</vt:lpstr>
      <vt:lpstr>14 - PRR Conta AC</vt:lpstr>
      <vt:lpstr>15 - PRR Exec Programa</vt:lpstr>
      <vt:lpstr>16 - PRR Exec Componente</vt:lpstr>
      <vt:lpstr>17 - Despesa Ativos </vt:lpstr>
      <vt:lpstr>18 - SNS exec fin</vt:lpstr>
      <vt:lpstr>19 - Dív não Fin</vt:lpstr>
      <vt:lpstr>20 - CGA Ind</vt:lpstr>
      <vt:lpstr>21 - Ef Temp AC+SS</vt:lpstr>
      <vt:lpstr>22 - Estimativas</vt:lpstr>
      <vt:lpstr>23 - Util. Cond. Dot. Orç</vt:lpstr>
      <vt:lpstr>24 - Desp. Efetiva por PO</vt:lpstr>
      <vt:lpstr>25 - Fator. explic. Contas Nac.</vt:lpstr>
      <vt:lpstr>26 - Lista Entidades AC 2025</vt:lpstr>
      <vt:lpstr>'26 - Lista Entidades AC 2025'!_Toc168407188</vt:lpstr>
      <vt:lpstr>'26 - Lista Entidades AC 2025'!_Toc168407189</vt:lpstr>
      <vt:lpstr>'26 - Lista Entidades AC 2025'!_Toc168407190</vt:lpstr>
      <vt:lpstr>'26 - Lista Entidades AC 2025'!_Toc168407191</vt:lpstr>
      <vt:lpstr>'26 - Lista Entidades AC 2025'!_Toc168407192</vt:lpstr>
      <vt:lpstr>'26 - Lista Entidades AC 2025'!_Toc168407193</vt:lpstr>
      <vt:lpstr>'26 - Lista Entidades AC 2025'!_Toc168407194</vt:lpstr>
      <vt:lpstr>'26 - Lista Entidades AC 2025'!_Toc168407196</vt:lpstr>
      <vt:lpstr>'26 - Lista Entidades AC 2025'!_Toc168407197</vt:lpstr>
      <vt:lpstr>'26 - Lista Entidades AC 2025'!_Toc168407198</vt:lpstr>
      <vt:lpstr>'26 - Lista Entidades AC 2025'!_Toc168407199</vt:lpstr>
      <vt:lpstr>'26 - Lista Entidades AC 2025'!_Toc168407200</vt:lpstr>
      <vt:lpstr>'26 - Lista Entidades AC 2025'!_Toc168407201</vt:lpstr>
      <vt:lpstr>'26 - Lista Entidades AC 2025'!_Toc168407202</vt:lpstr>
      <vt:lpstr>'26 - Lista Entidades AC 2025'!_Toc168407203</vt:lpstr>
      <vt:lpstr>'26 - Lista Entidades AC 2025'!_Toc168407204</vt:lpstr>
      <vt:lpstr>'1 - Saldo Global Rec Desp'!Área_de_Impressão</vt:lpstr>
      <vt:lpstr>'10 - SS'!Área_de_Impressão</vt:lpstr>
      <vt:lpstr>'11 - SS Eco'!Área_de_Impressão</vt:lpstr>
      <vt:lpstr>'12 - Adm R'!Área_de_Impressão</vt:lpstr>
      <vt:lpstr>'13 - Adm Loc'!Área_de_Impressão</vt:lpstr>
      <vt:lpstr>'17 - Despesa Ativos '!Área_de_Impressão</vt:lpstr>
      <vt:lpstr>'18 - SNS exec fin'!Área_de_Impressão</vt:lpstr>
      <vt:lpstr>'19 - Dív não Fin'!Área_de_Impressão</vt:lpstr>
      <vt:lpstr>'2 - Conta Consol AP'!Área_de_Impressão</vt:lpstr>
      <vt:lpstr>'2 - Conta Consol AP_Texto'!Área_de_Impressão</vt:lpstr>
      <vt:lpstr>'20 - CGA Ind'!Área_de_Impressão</vt:lpstr>
      <vt:lpstr>'21 - Ef Temp AC+SS'!Área_de_Impressão</vt:lpstr>
      <vt:lpstr>'22 - Estimativas'!Área_de_Impressão</vt:lpstr>
      <vt:lpstr>'23 - Util. Cond. Dot. Orç'!Área_de_Impressão</vt:lpstr>
      <vt:lpstr>'24 - Desp. Efetiva por PO'!Área_de_Impressão</vt:lpstr>
      <vt:lpstr>'26 - Lista Entidades AC 2025'!Área_de_Impressão</vt:lpstr>
      <vt:lpstr>'3 - Conta AC + SS'!Área_de_Impressão</vt:lpstr>
      <vt:lpstr>'4 - Conta AC'!Área_de_Impressão</vt:lpstr>
      <vt:lpstr>'5 - Estado'!Área_de_Impressão</vt:lpstr>
      <vt:lpstr>'6 - R_Est'!Área_de_Impressão</vt:lpstr>
      <vt:lpstr>'7 - SFA'!Área_de_Impressão</vt:lpstr>
      <vt:lpstr>'8 - EPR'!Área_de_Impressão</vt:lpstr>
      <vt:lpstr>'9 - CGA'!Área_de_Impressão</vt:lpstr>
      <vt:lpstr>Capa!Print_Area</vt:lpstr>
      <vt:lpstr>'2 - Conta Consol AP'!Títulos_de_Impressão</vt:lpstr>
      <vt:lpstr>'20 - CGA Ind'!Títulos_de_Impressão</vt:lpstr>
      <vt:lpstr>'23 - Util. Cond. Dot. Orç'!Títulos_de_Impressão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Anexos Estatísticos | &lt;em&gt; Statistics Information &lt;/em&gt;</dc:title>
  <dc:creator>Débora Reguengo</dc:creator>
  <cp:lastModifiedBy>Jorge Domingos</cp:lastModifiedBy>
  <cp:lastPrinted>2024-04-12T10:58:52Z</cp:lastPrinted>
  <dcterms:created xsi:type="dcterms:W3CDTF">2023-03-27T21:42:46Z</dcterms:created>
  <dcterms:modified xsi:type="dcterms:W3CDTF">2025-09-25T16:44:55Z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0x010100ED200C6C5585014EA355E4441A780B35</vt:lpwstr>
  </property>
  <property fmtid="{D5CDD505-2E9C-101B-9397-08002B2CF9AE}" pid="3" name="_dlc_DocIdItemGuid">
    <vt:lpwstr>4506c7ce-873e-4350-83e0-f3579b58a068</vt:lpwstr>
  </property>
</Properties>
</file>