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EsteLivro" defaultThemeVersion="166925"/>
  <mc:AlternateContent xmlns:mc="http://schemas.openxmlformats.org/markup-compatibility/2006">
    <mc:Choice Requires="x15">
      <x15ac:absPath xmlns:x15ac="http://schemas.microsoft.com/office/spreadsheetml/2010/11/ac" url="Y:\2-BOLETINS\Sínteses 2025\02 - Quadros textos\09-Setembro\xxxx_Documentação Relativa à Publicação\xxxx_Final_Envio_Publicação\"/>
    </mc:Choice>
  </mc:AlternateContent>
  <xr:revisionPtr revIDLastSave="0" documentId="13_ncr:1_{DA83874B-0EDC-465C-A0B3-A8B29664429A}" xr6:coauthVersionLast="47" xr6:coauthVersionMax="47" xr10:uidLastSave="{00000000-0000-0000-0000-000000000000}"/>
  <bookViews>
    <workbookView xWindow="-120" yWindow="-120" windowWidth="30960" windowHeight="16800" tabRatio="818" activeTab="1" xr2:uid="{00000000-000D-0000-FFFF-FFFF00000000}"/>
  </bookViews>
  <sheets>
    <sheet name="Capa" sheetId="36"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37"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2025'!$B$50</definedName>
    <definedName name="_Toc168407191" localSheetId="28">'26 - Lista Entidades AC 2025'!$B$56</definedName>
    <definedName name="_Toc168407192" localSheetId="28">'26 - Lista Entidades AC 2025'!$B$92</definedName>
    <definedName name="_Toc168407193" localSheetId="28">'26 - Lista Entidades AC 2025'!$B$94</definedName>
    <definedName name="_Toc168407194" localSheetId="28">'26 - Lista Entidades AC 2025'!$B$112</definedName>
    <definedName name="_Toc168407195" localSheetId="28">'26 - Lista Entidades AC 2025'!#REF!</definedName>
    <definedName name="_Toc168407196" localSheetId="28">'26 - Lista Entidades AC 2025'!$B$136</definedName>
    <definedName name="_Toc168407197" localSheetId="28">'26 - Lista Entidades AC 2025'!$B$149</definedName>
    <definedName name="_Toc168407198" localSheetId="28">'26 - Lista Entidades AC 2025'!$B$164</definedName>
    <definedName name="_Toc168407199" localSheetId="28">'26 - Lista Entidades AC 2025'!$B$258</definedName>
    <definedName name="_Toc168407200" localSheetId="28">'26 - Lista Entidades AC 2025'!$B$282</definedName>
    <definedName name="_Toc168407201" localSheetId="28">'26 - Lista Entidades AC 2025'!$B$321</definedName>
    <definedName name="_Toc168407202" localSheetId="28">'26 - Lista Entidades AC 2025'!$B$383</definedName>
    <definedName name="_Toc168407203" localSheetId="28">'26 - Lista Entidades AC 2025'!$B$402</definedName>
    <definedName name="_Toc168407204" localSheetId="28">'26 - Lista Entidades AC 2025'!$B$434</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Fin'!$B$2:$Q$57</definedName>
    <definedName name="_xlnm.Print_Area" localSheetId="3">'2 - Conta Consol AP'!$B$2:$N$108</definedName>
    <definedName name="_xlnm.Print_Area" localSheetId="4">'2 - Conta Consol AP_Texto'!$B$2:$L$50</definedName>
    <definedName name="_xlnm.Print_Area" localSheetId="22">'20 - CGA Ind'!$B$2:$O$188</definedName>
    <definedName name="_xlnm.Print_Area" localSheetId="23">'21 - Ef Temp AC+SS'!$B$2:$AE$92</definedName>
    <definedName name="_xlnm.Print_Area" localSheetId="24">'22 - Estimativas'!$B$2:$O$84</definedName>
    <definedName name="_xlnm.Print_Area" localSheetId="25">'23 - Util. Cond. Dot. Orç'!$B$2:$G$214</definedName>
    <definedName name="_xlnm.Print_Area" localSheetId="26">'24 - Desp. Efetiva por PO'!$B$2:$G$39</definedName>
    <definedName name="_xlnm.Print_Area" localSheetId="28">'26 - Lista Entidades AC 2025'!$B$2:$B$510</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 l="1"/>
  <c r="B516" i="27"/>
  <c r="B515" i="27"/>
  <c r="B514" i="27"/>
  <c r="C30" i="9" l="1"/>
  <c r="AA83" i="23"/>
  <c r="AA77" i="23"/>
  <c r="AA75" i="23" l="1"/>
  <c r="B84" i="37" l="1"/>
  <c r="B83" i="37"/>
  <c r="B9" i="37"/>
  <c r="B87" i="37"/>
  <c r="B82" i="37"/>
  <c r="G43" i="37"/>
  <c r="F43" i="37"/>
  <c r="E43" i="37"/>
  <c r="D43" i="37"/>
  <c r="C43"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G9" i="37"/>
  <c r="B8" i="37"/>
  <c r="B6" i="37"/>
  <c r="B5" i="37"/>
  <c r="B509" i="27"/>
  <c r="B513" i="27"/>
  <c r="B511" i="27"/>
  <c r="AT19" i="35" l="1"/>
  <c r="AU19" i="35"/>
  <c r="AV19" i="35"/>
  <c r="AW19" i="35"/>
  <c r="AX19" i="35"/>
  <c r="AY19" i="35"/>
  <c r="AZ19" i="35"/>
  <c r="BA19" i="35"/>
  <c r="BB19" i="35"/>
  <c r="AG19" i="35"/>
  <c r="AH19" i="35"/>
  <c r="AI19" i="35"/>
  <c r="AJ19" i="35"/>
  <c r="AK19" i="35"/>
  <c r="AL19" i="35"/>
  <c r="AM19" i="35"/>
  <c r="AN19" i="35"/>
  <c r="AO19" i="35"/>
  <c r="S19" i="35"/>
  <c r="T19" i="35"/>
  <c r="U19" i="35"/>
  <c r="V19" i="35"/>
  <c r="W19" i="35"/>
  <c r="X19" i="35"/>
  <c r="Y19" i="35"/>
  <c r="Z19" i="35"/>
  <c r="AA19" i="35"/>
  <c r="F19" i="35"/>
  <c r="G19" i="35"/>
  <c r="H19" i="35"/>
  <c r="I19" i="35"/>
  <c r="J19" i="35"/>
  <c r="K19" i="35"/>
  <c r="L19" i="35"/>
  <c r="M19" i="35"/>
  <c r="N19" i="35"/>
  <c r="C56" i="21"/>
  <c r="C46" i="21"/>
  <c r="H13" i="19"/>
  <c r="H14" i="19"/>
  <c r="H15" i="19"/>
  <c r="H16" i="19"/>
  <c r="H17" i="19"/>
  <c r="H18" i="19"/>
  <c r="H19" i="19"/>
  <c r="H20" i="19"/>
  <c r="H21" i="19"/>
  <c r="H22" i="19"/>
  <c r="H23" i="19"/>
  <c r="H24" i="19"/>
  <c r="H25" i="19"/>
  <c r="H26" i="19"/>
  <c r="H27" i="19"/>
  <c r="H28" i="19"/>
  <c r="H29" i="19"/>
  <c r="H30" i="19"/>
  <c r="H31" i="19"/>
  <c r="H32" i="19"/>
  <c r="H33" i="19"/>
  <c r="H34" i="19"/>
  <c r="H12" i="19"/>
  <c r="B9" i="19" l="1"/>
  <c r="B35" i="21" l="1"/>
  <c r="B31" i="26" l="1"/>
  <c r="B30" i="26"/>
  <c r="B27" i="26"/>
  <c r="B28" i="26"/>
  <c r="B29" i="26"/>
  <c r="B26" i="26"/>
  <c r="B25" i="26"/>
  <c r="B24" i="26"/>
  <c r="B23" i="26"/>
  <c r="B21" i="26"/>
  <c r="F24" i="26"/>
  <c r="E24" i="26"/>
  <c r="F23" i="26"/>
  <c r="E23" i="26"/>
  <c r="J37" i="17"/>
  <c r="I37" i="17"/>
  <c r="J26" i="17"/>
  <c r="I26" i="17"/>
  <c r="G37" i="17"/>
  <c r="C26" i="17"/>
  <c r="B85" i="18"/>
  <c r="P41" i="21" l="1"/>
  <c r="O41" i="21"/>
  <c r="N41" i="21"/>
  <c r="M41" i="21"/>
  <c r="L41" i="21"/>
  <c r="K41" i="21"/>
  <c r="J41" i="21"/>
  <c r="I41" i="21"/>
  <c r="H41" i="21"/>
  <c r="G41" i="21"/>
  <c r="F41" i="21"/>
  <c r="E41" i="21"/>
  <c r="D41" i="21"/>
  <c r="Q16" i="21"/>
  <c r="P12" i="21"/>
  <c r="O31" i="21"/>
  <c r="N31" i="21"/>
  <c r="M31" i="21"/>
  <c r="L31" i="21"/>
  <c r="K31" i="21"/>
  <c r="J31" i="21"/>
  <c r="I31" i="21"/>
  <c r="H31" i="21"/>
  <c r="O12" i="21"/>
  <c r="N12" i="21"/>
  <c r="M12" i="21"/>
  <c r="L12" i="21"/>
  <c r="K12" i="21"/>
  <c r="J12" i="21"/>
  <c r="I12" i="21"/>
  <c r="H12" i="21"/>
  <c r="G31" i="21"/>
  <c r="F31" i="21"/>
  <c r="E31" i="21"/>
  <c r="D31" i="21"/>
  <c r="G12" i="21"/>
  <c r="F12" i="21"/>
  <c r="E12" i="21"/>
  <c r="D12" i="21"/>
  <c r="B212" i="25"/>
  <c r="G177" i="25" l="1"/>
  <c r="F177" i="25"/>
  <c r="E177" i="25"/>
  <c r="G174" i="25"/>
  <c r="F174" i="25"/>
  <c r="E174" i="25"/>
  <c r="G161" i="25"/>
  <c r="F161" i="25"/>
  <c r="E161" i="25"/>
  <c r="G158" i="25"/>
  <c r="F158" i="25"/>
  <c r="E158" i="25"/>
  <c r="G148" i="25"/>
  <c r="F148" i="25"/>
  <c r="E148" i="25"/>
  <c r="G139" i="25"/>
  <c r="F139" i="25"/>
  <c r="E139" i="25"/>
  <c r="G130" i="25"/>
  <c r="F130" i="25"/>
  <c r="E130" i="25"/>
  <c r="G117" i="25"/>
  <c r="F117" i="25"/>
  <c r="E117" i="25"/>
  <c r="G109" i="25"/>
  <c r="F109" i="25"/>
  <c r="E109" i="25"/>
  <c r="G90" i="25"/>
  <c r="F90" i="25"/>
  <c r="E90" i="25"/>
  <c r="G87" i="25"/>
  <c r="F87" i="25"/>
  <c r="E87" i="25"/>
  <c r="G81" i="25"/>
  <c r="F81" i="25"/>
  <c r="E81" i="25"/>
  <c r="G75" i="25"/>
  <c r="F75" i="25"/>
  <c r="E75" i="25"/>
  <c r="G61" i="25"/>
  <c r="F61" i="25"/>
  <c r="E61" i="25"/>
  <c r="G51" i="25"/>
  <c r="F51" i="25"/>
  <c r="E51" i="25"/>
  <c r="G36" i="25"/>
  <c r="F36" i="25"/>
  <c r="E36" i="25"/>
  <c r="G29" i="25"/>
  <c r="F29" i="25"/>
  <c r="E29" i="25"/>
  <c r="G25" i="25"/>
  <c r="F25" i="25"/>
  <c r="E25" i="25"/>
  <c r="G16" i="25"/>
  <c r="F16" i="25"/>
  <c r="E16" i="25"/>
  <c r="G204" i="25"/>
  <c r="F204" i="25"/>
  <c r="E204" i="25"/>
  <c r="D203" i="25"/>
  <c r="D202" i="25"/>
  <c r="B149" i="25"/>
  <c r="C149" i="25"/>
  <c r="C140" i="25"/>
  <c r="B140" i="25" l="1"/>
  <c r="B110" i="25"/>
  <c r="C82" i="25"/>
  <c r="D175" i="25"/>
  <c r="D173" i="25"/>
  <c r="D172" i="25"/>
  <c r="D171" i="25"/>
  <c r="D170" i="25"/>
  <c r="D169" i="25"/>
  <c r="D168" i="25"/>
  <c r="D167" i="25"/>
  <c r="D166" i="25"/>
  <c r="D165" i="25"/>
  <c r="D164" i="25"/>
  <c r="D163" i="25"/>
  <c r="D162" i="25"/>
  <c r="B175" i="25"/>
  <c r="B203" i="25" s="1"/>
  <c r="C175" i="25"/>
  <c r="B162" i="25"/>
  <c r="B202" i="25" s="1"/>
  <c r="C162" i="25"/>
  <c r="D147" i="25"/>
  <c r="D143" i="25"/>
  <c r="D132" i="25"/>
  <c r="F45" i="5"/>
  <c r="E45" i="5"/>
  <c r="E43" i="5" s="1"/>
  <c r="E50" i="5" s="1"/>
  <c r="E52" i="5" s="1"/>
  <c r="F43" i="5"/>
  <c r="F50" i="5" s="1"/>
  <c r="F52" i="5" s="1"/>
  <c r="F37" i="5"/>
  <c r="E37" i="5"/>
  <c r="F31" i="5"/>
  <c r="E31" i="5"/>
  <c r="F30" i="5"/>
  <c r="E30" i="5"/>
  <c r="F24" i="5"/>
  <c r="E24" i="5"/>
  <c r="E22" i="5" s="1"/>
  <c r="F22" i="5"/>
  <c r="F29" i="5" s="1"/>
  <c r="F17" i="5"/>
  <c r="E17" i="5"/>
  <c r="F13" i="5"/>
  <c r="E13" i="5"/>
  <c r="F12" i="5"/>
  <c r="F53" i="5" s="1"/>
  <c r="E12" i="5"/>
  <c r="E53" i="5" s="1"/>
  <c r="B33" i="32"/>
  <c r="B32" i="32"/>
  <c r="B31" i="32"/>
  <c r="B30" i="32"/>
  <c r="B29" i="32"/>
  <c r="B23" i="32"/>
  <c r="B28" i="32"/>
  <c r="B27" i="32"/>
  <c r="B26" i="32"/>
  <c r="B25" i="32"/>
  <c r="B24" i="32"/>
  <c r="B22" i="32"/>
  <c r="B21" i="32"/>
  <c r="B20" i="32"/>
  <c r="B19" i="32"/>
  <c r="B18" i="32"/>
  <c r="B17" i="32"/>
  <c r="B16" i="32"/>
  <c r="B15" i="32"/>
  <c r="E27" i="13"/>
  <c r="E17" i="6"/>
  <c r="Q85" i="23"/>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7" i="23"/>
  <c r="Q56" i="23"/>
  <c r="Q55" i="23"/>
  <c r="Q54" i="23"/>
  <c r="F11" i="19"/>
  <c r="E11" i="19"/>
  <c r="B6" i="27"/>
  <c r="B9" i="25"/>
  <c r="B6" i="35"/>
  <c r="B6" i="26"/>
  <c r="B6" i="25"/>
  <c r="B6" i="23"/>
  <c r="B6" i="29"/>
  <c r="B6" i="21"/>
  <c r="B6" i="20"/>
  <c r="B6" i="19"/>
  <c r="B6" i="33"/>
  <c r="B6" i="32"/>
  <c r="B6" i="31"/>
  <c r="B6" i="18"/>
  <c r="B6" i="17"/>
  <c r="B6" i="16"/>
  <c r="B6" i="15"/>
  <c r="B6" i="14"/>
  <c r="B6" i="13"/>
  <c r="B6" i="12"/>
  <c r="B6" i="11"/>
  <c r="B6" i="10"/>
  <c r="B6" i="6"/>
  <c r="B6" i="5"/>
  <c r="B6" i="2"/>
  <c r="B9" i="5"/>
  <c r="B6" i="1"/>
  <c r="E9" i="9"/>
  <c r="D9" i="9"/>
  <c r="F9" i="9"/>
  <c r="D4" i="9"/>
  <c r="A19" i="36"/>
  <c r="E18" i="35"/>
  <c r="E22" i="35"/>
  <c r="C22" i="35"/>
  <c r="D22" i="35"/>
  <c r="D174" i="25" l="1"/>
  <c r="C202" i="25"/>
  <c r="D177" i="25"/>
  <c r="C203" i="25"/>
  <c r="F51" i="5"/>
  <c r="F55" i="5" s="1"/>
  <c r="E54" i="5"/>
  <c r="E29" i="5"/>
  <c r="E51" i="5" s="1"/>
  <c r="E55" i="5" s="1"/>
  <c r="F54" i="5"/>
  <c r="E21" i="35"/>
  <c r="C21" i="35"/>
  <c r="E20" i="35"/>
  <c r="D20" i="35"/>
  <c r="C20" i="35"/>
  <c r="C18" i="35"/>
  <c r="E17" i="35"/>
  <c r="C17" i="35"/>
  <c r="E16" i="35"/>
  <c r="C16" i="35"/>
  <c r="E15" i="35"/>
  <c r="C15" i="35"/>
  <c r="E14" i="35"/>
  <c r="D14" i="35"/>
  <c r="C14" i="35"/>
  <c r="Z77" i="23" l="1"/>
  <c r="Z83" i="23"/>
  <c r="Z75" i="23" l="1"/>
  <c r="Z78" i="23" l="1"/>
  <c r="R27" i="23" l="1"/>
  <c r="R12" i="23"/>
  <c r="K26" i="17" l="1"/>
  <c r="G26" i="17"/>
  <c r="F27" i="10" l="1"/>
  <c r="F25" i="10" s="1"/>
  <c r="E27" i="10"/>
  <c r="E25" i="10" s="1"/>
  <c r="F18" i="10"/>
  <c r="E18" i="10"/>
  <c r="F13" i="10"/>
  <c r="E13" i="10"/>
  <c r="F52" i="10"/>
  <c r="F50" i="10" s="1"/>
  <c r="E52" i="10"/>
  <c r="E50" i="10" s="1"/>
  <c r="F42" i="10"/>
  <c r="E42" i="10"/>
  <c r="F36" i="10"/>
  <c r="E36" i="10"/>
  <c r="F45" i="6"/>
  <c r="F43" i="6" s="1"/>
  <c r="E45" i="6"/>
  <c r="E43" i="6" s="1"/>
  <c r="F37" i="6"/>
  <c r="E37" i="6"/>
  <c r="F31" i="6"/>
  <c r="E31" i="6"/>
  <c r="F24" i="6"/>
  <c r="F22" i="6" s="1"/>
  <c r="E24" i="6"/>
  <c r="E22" i="6" s="1"/>
  <c r="F17" i="6"/>
  <c r="F12" i="6" s="1"/>
  <c r="F13" i="6"/>
  <c r="E13" i="6"/>
  <c r="E12" i="6"/>
  <c r="F52" i="13"/>
  <c r="F50" i="13" s="1"/>
  <c r="E52" i="13"/>
  <c r="E50" i="13" s="1"/>
  <c r="F42" i="13"/>
  <c r="E42" i="13"/>
  <c r="F36" i="13"/>
  <c r="E36" i="13"/>
  <c r="F27" i="13"/>
  <c r="F25" i="13" s="1"/>
  <c r="E25" i="13"/>
  <c r="F18" i="13"/>
  <c r="E18" i="13"/>
  <c r="F13" i="13"/>
  <c r="E13" i="13"/>
  <c r="F52" i="12"/>
  <c r="F50" i="12" s="1"/>
  <c r="E52" i="12"/>
  <c r="E50" i="12" s="1"/>
  <c r="F42" i="12"/>
  <c r="E42" i="12"/>
  <c r="F36" i="12"/>
  <c r="E36" i="12"/>
  <c r="F27" i="12"/>
  <c r="F25" i="12" s="1"/>
  <c r="E27" i="12"/>
  <c r="E25" i="12" s="1"/>
  <c r="F18" i="12"/>
  <c r="E18" i="12"/>
  <c r="F13" i="12"/>
  <c r="E13" i="12"/>
  <c r="R54" i="23"/>
  <c r="Q14" i="23"/>
  <c r="F12" i="10" l="1"/>
  <c r="F34" i="10" s="1"/>
  <c r="E12" i="10"/>
  <c r="E34" i="10" s="1"/>
  <c r="E60" i="10" s="1"/>
  <c r="F35" i="13"/>
  <c r="F59" i="13" s="1"/>
  <c r="F61" i="13" s="1"/>
  <c r="F12" i="13"/>
  <c r="E63" i="13"/>
  <c r="E35" i="13"/>
  <c r="E59" i="13" s="1"/>
  <c r="E61" i="13" s="1"/>
  <c r="E12" i="13"/>
  <c r="E34" i="13" s="1"/>
  <c r="F12" i="12"/>
  <c r="F34" i="12" s="1"/>
  <c r="F63" i="12"/>
  <c r="F35" i="12"/>
  <c r="F59" i="12" s="1"/>
  <c r="F61" i="12" s="1"/>
  <c r="E63" i="12"/>
  <c r="E35" i="12"/>
  <c r="E12" i="12"/>
  <c r="E34" i="12" s="1"/>
  <c r="F35" i="10"/>
  <c r="F59" i="10" s="1"/>
  <c r="E35" i="10"/>
  <c r="E59" i="10" s="1"/>
  <c r="E30" i="6"/>
  <c r="E50" i="6" s="1"/>
  <c r="E53" i="6" s="1"/>
  <c r="F30" i="6"/>
  <c r="F50" i="6" s="1"/>
  <c r="F53" i="6" s="1"/>
  <c r="E55" i="6"/>
  <c r="E29" i="6"/>
  <c r="E63" i="10"/>
  <c r="F63" i="10"/>
  <c r="F55" i="6"/>
  <c r="F29" i="6"/>
  <c r="F63" i="13"/>
  <c r="AE55" i="23"/>
  <c r="D39" i="20"/>
  <c r="C39" i="20"/>
  <c r="D38" i="20"/>
  <c r="C38" i="20"/>
  <c r="D34" i="20"/>
  <c r="C34" i="20"/>
  <c r="D25" i="20"/>
  <c r="C25" i="20"/>
  <c r="D21" i="20"/>
  <c r="C21" i="20"/>
  <c r="D19" i="20"/>
  <c r="D12" i="20"/>
  <c r="C12" i="20"/>
  <c r="C19" i="20" s="1"/>
  <c r="B33" i="21"/>
  <c r="Y83" i="23"/>
  <c r="Y77" i="23"/>
  <c r="F62" i="13" l="1"/>
  <c r="F60" i="13"/>
  <c r="F70" i="13" s="1"/>
  <c r="F34" i="13"/>
  <c r="E62" i="13"/>
  <c r="E60" i="13"/>
  <c r="E64" i="13" s="1"/>
  <c r="E59" i="12"/>
  <c r="E61" i="12" s="1"/>
  <c r="F60" i="12"/>
  <c r="F70" i="12" s="1"/>
  <c r="F62" i="12"/>
  <c r="E60" i="12"/>
  <c r="E64" i="12" s="1"/>
  <c r="E62" i="12"/>
  <c r="F62" i="10"/>
  <c r="E62" i="10"/>
  <c r="E54" i="6"/>
  <c r="F54" i="6"/>
  <c r="F51" i="6"/>
  <c r="F56" i="6" s="1"/>
  <c r="E51" i="6"/>
  <c r="E56" i="6" s="1"/>
  <c r="F61" i="10"/>
  <c r="F60" i="10"/>
  <c r="F64" i="10" s="1"/>
  <c r="E61" i="10"/>
  <c r="E64" i="10"/>
  <c r="D20" i="20"/>
  <c r="C20" i="20"/>
  <c r="B75" i="23"/>
  <c r="Y75" i="23"/>
  <c r="F64" i="13" l="1"/>
  <c r="E70" i="13"/>
  <c r="F64" i="12"/>
  <c r="E70" i="12"/>
  <c r="AS21" i="35"/>
  <c r="AS22" i="35"/>
  <c r="AS18" i="35"/>
  <c r="AE22" i="35"/>
  <c r="AE17" i="35"/>
  <c r="AE18" i="35"/>
  <c r="BF22" i="35"/>
  <c r="BF17" i="35"/>
  <c r="BF18" i="35"/>
  <c r="BC19" i="35"/>
  <c r="BD19" i="35"/>
  <c r="BE19" i="35"/>
  <c r="AU13" i="35"/>
  <c r="AV13" i="35"/>
  <c r="AW13" i="35"/>
  <c r="AX13" i="35"/>
  <c r="AY13" i="35"/>
  <c r="AZ13" i="35"/>
  <c r="BA13" i="35"/>
  <c r="BB13" i="35"/>
  <c r="BC13" i="35"/>
  <c r="BD13" i="35"/>
  <c r="BE13" i="35"/>
  <c r="AT13" i="35"/>
  <c r="AP19" i="35"/>
  <c r="AQ19" i="35"/>
  <c r="AR19" i="35"/>
  <c r="AH13" i="35"/>
  <c r="AI13" i="35"/>
  <c r="AJ13" i="35"/>
  <c r="AK13" i="35"/>
  <c r="AL13" i="35"/>
  <c r="AM13" i="35"/>
  <c r="AN13" i="35"/>
  <c r="AO13" i="35"/>
  <c r="AP13" i="35"/>
  <c r="AQ13" i="35"/>
  <c r="AR13" i="35"/>
  <c r="AG13" i="35"/>
  <c r="AB19" i="35"/>
  <c r="AC19" i="35"/>
  <c r="AD19" i="35"/>
  <c r="T13" i="35"/>
  <c r="U13" i="35"/>
  <c r="V13" i="35"/>
  <c r="W13" i="35"/>
  <c r="X13" i="35"/>
  <c r="Y13" i="35"/>
  <c r="Z13" i="35"/>
  <c r="AA13" i="35"/>
  <c r="AB13" i="35"/>
  <c r="AC13" i="35"/>
  <c r="AD13" i="35"/>
  <c r="S13" i="35"/>
  <c r="R22" i="35"/>
  <c r="R18" i="35"/>
  <c r="O19" i="35"/>
  <c r="P19" i="35"/>
  <c r="Q19" i="35"/>
  <c r="G13" i="35"/>
  <c r="H13" i="35"/>
  <c r="I13" i="35"/>
  <c r="J13" i="35"/>
  <c r="K13" i="35"/>
  <c r="L13" i="35"/>
  <c r="M13" i="35"/>
  <c r="N13" i="35"/>
  <c r="O13" i="35"/>
  <c r="P13" i="35"/>
  <c r="Q13" i="35"/>
  <c r="F13" i="35"/>
  <c r="D32" i="25"/>
  <c r="AF18" i="35" l="1"/>
  <c r="AF22" i="35"/>
  <c r="BG22" i="35"/>
  <c r="BG18" i="35"/>
  <c r="E49" i="21"/>
  <c r="F49" i="21"/>
  <c r="G49" i="21"/>
  <c r="H49" i="21"/>
  <c r="I49" i="21"/>
  <c r="J49" i="21"/>
  <c r="K49" i="21"/>
  <c r="L49" i="21"/>
  <c r="M49" i="21"/>
  <c r="N49" i="21"/>
  <c r="O49" i="21"/>
  <c r="P49" i="21"/>
  <c r="D49" i="21"/>
  <c r="BH22" i="35" l="1"/>
  <c r="BH18" i="35"/>
  <c r="Q18" i="21"/>
  <c r="Q24" i="21"/>
  <c r="Q30" i="21"/>
  <c r="P31" i="21"/>
  <c r="K62" i="17"/>
  <c r="H62" i="17"/>
  <c r="E62" i="17"/>
  <c r="K61" i="17"/>
  <c r="H61" i="17"/>
  <c r="E61" i="17"/>
  <c r="K60" i="17"/>
  <c r="H60" i="17"/>
  <c r="E60" i="17"/>
  <c r="J59" i="17"/>
  <c r="J57" i="17" s="1"/>
  <c r="I59" i="17"/>
  <c r="I57" i="17" s="1"/>
  <c r="G59" i="17"/>
  <c r="G57" i="17" s="1"/>
  <c r="F59" i="17"/>
  <c r="F57" i="17" s="1"/>
  <c r="D59" i="17"/>
  <c r="D57" i="17" s="1"/>
  <c r="C59" i="17"/>
  <c r="C57" i="17" s="1"/>
  <c r="K58" i="17"/>
  <c r="H58" i="17"/>
  <c r="E58" i="17"/>
  <c r="K55" i="17"/>
  <c r="H55" i="17"/>
  <c r="E55" i="17"/>
  <c r="K54" i="17"/>
  <c r="H54" i="17"/>
  <c r="E54" i="17"/>
  <c r="K53" i="17"/>
  <c r="H53" i="17"/>
  <c r="E53" i="17"/>
  <c r="K52" i="17"/>
  <c r="H52" i="17"/>
  <c r="E52" i="17"/>
  <c r="J51" i="17"/>
  <c r="I51" i="17"/>
  <c r="G51" i="17"/>
  <c r="F51" i="17"/>
  <c r="D51" i="17"/>
  <c r="C51" i="17"/>
  <c r="K50" i="17"/>
  <c r="H50" i="17"/>
  <c r="E50" i="17"/>
  <c r="K49" i="17"/>
  <c r="H49" i="17"/>
  <c r="E49" i="17"/>
  <c r="K48" i="17"/>
  <c r="H48" i="17"/>
  <c r="E48" i="17"/>
  <c r="K47" i="17"/>
  <c r="H47" i="17"/>
  <c r="E47" i="17"/>
  <c r="K46" i="17"/>
  <c r="H46" i="17"/>
  <c r="E46" i="17"/>
  <c r="J45" i="17"/>
  <c r="I45" i="17"/>
  <c r="K45" i="17" s="1"/>
  <c r="G45" i="17"/>
  <c r="F45" i="17"/>
  <c r="D45" i="17"/>
  <c r="C45" i="17"/>
  <c r="K41" i="17"/>
  <c r="H41" i="17"/>
  <c r="E41" i="17"/>
  <c r="K40" i="17"/>
  <c r="H40" i="17"/>
  <c r="E40" i="17"/>
  <c r="K39" i="17"/>
  <c r="H39" i="17"/>
  <c r="E39" i="17"/>
  <c r="K38" i="17"/>
  <c r="H38" i="17"/>
  <c r="E38" i="17"/>
  <c r="L37" i="17"/>
  <c r="H37" i="17"/>
  <c r="F37" i="17"/>
  <c r="D37" i="17"/>
  <c r="E37" i="17" s="1"/>
  <c r="C37" i="17"/>
  <c r="K35" i="17"/>
  <c r="H35" i="17"/>
  <c r="E35" i="17"/>
  <c r="J34" i="17"/>
  <c r="J32" i="17" s="1"/>
  <c r="I34" i="17"/>
  <c r="I32" i="17" s="1"/>
  <c r="G34" i="17"/>
  <c r="G32" i="17" s="1"/>
  <c r="F34" i="17"/>
  <c r="F32" i="17" s="1"/>
  <c r="D34" i="17"/>
  <c r="D32" i="17" s="1"/>
  <c r="C34" i="17"/>
  <c r="C32" i="17" s="1"/>
  <c r="K33" i="17"/>
  <c r="H33" i="17"/>
  <c r="E33" i="17"/>
  <c r="K31" i="17"/>
  <c r="H31" i="17"/>
  <c r="K30" i="17"/>
  <c r="H30" i="17"/>
  <c r="E30" i="17"/>
  <c r="K29" i="17"/>
  <c r="H29" i="17"/>
  <c r="E29" i="17"/>
  <c r="K28" i="17"/>
  <c r="H28" i="17"/>
  <c r="E28" i="17"/>
  <c r="K27" i="17"/>
  <c r="H27" i="17"/>
  <c r="E27" i="17"/>
  <c r="L26" i="17"/>
  <c r="H26" i="17"/>
  <c r="F26" i="17"/>
  <c r="E26" i="17"/>
  <c r="D26" i="17"/>
  <c r="K24" i="17"/>
  <c r="H24" i="17"/>
  <c r="E24" i="17"/>
  <c r="J23" i="17"/>
  <c r="I23" i="17"/>
  <c r="G23" i="17"/>
  <c r="F23" i="17"/>
  <c r="D23" i="17"/>
  <c r="C23" i="17"/>
  <c r="K22" i="17"/>
  <c r="H22" i="17"/>
  <c r="E22" i="17"/>
  <c r="K21" i="17"/>
  <c r="H21" i="17"/>
  <c r="E21" i="17"/>
  <c r="K20" i="17"/>
  <c r="H20" i="17"/>
  <c r="E20" i="17"/>
  <c r="J19" i="17"/>
  <c r="I19" i="17"/>
  <c r="G19" i="17"/>
  <c r="F19" i="17"/>
  <c r="D19" i="17"/>
  <c r="C19" i="17"/>
  <c r="K18" i="17"/>
  <c r="H18" i="17"/>
  <c r="E18" i="17"/>
  <c r="K17" i="17"/>
  <c r="H17" i="17"/>
  <c r="E17" i="17"/>
  <c r="K16" i="17"/>
  <c r="H16" i="17"/>
  <c r="E16" i="17"/>
  <c r="J15" i="17"/>
  <c r="I15" i="17"/>
  <c r="G15" i="17"/>
  <c r="F15" i="17"/>
  <c r="D15" i="17"/>
  <c r="C15" i="17"/>
  <c r="J44" i="17" l="1"/>
  <c r="J64" i="17" s="1"/>
  <c r="Q31" i="21"/>
  <c r="K59" i="17"/>
  <c r="I69" i="17"/>
  <c r="I44" i="17"/>
  <c r="I64" i="17" s="1"/>
  <c r="K34" i="17"/>
  <c r="I14" i="17"/>
  <c r="I13" i="17" s="1"/>
  <c r="I43" i="17" s="1"/>
  <c r="H59" i="17"/>
  <c r="G69" i="17"/>
  <c r="H57" i="17"/>
  <c r="F69" i="17"/>
  <c r="G44" i="17"/>
  <c r="G64" i="17" s="1"/>
  <c r="F44" i="17"/>
  <c r="F64" i="17" s="1"/>
  <c r="F66" i="17" s="1"/>
  <c r="H51" i="17"/>
  <c r="H34" i="17"/>
  <c r="H32" i="17"/>
  <c r="H23" i="17"/>
  <c r="G14" i="17"/>
  <c r="H19" i="17"/>
  <c r="F14" i="17"/>
  <c r="F13" i="17" s="1"/>
  <c r="E59" i="17"/>
  <c r="E57" i="17"/>
  <c r="E51" i="17"/>
  <c r="C44" i="17"/>
  <c r="E45" i="17"/>
  <c r="E34" i="17"/>
  <c r="C69" i="17"/>
  <c r="E23" i="17"/>
  <c r="D14" i="17"/>
  <c r="E14" i="17" s="1"/>
  <c r="E19" i="17"/>
  <c r="C14" i="17"/>
  <c r="C13" i="17" s="1"/>
  <c r="D13" i="17"/>
  <c r="D43" i="17" s="1"/>
  <c r="G13" i="17"/>
  <c r="J69" i="17"/>
  <c r="K32" i="17"/>
  <c r="D69" i="17"/>
  <c r="K37" i="17"/>
  <c r="E32" i="17"/>
  <c r="K19" i="17"/>
  <c r="K51" i="17"/>
  <c r="D44" i="17"/>
  <c r="K15" i="17"/>
  <c r="J14" i="17"/>
  <c r="H45" i="17"/>
  <c r="K57" i="17"/>
  <c r="C64" i="17"/>
  <c r="C66" i="17" s="1"/>
  <c r="E15" i="17"/>
  <c r="K23" i="17"/>
  <c r="H15" i="17"/>
  <c r="D34" i="19"/>
  <c r="C34" i="19"/>
  <c r="D24" i="19"/>
  <c r="C24" i="19"/>
  <c r="D13" i="19"/>
  <c r="C13" i="19"/>
  <c r="K44" i="17" l="1"/>
  <c r="H14" i="17"/>
  <c r="C68" i="17"/>
  <c r="L58" i="17"/>
  <c r="L52" i="17"/>
  <c r="L51" i="17"/>
  <c r="I66" i="17"/>
  <c r="L59" i="17"/>
  <c r="L57" i="17"/>
  <c r="L46" i="17"/>
  <c r="L50" i="17"/>
  <c r="L62" i="17"/>
  <c r="L54" i="17"/>
  <c r="L44" i="17"/>
  <c r="L47" i="17"/>
  <c r="L61" i="17"/>
  <c r="L60" i="17"/>
  <c r="L56" i="17"/>
  <c r="L49" i="17"/>
  <c r="L53" i="17"/>
  <c r="L48" i="17"/>
  <c r="L55" i="17"/>
  <c r="L45" i="17"/>
  <c r="L15" i="17"/>
  <c r="L19" i="17"/>
  <c r="I68" i="17"/>
  <c r="H44" i="17"/>
  <c r="F68" i="17"/>
  <c r="F43" i="17"/>
  <c r="F65" i="17" s="1"/>
  <c r="F67" i="17" s="1"/>
  <c r="E44" i="17"/>
  <c r="C43" i="17"/>
  <c r="C65" i="17" s="1"/>
  <c r="C75" i="17" s="1"/>
  <c r="G68" i="17"/>
  <c r="H13" i="17"/>
  <c r="G43" i="17"/>
  <c r="H64" i="17"/>
  <c r="G66" i="17"/>
  <c r="H66" i="17" s="1"/>
  <c r="L39" i="17"/>
  <c r="L41" i="17"/>
  <c r="L35" i="17"/>
  <c r="L17" i="17"/>
  <c r="L40" i="17"/>
  <c r="L33" i="17"/>
  <c r="L28" i="17"/>
  <c r="L34" i="17"/>
  <c r="L31" i="17"/>
  <c r="L16" i="17"/>
  <c r="L30" i="17"/>
  <c r="L27" i="17"/>
  <c r="L20" i="17"/>
  <c r="L24" i="17"/>
  <c r="L18" i="17"/>
  <c r="L38" i="17"/>
  <c r="L29" i="17"/>
  <c r="L22" i="17"/>
  <c r="L21" i="17"/>
  <c r="I65" i="17"/>
  <c r="D64" i="17"/>
  <c r="L14" i="17"/>
  <c r="J13" i="17"/>
  <c r="K14" i="17"/>
  <c r="L23" i="17"/>
  <c r="J66" i="17"/>
  <c r="K64" i="17"/>
  <c r="D68" i="17"/>
  <c r="E13" i="17"/>
  <c r="L32" i="17"/>
  <c r="E43" i="17" l="1"/>
  <c r="C67" i="17"/>
  <c r="K66" i="17"/>
  <c r="F75" i="17"/>
  <c r="J68" i="17"/>
  <c r="K13" i="17"/>
  <c r="L13" i="17"/>
  <c r="J43" i="17"/>
  <c r="E64" i="17"/>
  <c r="D66" i="17"/>
  <c r="E66" i="17" s="1"/>
  <c r="I75" i="17"/>
  <c r="I67" i="17"/>
  <c r="H43" i="17"/>
  <c r="G65" i="17"/>
  <c r="D65" i="17"/>
  <c r="D67" i="17" l="1"/>
  <c r="D75" i="17"/>
  <c r="G75" i="17"/>
  <c r="G67" i="17"/>
  <c r="K43" i="17"/>
  <c r="J65" i="17"/>
  <c r="Q25" i="23"/>
  <c r="P26" i="23"/>
  <c r="Q13" i="23"/>
  <c r="P13" i="23"/>
  <c r="Q15" i="23"/>
  <c r="J75" i="17" l="1"/>
  <c r="J67" i="17"/>
  <c r="R13" i="23"/>
  <c r="AE54" i="23"/>
  <c r="Q43" i="21" l="1"/>
  <c r="Q44" i="21"/>
  <c r="Q45" i="21"/>
  <c r="Q46" i="21"/>
  <c r="Q47" i="21"/>
  <c r="Q48" i="21"/>
  <c r="B210" i="25"/>
  <c r="B209" i="25"/>
  <c r="C61" i="18" l="1"/>
  <c r="C54" i="18"/>
  <c r="G11" i="25" l="1"/>
  <c r="F11" i="25"/>
  <c r="F183" i="25"/>
  <c r="E183" i="25"/>
  <c r="E11" i="25"/>
  <c r="D141" i="25"/>
  <c r="D62" i="25"/>
  <c r="D63" i="25"/>
  <c r="D23" i="25"/>
  <c r="F178" i="25" l="1"/>
  <c r="F205" i="25" s="1"/>
  <c r="C59" i="18"/>
  <c r="X77" i="23" l="1"/>
  <c r="X83" i="23"/>
  <c r="F49" i="16" l="1"/>
  <c r="F47" i="16" s="1"/>
  <c r="E49" i="16"/>
  <c r="E47" i="16" s="1"/>
  <c r="F40" i="16"/>
  <c r="E40" i="16"/>
  <c r="F34" i="16"/>
  <c r="E34" i="16"/>
  <c r="F26" i="16"/>
  <c r="E26" i="16"/>
  <c r="F24" i="16"/>
  <c r="E24" i="16"/>
  <c r="F18" i="16"/>
  <c r="E18" i="16"/>
  <c r="F13" i="16"/>
  <c r="E13" i="16"/>
  <c r="E33" i="16" l="1"/>
  <c r="E55" i="16" s="1"/>
  <c r="F33" i="16"/>
  <c r="F55" i="16" s="1"/>
  <c r="F12" i="16"/>
  <c r="F32" i="16" s="1"/>
  <c r="E12" i="16"/>
  <c r="E32" i="16" s="1"/>
  <c r="F56" i="16" l="1"/>
  <c r="E56" i="16"/>
  <c r="B74" i="10"/>
  <c r="C180" i="29" l="1"/>
  <c r="C179" i="29"/>
  <c r="C145" i="29"/>
  <c r="C97" i="29"/>
  <c r="C50" i="29"/>
  <c r="Q50" i="21"/>
  <c r="Q49" i="21"/>
  <c r="P42" i="21"/>
  <c r="O42" i="21"/>
  <c r="N42" i="21"/>
  <c r="M42" i="21"/>
  <c r="L42" i="21"/>
  <c r="K42" i="21"/>
  <c r="J42" i="21"/>
  <c r="I42" i="21"/>
  <c r="H42" i="21"/>
  <c r="G42" i="21"/>
  <c r="F42" i="21"/>
  <c r="E42" i="21"/>
  <c r="D42" i="21"/>
  <c r="F51" i="21" l="1"/>
  <c r="J51" i="21"/>
  <c r="K51" i="21"/>
  <c r="L51" i="21"/>
  <c r="E51" i="21"/>
  <c r="M51" i="21"/>
  <c r="H51" i="21"/>
  <c r="I51" i="21"/>
  <c r="N51" i="21"/>
  <c r="O51" i="21"/>
  <c r="G51" i="21"/>
  <c r="D51" i="21"/>
  <c r="P51" i="21"/>
  <c r="Q42" i="21"/>
  <c r="W77" i="23"/>
  <c r="Q51" i="21" l="1"/>
  <c r="AD53" i="23"/>
  <c r="AC53" i="23"/>
  <c r="AB53" i="23"/>
  <c r="AA53" i="23"/>
  <c r="Z53" i="23"/>
  <c r="Y53" i="23"/>
  <c r="X53" i="23"/>
  <c r="W53" i="23"/>
  <c r="V53" i="23"/>
  <c r="U53" i="23"/>
  <c r="T53" i="23"/>
  <c r="S53" i="23"/>
  <c r="R53" i="23"/>
  <c r="Q53" i="23"/>
  <c r="P53" i="23"/>
  <c r="O53" i="23"/>
  <c r="N53" i="23"/>
  <c r="M53" i="23"/>
  <c r="L53" i="23"/>
  <c r="K53" i="23"/>
  <c r="J53" i="23"/>
  <c r="I53" i="23"/>
  <c r="H53" i="23"/>
  <c r="G53" i="23"/>
  <c r="F53" i="23"/>
  <c r="E53" i="23"/>
  <c r="AE41" i="23" l="1"/>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AD37" i="23"/>
  <c r="AC37" i="23"/>
  <c r="AB37" i="23"/>
  <c r="AA37" i="23"/>
  <c r="Z37" i="23"/>
  <c r="Y37" i="23"/>
  <c r="X37" i="23"/>
  <c r="W37" i="23"/>
  <c r="V37" i="23"/>
  <c r="U37" i="23"/>
  <c r="T37" i="23"/>
  <c r="S37" i="23"/>
  <c r="R37" i="23"/>
  <c r="Q37" i="23"/>
  <c r="P37" i="23"/>
  <c r="O37" i="23"/>
  <c r="N37" i="23"/>
  <c r="M37" i="23"/>
  <c r="L37" i="23"/>
  <c r="K37" i="23"/>
  <c r="J37" i="23"/>
  <c r="I37" i="23"/>
  <c r="H37" i="23"/>
  <c r="G37" i="23"/>
  <c r="F37" i="23"/>
  <c r="E37"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AE25" i="23"/>
  <c r="AD25" i="23"/>
  <c r="AC25" i="23"/>
  <c r="AB25" i="23"/>
  <c r="AA25" i="23"/>
  <c r="Z25" i="23"/>
  <c r="Y25" i="23"/>
  <c r="X25" i="23"/>
  <c r="W25" i="23"/>
  <c r="V25" i="23"/>
  <c r="U25" i="23"/>
  <c r="T25" i="23"/>
  <c r="S25" i="23"/>
  <c r="R25" i="23"/>
  <c r="P25" i="23"/>
  <c r="O25" i="23"/>
  <c r="N25" i="23"/>
  <c r="M25" i="23"/>
  <c r="L25" i="23"/>
  <c r="K25" i="23"/>
  <c r="J25" i="23"/>
  <c r="I25" i="23"/>
  <c r="H25" i="23"/>
  <c r="G25" i="23"/>
  <c r="F25" i="23"/>
  <c r="E25"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AE23" i="23"/>
  <c r="AD23" i="23"/>
  <c r="AC23" i="23"/>
  <c r="AB23" i="23"/>
  <c r="AA23" i="23"/>
  <c r="Z23" i="23"/>
  <c r="Y23" i="23"/>
  <c r="X23" i="23"/>
  <c r="W23" i="23"/>
  <c r="V23" i="23"/>
  <c r="U23" i="23"/>
  <c r="T23" i="23"/>
  <c r="S23" i="23"/>
  <c r="Q23" i="23"/>
  <c r="P23" i="23"/>
  <c r="O23" i="23"/>
  <c r="N23" i="23"/>
  <c r="M23" i="23"/>
  <c r="L23" i="23"/>
  <c r="K23" i="23"/>
  <c r="J23" i="23"/>
  <c r="I23" i="23"/>
  <c r="H23" i="23"/>
  <c r="G23" i="23"/>
  <c r="F23" i="23"/>
  <c r="E23" i="23"/>
  <c r="AE21" i="23"/>
  <c r="AD21" i="23"/>
  <c r="AC21" i="23"/>
  <c r="AB21" i="23"/>
  <c r="AA21" i="23"/>
  <c r="Z21" i="23"/>
  <c r="Y21" i="23"/>
  <c r="X21" i="23"/>
  <c r="W21" i="23"/>
  <c r="V21" i="23"/>
  <c r="U21" i="23"/>
  <c r="T21" i="23"/>
  <c r="S21" i="23"/>
  <c r="Q21" i="23"/>
  <c r="P21" i="23"/>
  <c r="O21" i="23"/>
  <c r="N21" i="23"/>
  <c r="M21" i="23"/>
  <c r="L21" i="23"/>
  <c r="K21" i="23"/>
  <c r="J21" i="23"/>
  <c r="I21" i="23"/>
  <c r="H21" i="23"/>
  <c r="G21" i="23"/>
  <c r="F21" i="23"/>
  <c r="E21"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AE15" i="23"/>
  <c r="AD15" i="23"/>
  <c r="AC15" i="23"/>
  <c r="AB15" i="23"/>
  <c r="AA15" i="23"/>
  <c r="Z15" i="23"/>
  <c r="Y15" i="23"/>
  <c r="X15" i="23"/>
  <c r="W15" i="23"/>
  <c r="V15" i="23"/>
  <c r="U15" i="23"/>
  <c r="T15" i="23"/>
  <c r="S15" i="23"/>
  <c r="R15" i="23"/>
  <c r="P15" i="23"/>
  <c r="O15" i="23"/>
  <c r="N15" i="23"/>
  <c r="M15" i="23"/>
  <c r="L15" i="23"/>
  <c r="K15" i="23"/>
  <c r="J15" i="23"/>
  <c r="I15" i="23"/>
  <c r="H15" i="23"/>
  <c r="G15" i="23"/>
  <c r="F15" i="23"/>
  <c r="E15" i="23"/>
  <c r="AD14" i="23"/>
  <c r="AC14" i="23"/>
  <c r="AB14" i="23"/>
  <c r="AA14" i="23"/>
  <c r="Z14" i="23"/>
  <c r="Y14" i="23"/>
  <c r="X14" i="23"/>
  <c r="W14" i="23"/>
  <c r="V14" i="23"/>
  <c r="U14" i="23"/>
  <c r="T14" i="23"/>
  <c r="S14" i="23"/>
  <c r="R14" i="23"/>
  <c r="P14" i="23"/>
  <c r="O14" i="23"/>
  <c r="N14" i="23"/>
  <c r="M14" i="23"/>
  <c r="L14" i="23"/>
  <c r="K14" i="23"/>
  <c r="J14" i="23"/>
  <c r="I14" i="23"/>
  <c r="H14" i="23"/>
  <c r="G14" i="23"/>
  <c r="F14" i="23"/>
  <c r="E14" i="23"/>
  <c r="AD13" i="23"/>
  <c r="AC13" i="23"/>
  <c r="AB13" i="23"/>
  <c r="AA13" i="23"/>
  <c r="Z13" i="23"/>
  <c r="Y13" i="23"/>
  <c r="X13" i="23"/>
  <c r="W13" i="23"/>
  <c r="V13" i="23"/>
  <c r="U13" i="23"/>
  <c r="T13" i="23"/>
  <c r="S13" i="23"/>
  <c r="O13" i="23"/>
  <c r="N13" i="23"/>
  <c r="M13" i="23"/>
  <c r="L13" i="23"/>
  <c r="K13" i="23"/>
  <c r="J13" i="23"/>
  <c r="I13" i="23"/>
  <c r="H13" i="23"/>
  <c r="G13" i="23"/>
  <c r="F13" i="23"/>
  <c r="E13" i="23"/>
  <c r="R23" i="23"/>
  <c r="R21" i="23"/>
  <c r="R85" i="23"/>
  <c r="R84" i="23"/>
  <c r="R83" i="23"/>
  <c r="R82" i="23"/>
  <c r="R81" i="23"/>
  <c r="R80" i="23"/>
  <c r="R79" i="23"/>
  <c r="R78" i="23"/>
  <c r="R77" i="23"/>
  <c r="R76" i="23"/>
  <c r="R75" i="23"/>
  <c r="B512" i="27"/>
  <c r="BF21" i="35" l="1"/>
  <c r="BF20" i="35"/>
  <c r="BF16" i="35"/>
  <c r="BF15" i="35"/>
  <c r="BF14" i="35"/>
  <c r="AS20" i="35"/>
  <c r="AS17" i="35"/>
  <c r="AS16" i="35"/>
  <c r="AS15" i="35"/>
  <c r="AS14" i="35"/>
  <c r="AE21" i="35"/>
  <c r="AE20" i="35"/>
  <c r="AE16" i="35"/>
  <c r="AE15" i="35"/>
  <c r="AE14" i="35"/>
  <c r="R21" i="35"/>
  <c r="R20" i="35"/>
  <c r="R17" i="35"/>
  <c r="AF17" i="35" s="1"/>
  <c r="R16" i="35"/>
  <c r="R15" i="35"/>
  <c r="R14" i="35"/>
  <c r="BE23" i="35"/>
  <c r="BD23" i="35"/>
  <c r="BC23" i="35"/>
  <c r="BB23" i="35"/>
  <c r="BA23" i="35"/>
  <c r="AZ23" i="35"/>
  <c r="AY23" i="35"/>
  <c r="AX23" i="35"/>
  <c r="AW23" i="35"/>
  <c r="AV23" i="35"/>
  <c r="AU23" i="35"/>
  <c r="AR23" i="35"/>
  <c r="AQ23" i="35"/>
  <c r="AP23" i="35"/>
  <c r="AO23" i="35"/>
  <c r="AN23" i="35"/>
  <c r="AM23" i="35"/>
  <c r="AL23" i="35"/>
  <c r="AK23" i="35"/>
  <c r="AJ23" i="35"/>
  <c r="AH23" i="35"/>
  <c r="AD23" i="35"/>
  <c r="AC23" i="35"/>
  <c r="AB23" i="35"/>
  <c r="AA23" i="35"/>
  <c r="Z23" i="35"/>
  <c r="Y23" i="35"/>
  <c r="W23" i="35"/>
  <c r="U23" i="35"/>
  <c r="T23" i="35"/>
  <c r="S23" i="35"/>
  <c r="Q23" i="35"/>
  <c r="P23" i="35"/>
  <c r="O23" i="35"/>
  <c r="N23" i="35"/>
  <c r="M23" i="35"/>
  <c r="F23" i="35"/>
  <c r="Q13" i="21"/>
  <c r="BG17" i="35" l="1"/>
  <c r="BG14" i="35"/>
  <c r="I23" i="35"/>
  <c r="L23" i="35"/>
  <c r="G23" i="35"/>
  <c r="H23" i="35"/>
  <c r="K23" i="35"/>
  <c r="R19" i="35"/>
  <c r="AE19" i="35"/>
  <c r="BG15" i="35"/>
  <c r="AS19" i="35"/>
  <c r="AS13" i="35"/>
  <c r="AF20" i="35"/>
  <c r="BF19" i="35"/>
  <c r="AF21" i="35"/>
  <c r="BG16" i="35"/>
  <c r="X23" i="35"/>
  <c r="BF13" i="35"/>
  <c r="AI23" i="35"/>
  <c r="BG20" i="35"/>
  <c r="BG21" i="35"/>
  <c r="AE13" i="35"/>
  <c r="AF14" i="35"/>
  <c r="AF15" i="35"/>
  <c r="R13" i="35"/>
  <c r="AF16" i="35"/>
  <c r="AT23" i="35"/>
  <c r="V23" i="35"/>
  <c r="J23" i="35"/>
  <c r="AG23" i="35"/>
  <c r="C27" i="10"/>
  <c r="BH20" i="35" l="1"/>
  <c r="BH17" i="35"/>
  <c r="BF23" i="35"/>
  <c r="BG19" i="35"/>
  <c r="BH21" i="35"/>
  <c r="AF19" i="35"/>
  <c r="BH16" i="35"/>
  <c r="BH15" i="35"/>
  <c r="R23" i="35"/>
  <c r="BH14" i="35"/>
  <c r="BG13" i="35"/>
  <c r="AS23" i="35"/>
  <c r="AF13" i="35"/>
  <c r="AE23" i="35"/>
  <c r="H68" i="13"/>
  <c r="BG23" i="35" l="1"/>
  <c r="BH19" i="35"/>
  <c r="BH13" i="35"/>
  <c r="AF23" i="35"/>
  <c r="J19" i="1"/>
  <c r="I19" i="1"/>
  <c r="BH23" i="35" l="1"/>
  <c r="H68" i="10"/>
  <c r="G68" i="10"/>
  <c r="C24" i="6"/>
  <c r="C17" i="6"/>
  <c r="H67" i="13"/>
  <c r="D52" i="13"/>
  <c r="C178" i="29" l="1"/>
  <c r="C144" i="29"/>
  <c r="C96" i="29"/>
  <c r="C49" i="29"/>
  <c r="G11" i="23" l="1"/>
  <c r="H11" i="23"/>
  <c r="U11" i="23"/>
  <c r="V11" i="23"/>
  <c r="B510" i="27" l="1"/>
  <c r="B26" i="1"/>
  <c r="B5" i="35"/>
  <c r="B5" i="26"/>
  <c r="B5" i="25"/>
  <c r="B5" i="23"/>
  <c r="B5" i="29"/>
  <c r="B5" i="21"/>
  <c r="B5" i="20"/>
  <c r="B5" i="19"/>
  <c r="B5" i="33"/>
  <c r="B5" i="32"/>
  <c r="B5" i="31"/>
  <c r="B5" i="18"/>
  <c r="B5" i="17"/>
  <c r="B5" i="16"/>
  <c r="B5" i="15"/>
  <c r="B5" i="14"/>
  <c r="B5" i="13"/>
  <c r="B5" i="12"/>
  <c r="B5" i="11"/>
  <c r="B5" i="10"/>
  <c r="B5" i="6"/>
  <c r="D3" i="9"/>
  <c r="B5" i="5"/>
  <c r="B5" i="2"/>
  <c r="D10" i="33"/>
  <c r="C10" i="14"/>
  <c r="B108" i="2"/>
  <c r="B59" i="2"/>
  <c r="B5" i="27"/>
  <c r="B5" i="1"/>
  <c r="V83" i="23" l="1"/>
  <c r="V77" i="23" l="1"/>
  <c r="BF12" i="35" l="1"/>
  <c r="AS12" i="35"/>
  <c r="BE12" i="35"/>
  <c r="BD12" i="35"/>
  <c r="BC12" i="35"/>
  <c r="BB12" i="35"/>
  <c r="BA12" i="35"/>
  <c r="AZ12" i="35"/>
  <c r="AY12" i="35"/>
  <c r="AX12" i="35"/>
  <c r="AW12" i="35"/>
  <c r="AR12" i="35"/>
  <c r="AQ12" i="35"/>
  <c r="AP12" i="35"/>
  <c r="AO12" i="35"/>
  <c r="AN12" i="35"/>
  <c r="AM12" i="35"/>
  <c r="AL12" i="35"/>
  <c r="AK12" i="35"/>
  <c r="AJ12" i="35"/>
  <c r="AD12" i="35"/>
  <c r="AC12" i="35"/>
  <c r="AB12" i="35"/>
  <c r="AA12" i="35"/>
  <c r="Z12" i="35"/>
  <c r="Y12" i="35"/>
  <c r="X12" i="35"/>
  <c r="W12" i="35"/>
  <c r="V12" i="35"/>
  <c r="N12" i="35"/>
  <c r="Q12" i="35"/>
  <c r="P12" i="35"/>
  <c r="O12" i="35"/>
  <c r="M12" i="35"/>
  <c r="L12" i="35"/>
  <c r="K12" i="35"/>
  <c r="J12" i="35"/>
  <c r="I12" i="35"/>
  <c r="D31" i="33"/>
  <c r="E31" i="33"/>
  <c r="F31" i="33"/>
  <c r="G31" i="33"/>
  <c r="H31" i="33"/>
  <c r="I31" i="33"/>
  <c r="J31" i="33"/>
  <c r="D23" i="33"/>
  <c r="E23" i="33"/>
  <c r="F23" i="33"/>
  <c r="G23" i="33"/>
  <c r="H23" i="33"/>
  <c r="I23" i="33"/>
  <c r="J23" i="33"/>
  <c r="D13" i="33"/>
  <c r="E13" i="33"/>
  <c r="F13" i="33"/>
  <c r="G13" i="33"/>
  <c r="H13" i="33"/>
  <c r="I13" i="33"/>
  <c r="J13" i="33"/>
  <c r="E37" i="33" l="1"/>
  <c r="J37" i="33"/>
  <c r="I37" i="33"/>
  <c r="H37" i="33"/>
  <c r="F37" i="33"/>
  <c r="G37" i="33"/>
  <c r="D37" i="33"/>
  <c r="B37" i="21"/>
  <c r="B40" i="33"/>
  <c r="C10" i="19" l="1"/>
  <c r="C25" i="18" l="1"/>
  <c r="A18" i="36"/>
  <c r="B28" i="35"/>
  <c r="B39" i="26"/>
  <c r="B214" i="25"/>
  <c r="B92" i="23"/>
  <c r="B36" i="32"/>
  <c r="B63" i="31"/>
  <c r="B87" i="18"/>
  <c r="B53" i="14"/>
  <c r="B78" i="13"/>
  <c r="B78" i="12"/>
  <c r="B73" i="11"/>
  <c r="B61" i="6"/>
  <c r="B62" i="5"/>
  <c r="B27" i="1"/>
  <c r="C10" i="11" l="1"/>
  <c r="V64" i="23" l="1"/>
  <c r="C177" i="29"/>
  <c r="C176" i="29"/>
  <c r="C175" i="29"/>
  <c r="C143" i="29"/>
  <c r="C142" i="29"/>
  <c r="C141" i="29"/>
  <c r="C95" i="29"/>
  <c r="C94" i="29"/>
  <c r="C93" i="29"/>
  <c r="C48" i="29"/>
  <c r="C47" i="29"/>
  <c r="C46" i="29"/>
  <c r="C10" i="16" l="1"/>
  <c r="C10" i="15"/>
  <c r="C38" i="2"/>
  <c r="G31" i="16"/>
  <c r="G30" i="16"/>
  <c r="G29" i="16"/>
  <c r="G28" i="16"/>
  <c r="G27" i="16"/>
  <c r="D26" i="16"/>
  <c r="D24" i="16" s="1"/>
  <c r="C26" i="16"/>
  <c r="C24" i="16" s="1"/>
  <c r="G25" i="16"/>
  <c r="G23" i="16"/>
  <c r="G22" i="16"/>
  <c r="G21" i="16"/>
  <c r="G20" i="16"/>
  <c r="G19" i="16"/>
  <c r="D18" i="16"/>
  <c r="C18" i="16"/>
  <c r="G17" i="16"/>
  <c r="G16" i="16"/>
  <c r="G15" i="16"/>
  <c r="G14" i="16"/>
  <c r="D13" i="16"/>
  <c r="C13"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7" i="15"/>
  <c r="F36" i="15" s="1"/>
  <c r="E37" i="15"/>
  <c r="E36" i="15" s="1"/>
  <c r="E35" i="15" s="1"/>
  <c r="D37" i="15"/>
  <c r="D36" i="15" s="1"/>
  <c r="D35" i="15" s="1"/>
  <c r="D68" i="15" s="1"/>
  <c r="C37" i="15"/>
  <c r="C36" i="15" s="1"/>
  <c r="C35" i="15" s="1"/>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E12" i="15"/>
  <c r="D12" i="15"/>
  <c r="C12" i="15"/>
  <c r="C49" i="16"/>
  <c r="C47" i="16" s="1"/>
  <c r="C40" i="16"/>
  <c r="C33" i="16" s="1"/>
  <c r="C34" i="16"/>
  <c r="C52" i="10"/>
  <c r="C42" i="13"/>
  <c r="C10" i="2"/>
  <c r="C10" i="5"/>
  <c r="C10" i="6"/>
  <c r="C10" i="10"/>
  <c r="C10" i="12"/>
  <c r="C10" i="13"/>
  <c r="E68" i="15" l="1"/>
  <c r="H66" i="15" s="1"/>
  <c r="G12" i="15"/>
  <c r="F59" i="16"/>
  <c r="E59" i="16"/>
  <c r="C55" i="16"/>
  <c r="C57" i="16" s="1"/>
  <c r="E57" i="16"/>
  <c r="E34" i="15"/>
  <c r="H30" i="15" s="1"/>
  <c r="C12" i="16"/>
  <c r="D12" i="16"/>
  <c r="C60" i="16"/>
  <c r="C34" i="15"/>
  <c r="C69" i="15" s="1"/>
  <c r="C73" i="15" s="1"/>
  <c r="D34" i="15"/>
  <c r="D69" i="15" s="1"/>
  <c r="D73" i="15" s="1"/>
  <c r="G24" i="16"/>
  <c r="G13" i="16"/>
  <c r="G18" i="16"/>
  <c r="G26" i="16"/>
  <c r="E60" i="16"/>
  <c r="F60" i="16"/>
  <c r="C32" i="16"/>
  <c r="C56" i="16" s="1"/>
  <c r="C58" i="16" s="1"/>
  <c r="G36" i="15"/>
  <c r="F34" i="15"/>
  <c r="G30" i="15"/>
  <c r="G65" i="15"/>
  <c r="F35" i="15"/>
  <c r="G37" i="15"/>
  <c r="C59" i="16"/>
  <c r="B64" i="23"/>
  <c r="AE63" i="23"/>
  <c r="R63" i="23"/>
  <c r="C63" i="23"/>
  <c r="B63" i="23"/>
  <c r="H47" i="15" l="1"/>
  <c r="H38" i="15"/>
  <c r="H67" i="15"/>
  <c r="H37" i="15"/>
  <c r="H53" i="15"/>
  <c r="H44" i="15"/>
  <c r="H65" i="15"/>
  <c r="H59" i="15"/>
  <c r="H50" i="15"/>
  <c r="H39" i="15"/>
  <c r="H42" i="15"/>
  <c r="H56" i="15"/>
  <c r="H45" i="15"/>
  <c r="H48" i="15"/>
  <c r="H63" i="15"/>
  <c r="H51" i="15"/>
  <c r="H54" i="15"/>
  <c r="H57" i="15"/>
  <c r="H60" i="15"/>
  <c r="H40" i="15"/>
  <c r="H43" i="15"/>
  <c r="H46" i="15"/>
  <c r="H49" i="15"/>
  <c r="H36" i="15"/>
  <c r="H52" i="15"/>
  <c r="H55" i="15"/>
  <c r="H58" i="15"/>
  <c r="H61" i="15"/>
  <c r="H41" i="15"/>
  <c r="H64" i="15"/>
  <c r="H12" i="15"/>
  <c r="H19" i="15"/>
  <c r="H25" i="15"/>
  <c r="H13" i="15"/>
  <c r="H20" i="15"/>
  <c r="H28" i="15"/>
  <c r="H32" i="15"/>
  <c r="H17" i="15"/>
  <c r="H23" i="15"/>
  <c r="H29" i="15"/>
  <c r="H14" i="15"/>
  <c r="H33" i="15"/>
  <c r="H21" i="15"/>
  <c r="H26" i="15"/>
  <c r="H27" i="15"/>
  <c r="H18" i="15"/>
  <c r="H31" i="15"/>
  <c r="H24" i="15"/>
  <c r="E69" i="15"/>
  <c r="E73" i="15" s="1"/>
  <c r="H15" i="15"/>
  <c r="H22" i="15"/>
  <c r="F57" i="16"/>
  <c r="H13" i="16"/>
  <c r="G12" i="16"/>
  <c r="C66" i="16"/>
  <c r="H35" i="15"/>
  <c r="G35" i="15"/>
  <c r="F68" i="15"/>
  <c r="G68" i="15" s="1"/>
  <c r="G34" i="15"/>
  <c r="C31" i="11"/>
  <c r="B65" i="23"/>
  <c r="H25" i="16" l="1"/>
  <c r="H18" i="16"/>
  <c r="H30" i="16"/>
  <c r="H21" i="16"/>
  <c r="H29" i="16"/>
  <c r="H22" i="16"/>
  <c r="H28" i="16"/>
  <c r="H23" i="16"/>
  <c r="H31" i="16"/>
  <c r="H20" i="16"/>
  <c r="H17" i="16"/>
  <c r="E66" i="16"/>
  <c r="H14" i="16"/>
  <c r="H15" i="16"/>
  <c r="H26" i="16"/>
  <c r="H19" i="16"/>
  <c r="H12" i="16"/>
  <c r="H27" i="16"/>
  <c r="H24" i="16"/>
  <c r="H16" i="16"/>
  <c r="F69" i="15"/>
  <c r="F73" i="15" s="1"/>
  <c r="F58" i="16" l="1"/>
  <c r="F66" i="16"/>
  <c r="E58" i="16"/>
  <c r="B19" i="35"/>
  <c r="AV12" i="35"/>
  <c r="AI12" i="35"/>
  <c r="U12" i="35"/>
  <c r="H12" i="35"/>
  <c r="D49" i="31"/>
  <c r="D47" i="31" l="1"/>
  <c r="E46" i="11" l="1"/>
  <c r="F46" i="11"/>
  <c r="C15" i="1" l="1"/>
  <c r="E11" i="23" l="1"/>
  <c r="F11" i="23"/>
  <c r="S11" i="23"/>
  <c r="T11" i="23"/>
  <c r="E52" i="23"/>
  <c r="F52" i="23"/>
  <c r="E10" i="19" l="1"/>
  <c r="AU12" i="35"/>
  <c r="AH12" i="35"/>
  <c r="T12" i="35"/>
  <c r="G12" i="35"/>
  <c r="G10" i="19" l="1"/>
  <c r="AT12" i="35" l="1"/>
  <c r="AG12" i="35"/>
  <c r="AE12" i="35"/>
  <c r="S12" i="35"/>
  <c r="R12" i="35"/>
  <c r="F12" i="35"/>
  <c r="B83" i="18" l="1"/>
  <c r="T83" i="23"/>
  <c r="T77" i="23"/>
  <c r="E55" i="11"/>
  <c r="E53" i="11" s="1"/>
  <c r="F55" i="11"/>
  <c r="F53" i="11" s="1"/>
  <c r="E10" i="26" l="1"/>
  <c r="C10" i="26"/>
  <c r="L12" i="28" l="1"/>
  <c r="F12" i="28"/>
  <c r="K11" i="28"/>
  <c r="I11" i="28"/>
  <c r="E11" i="28"/>
  <c r="C11" i="28"/>
  <c r="G46" i="13" l="1"/>
  <c r="G47" i="13"/>
  <c r="G48" i="13"/>
  <c r="B27" i="35" l="1"/>
  <c r="G178" i="25"/>
  <c r="B199" i="25"/>
  <c r="D189" i="25"/>
  <c r="C159" i="25"/>
  <c r="C201" i="25" s="1"/>
  <c r="D160" i="25"/>
  <c r="D156" i="25"/>
  <c r="C200" i="25"/>
  <c r="D144" i="25"/>
  <c r="D142" i="25"/>
  <c r="C199" i="25"/>
  <c r="D138" i="25"/>
  <c r="D137" i="25"/>
  <c r="D129" i="25"/>
  <c r="D127" i="25"/>
  <c r="D126" i="25"/>
  <c r="D128" i="25"/>
  <c r="D120" i="25"/>
  <c r="C118" i="25"/>
  <c r="C197" i="25" s="1"/>
  <c r="C110" i="25"/>
  <c r="C196" i="25" s="1"/>
  <c r="D108" i="25"/>
  <c r="D106" i="25"/>
  <c r="D98" i="25"/>
  <c r="D107" i="25"/>
  <c r="D93" i="25"/>
  <c r="C92" i="25"/>
  <c r="C195" i="25" s="1"/>
  <c r="C89" i="25"/>
  <c r="C194" i="25" s="1"/>
  <c r="D87" i="25"/>
  <c r="D88" i="25"/>
  <c r="D86" i="25"/>
  <c r="D85" i="25"/>
  <c r="D84" i="25"/>
  <c r="D83" i="25"/>
  <c r="D82" i="25"/>
  <c r="B82" i="25"/>
  <c r="B193" i="25" s="1"/>
  <c r="D80" i="25"/>
  <c r="D79" i="25"/>
  <c r="D78" i="25"/>
  <c r="C76" i="25"/>
  <c r="C192" i="25" s="1"/>
  <c r="D74" i="25"/>
  <c r="D72" i="25"/>
  <c r="D73" i="25"/>
  <c r="D70" i="25"/>
  <c r="D69" i="25"/>
  <c r="C62" i="25"/>
  <c r="C191" i="25" s="1"/>
  <c r="D60" i="25"/>
  <c r="D59" i="25"/>
  <c r="D58" i="25"/>
  <c r="D57" i="25"/>
  <c r="C52" i="25"/>
  <c r="C190" i="25" s="1"/>
  <c r="D49" i="25"/>
  <c r="C38" i="25"/>
  <c r="C189" i="25" s="1"/>
  <c r="C37" i="25"/>
  <c r="D35" i="25"/>
  <c r="D34" i="25"/>
  <c r="D31" i="25"/>
  <c r="D28" i="25"/>
  <c r="C30" i="25"/>
  <c r="C188" i="25" s="1"/>
  <c r="B38" i="25"/>
  <c r="B189" i="25" s="1"/>
  <c r="E178" i="25" l="1"/>
  <c r="C193" i="25"/>
  <c r="D27" i="25"/>
  <c r="D24" i="25"/>
  <c r="D22" i="25"/>
  <c r="D20" i="25"/>
  <c r="AF11" i="35"/>
  <c r="BG11" i="35"/>
  <c r="BH11" i="35"/>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1" i="10"/>
  <c r="H10" i="10"/>
  <c r="E10" i="10"/>
  <c r="I11" i="6"/>
  <c r="H11" i="6"/>
  <c r="H10" i="6"/>
  <c r="E10" i="6"/>
  <c r="I11" i="5"/>
  <c r="H10" i="5"/>
  <c r="E10" i="5"/>
  <c r="E10" i="33" l="1"/>
  <c r="C10" i="32"/>
  <c r="C10" i="31"/>
  <c r="D10" i="2" l="1"/>
  <c r="I10" i="1"/>
  <c r="B207" i="25"/>
  <c r="B205" i="25"/>
  <c r="B8" i="25"/>
  <c r="B33" i="33"/>
  <c r="Q11" i="21"/>
  <c r="Q40" i="21"/>
  <c r="Q29" i="21"/>
  <c r="Q28" i="21"/>
  <c r="Q27" i="21"/>
  <c r="Q26" i="21"/>
  <c r="Q25" i="21"/>
  <c r="Q23" i="21"/>
  <c r="Q22" i="21"/>
  <c r="Q21" i="21"/>
  <c r="Q20" i="21"/>
  <c r="Q19" i="21"/>
  <c r="Q17" i="21"/>
  <c r="Q15" i="21"/>
  <c r="Q14" i="21"/>
  <c r="B33" i="19"/>
  <c r="B35" i="32" l="1"/>
  <c r="B39" i="33"/>
  <c r="B8" i="35"/>
  <c r="C33" i="9" s="1"/>
  <c r="B8" i="27"/>
  <c r="C34" i="9" s="1"/>
  <c r="AG10" i="35"/>
  <c r="B26" i="35"/>
  <c r="B25" i="35"/>
  <c r="B24" i="35"/>
  <c r="B23" i="35"/>
  <c r="B13" i="35"/>
  <c r="C10" i="35"/>
  <c r="BH10" i="35"/>
  <c r="F10" i="35"/>
  <c r="E10" i="35"/>
  <c r="D10" i="35"/>
  <c r="B34" i="21"/>
  <c r="C10" i="33" l="1"/>
  <c r="I12" i="33"/>
  <c r="F12" i="33"/>
  <c r="H12" i="33"/>
  <c r="E12" i="33"/>
  <c r="G12" i="32"/>
  <c r="D12" i="32"/>
  <c r="F12" i="32"/>
  <c r="C12" i="32"/>
  <c r="G12" i="31"/>
  <c r="F12" i="31"/>
  <c r="D12" i="31"/>
  <c r="C12" i="31"/>
  <c r="B57" i="31"/>
  <c r="J9" i="33" l="1"/>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D49" i="16"/>
  <c r="D47" i="16" s="1"/>
  <c r="G48" i="16"/>
  <c r="G46" i="16"/>
  <c r="G45" i="16"/>
  <c r="G44" i="16"/>
  <c r="G43" i="16"/>
  <c r="G42" i="16"/>
  <c r="G41" i="16"/>
  <c r="D40" i="16"/>
  <c r="G39" i="16"/>
  <c r="G38" i="16"/>
  <c r="G37" i="16"/>
  <c r="G36" i="16"/>
  <c r="G35" i="16"/>
  <c r="D34" i="16"/>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H27" i="5"/>
  <c r="G27" i="5"/>
  <c r="H26" i="5"/>
  <c r="G26" i="5"/>
  <c r="H25" i="5"/>
  <c r="G25" i="5"/>
  <c r="D24" i="5"/>
  <c r="D22" i="5" s="1"/>
  <c r="C24" i="5"/>
  <c r="C22" i="5" s="1"/>
  <c r="H23" i="5"/>
  <c r="G23" i="5"/>
  <c r="H20" i="5"/>
  <c r="G20" i="5"/>
  <c r="H19" i="5"/>
  <c r="G19" i="5"/>
  <c r="H18" i="5"/>
  <c r="G18" i="5"/>
  <c r="D17" i="5"/>
  <c r="D12" i="5" s="1"/>
  <c r="C17" i="5"/>
  <c r="C12" i="5" s="1"/>
  <c r="H16" i="5"/>
  <c r="G16" i="5"/>
  <c r="H15" i="5"/>
  <c r="G15" i="5"/>
  <c r="H14" i="5"/>
  <c r="G14" i="5"/>
  <c r="H13" i="5"/>
  <c r="D13" i="5"/>
  <c r="C13" i="5"/>
  <c r="C23" i="33"/>
  <c r="B34" i="32"/>
  <c r="F30" i="26"/>
  <c r="E30" i="26"/>
  <c r="B22" i="26"/>
  <c r="B20" i="26"/>
  <c r="B19" i="26"/>
  <c r="B18" i="26"/>
  <c r="B17" i="26"/>
  <c r="B16" i="26"/>
  <c r="B15" i="26"/>
  <c r="C54" i="5" l="1"/>
  <c r="C30" i="5"/>
  <c r="C53" i="5" s="1"/>
  <c r="G22" i="5"/>
  <c r="H22" i="5"/>
  <c r="I46" i="5"/>
  <c r="H24" i="5"/>
  <c r="H31" i="5"/>
  <c r="I37" i="5"/>
  <c r="D54" i="5"/>
  <c r="G13" i="5"/>
  <c r="I43" i="5"/>
  <c r="G24" i="5"/>
  <c r="I45" i="5"/>
  <c r="D33" i="16"/>
  <c r="D55" i="16" s="1"/>
  <c r="D57" i="16" s="1"/>
  <c r="D60" i="16"/>
  <c r="D32" i="16"/>
  <c r="G47" i="16"/>
  <c r="G49" i="16"/>
  <c r="G40" i="16"/>
  <c r="G34" i="16"/>
  <c r="D53" i="5"/>
  <c r="D29" i="5"/>
  <c r="D51" i="5" s="1"/>
  <c r="D55" i="5" s="1"/>
  <c r="I12" i="5"/>
  <c r="G12" i="5"/>
  <c r="H12" i="5"/>
  <c r="C29" i="5"/>
  <c r="I34" i="5"/>
  <c r="H17" i="5"/>
  <c r="G30" i="5"/>
  <c r="G37" i="5"/>
  <c r="H30" i="5"/>
  <c r="H37" i="5"/>
  <c r="G43" i="5"/>
  <c r="G45" i="5"/>
  <c r="I32" i="5"/>
  <c r="I35" i="5"/>
  <c r="I40" i="5"/>
  <c r="H43" i="5"/>
  <c r="H45" i="5"/>
  <c r="I48" i="5"/>
  <c r="I31" i="5"/>
  <c r="I39" i="5"/>
  <c r="G17" i="5"/>
  <c r="I47" i="5"/>
  <c r="I33" i="5"/>
  <c r="I36" i="5"/>
  <c r="I38" i="5"/>
  <c r="I41" i="5"/>
  <c r="I44" i="5"/>
  <c r="C50" i="5" l="1"/>
  <c r="C52" i="5" s="1"/>
  <c r="G33" i="16"/>
  <c r="H54" i="16"/>
  <c r="H53" i="16"/>
  <c r="H34" i="16"/>
  <c r="H37" i="16"/>
  <c r="H43" i="16"/>
  <c r="H38" i="16"/>
  <c r="H52" i="16"/>
  <c r="H46" i="16"/>
  <c r="H36" i="16"/>
  <c r="H42" i="16"/>
  <c r="H49" i="16"/>
  <c r="H35" i="16"/>
  <c r="H51" i="16"/>
  <c r="H48" i="16"/>
  <c r="H33" i="16"/>
  <c r="H44" i="16"/>
  <c r="H47" i="16"/>
  <c r="H41" i="16"/>
  <c r="H40" i="16"/>
  <c r="H39" i="16"/>
  <c r="H45" i="16"/>
  <c r="H50" i="16"/>
  <c r="I17" i="5"/>
  <c r="D56" i="16"/>
  <c r="D66" i="16" s="1"/>
  <c r="I13" i="5"/>
  <c r="I30" i="5"/>
  <c r="D59" i="16"/>
  <c r="G55" i="16"/>
  <c r="I26" i="5"/>
  <c r="I18" i="5"/>
  <c r="I16" i="5"/>
  <c r="I24" i="5"/>
  <c r="I19" i="5"/>
  <c r="I14" i="5"/>
  <c r="I25" i="5"/>
  <c r="I23" i="5"/>
  <c r="I20" i="5"/>
  <c r="I15" i="5"/>
  <c r="I27" i="5"/>
  <c r="I22" i="5"/>
  <c r="H29" i="5"/>
  <c r="G29" i="5"/>
  <c r="B70" i="10"/>
  <c r="C51" i="5" l="1"/>
  <c r="C55" i="5" s="1"/>
  <c r="G32" i="16"/>
  <c r="H50" i="5"/>
  <c r="G50" i="5"/>
  <c r="D58" i="16"/>
  <c r="G57" i="16"/>
  <c r="B55" i="23"/>
  <c r="R55" i="23"/>
  <c r="C55" i="23"/>
  <c r="I52" i="5" l="1"/>
  <c r="G52" i="5"/>
  <c r="H52" i="5"/>
  <c r="D31" i="11"/>
  <c r="E31" i="11"/>
  <c r="F31" i="11"/>
  <c r="BH9" i="35" l="1"/>
  <c r="C31" i="33" l="1"/>
  <c r="C13" i="33"/>
  <c r="B13" i="32"/>
  <c r="B14" i="32"/>
  <c r="E14" i="31"/>
  <c r="E18" i="31"/>
  <c r="H49" i="31"/>
  <c r="G49" i="31"/>
  <c r="F49" i="31"/>
  <c r="H40" i="31"/>
  <c r="G40" i="31"/>
  <c r="F40" i="31"/>
  <c r="H34" i="31"/>
  <c r="G34" i="31"/>
  <c r="F34" i="31"/>
  <c r="H26" i="31"/>
  <c r="G26" i="31"/>
  <c r="F26" i="31"/>
  <c r="H18" i="31"/>
  <c r="G18" i="31"/>
  <c r="F18" i="31"/>
  <c r="H14" i="31"/>
  <c r="G14" i="31"/>
  <c r="F14" i="31"/>
  <c r="E49" i="31"/>
  <c r="E40" i="31"/>
  <c r="E34" i="31"/>
  <c r="E26" i="31"/>
  <c r="D40" i="31"/>
  <c r="D34" i="31"/>
  <c r="D26" i="31"/>
  <c r="D24" i="31" s="1"/>
  <c r="D18" i="31"/>
  <c r="D13" i="31" s="1"/>
  <c r="D14" i="31"/>
  <c r="F13" i="31" l="1"/>
  <c r="G13" i="31"/>
  <c r="H13" i="31"/>
  <c r="G24" i="31"/>
  <c r="H47" i="31"/>
  <c r="F47" i="31"/>
  <c r="G47" i="31"/>
  <c r="E47" i="31"/>
  <c r="D33" i="31"/>
  <c r="F24" i="31"/>
  <c r="E24" i="31"/>
  <c r="H24" i="31"/>
  <c r="E33" i="31"/>
  <c r="F33" i="31"/>
  <c r="G33" i="31"/>
  <c r="H33" i="31"/>
  <c r="C37" i="33"/>
  <c r="E13" i="31"/>
  <c r="D32" i="31"/>
  <c r="G32" i="31"/>
  <c r="S10" i="23"/>
  <c r="E10" i="23"/>
  <c r="S51" i="23"/>
  <c r="E51" i="23"/>
  <c r="F55" i="31" l="1"/>
  <c r="F32" i="31"/>
  <c r="H55" i="31"/>
  <c r="E55" i="31"/>
  <c r="H32" i="31"/>
  <c r="E32" i="31"/>
  <c r="G55" i="31"/>
  <c r="D55" i="31"/>
  <c r="F56" i="31" l="1"/>
  <c r="D56" i="31"/>
  <c r="G56" i="31"/>
  <c r="F58" i="31"/>
  <c r="H58" i="31"/>
  <c r="E58" i="31"/>
  <c r="H56" i="31"/>
  <c r="E56" i="31"/>
  <c r="G58" i="31"/>
  <c r="D58" i="31"/>
  <c r="F12" i="26"/>
  <c r="E12" i="26"/>
  <c r="H59" i="31" l="1"/>
  <c r="E59" i="31"/>
  <c r="F59" i="31"/>
  <c r="D59" i="31"/>
  <c r="G59" i="31"/>
  <c r="B8" i="26"/>
  <c r="B8" i="13" l="1"/>
  <c r="B8" i="12"/>
  <c r="C13" i="10" l="1"/>
  <c r="G10" i="13"/>
  <c r="D10" i="13"/>
  <c r="G10" i="12"/>
  <c r="D10" i="12"/>
  <c r="G10" i="11"/>
  <c r="D10" i="11"/>
  <c r="G10" i="10"/>
  <c r="D10" i="10"/>
  <c r="B61" i="5"/>
  <c r="B9" i="33" l="1"/>
  <c r="B9" i="32"/>
  <c r="B9" i="31"/>
  <c r="B9" i="35"/>
  <c r="B76" i="23" l="1"/>
  <c r="AE76" i="23"/>
  <c r="C76" i="23"/>
  <c r="B69" i="23" l="1"/>
  <c r="H12" i="12" l="1"/>
  <c r="C173" i="29"/>
  <c r="C172" i="29"/>
  <c r="C139" i="29"/>
  <c r="C138" i="29"/>
  <c r="C91" i="29"/>
  <c r="C90" i="29"/>
  <c r="C44" i="29"/>
  <c r="C43" i="29"/>
  <c r="C171" i="29" l="1"/>
  <c r="C137" i="29"/>
  <c r="C89" i="29"/>
  <c r="C42" i="29"/>
  <c r="N46" i="2" l="1"/>
  <c r="M46" i="2"/>
  <c r="L46" i="2"/>
  <c r="K46" i="2"/>
  <c r="J46" i="2"/>
  <c r="I46" i="2"/>
  <c r="H46" i="2"/>
  <c r="G46" i="2"/>
  <c r="F46" i="2"/>
  <c r="E46" i="2"/>
  <c r="D46" i="2"/>
  <c r="N38" i="2"/>
  <c r="M38" i="2"/>
  <c r="L38" i="2"/>
  <c r="K38" i="2"/>
  <c r="J38" i="2"/>
  <c r="I38" i="2"/>
  <c r="H38" i="2"/>
  <c r="G38" i="2"/>
  <c r="F38" i="2"/>
  <c r="E38" i="2"/>
  <c r="D38" i="2"/>
  <c r="N32" i="2"/>
  <c r="M32" i="2"/>
  <c r="L32" i="2"/>
  <c r="K32" i="2"/>
  <c r="J32" i="2"/>
  <c r="I32" i="2"/>
  <c r="H32" i="2"/>
  <c r="G32" i="2"/>
  <c r="F32" i="2"/>
  <c r="E32" i="2"/>
  <c r="D32" i="2"/>
  <c r="N25" i="2"/>
  <c r="M25" i="2"/>
  <c r="L25" i="2"/>
  <c r="K25" i="2"/>
  <c r="J25" i="2"/>
  <c r="I25" i="2"/>
  <c r="H25" i="2"/>
  <c r="G25" i="2"/>
  <c r="F25" i="2"/>
  <c r="E25" i="2"/>
  <c r="D25" i="2"/>
  <c r="N18" i="2"/>
  <c r="M18" i="2"/>
  <c r="L18" i="2"/>
  <c r="K18" i="2"/>
  <c r="J18" i="2"/>
  <c r="I18" i="2"/>
  <c r="H18" i="2"/>
  <c r="G18" i="2"/>
  <c r="F18" i="2"/>
  <c r="E18" i="2"/>
  <c r="D18" i="2"/>
  <c r="N14" i="2"/>
  <c r="M14" i="2"/>
  <c r="L14" i="2"/>
  <c r="K14" i="2"/>
  <c r="J14" i="2"/>
  <c r="I14" i="2"/>
  <c r="H14" i="2"/>
  <c r="G14" i="2"/>
  <c r="F14" i="2"/>
  <c r="E14" i="2"/>
  <c r="D14" i="2"/>
  <c r="B72" i="23" l="1"/>
  <c r="B73" i="23"/>
  <c r="AE72" i="23" l="1"/>
  <c r="R72" i="23"/>
  <c r="C72" i="23"/>
  <c r="AE70" i="23"/>
  <c r="R70" i="23"/>
  <c r="C70" i="23"/>
  <c r="B70" i="23"/>
  <c r="B30" i="19" l="1"/>
  <c r="B29" i="19"/>
  <c r="B28" i="19"/>
  <c r="B27" i="19"/>
  <c r="B26" i="19"/>
  <c r="B25" i="19"/>
  <c r="B21" i="19"/>
  <c r="B20" i="19"/>
  <c r="B23" i="19"/>
  <c r="B16" i="19"/>
  <c r="B15" i="19"/>
  <c r="B14" i="19"/>
  <c r="B18" i="19"/>
  <c r="C26" i="31" l="1"/>
  <c r="C49" i="31"/>
  <c r="C40" i="31"/>
  <c r="C34" i="31"/>
  <c r="C14" i="31"/>
  <c r="B61" i="31"/>
  <c r="C47" i="31" l="1"/>
  <c r="C33" i="31"/>
  <c r="C170" i="29" l="1"/>
  <c r="C136" i="29"/>
  <c r="C88" i="29"/>
  <c r="C41" i="29" l="1"/>
  <c r="B35" i="19" l="1"/>
  <c r="B32" i="19"/>
  <c r="AE81" i="23" l="1"/>
  <c r="C81" i="23"/>
  <c r="C169" i="29" l="1"/>
  <c r="C135" i="29"/>
  <c r="C87" i="29"/>
  <c r="C40" i="29" l="1"/>
  <c r="E33" i="26" l="1"/>
  <c r="B17" i="19"/>
  <c r="B35" i="33" l="1"/>
  <c r="B36" i="33"/>
  <c r="B34" i="33"/>
  <c r="B32" i="33"/>
  <c r="B29" i="33"/>
  <c r="B28" i="33"/>
  <c r="B27" i="33"/>
  <c r="B26" i="33"/>
  <c r="B25" i="33"/>
  <c r="B24" i="33"/>
  <c r="B31" i="33"/>
  <c r="B23" i="33"/>
  <c r="B13" i="33"/>
  <c r="B22" i="33"/>
  <c r="B21" i="33"/>
  <c r="B20" i="33"/>
  <c r="B19" i="33"/>
  <c r="B18" i="33"/>
  <c r="B17" i="33"/>
  <c r="B16" i="33"/>
  <c r="B14" i="33"/>
  <c r="B15" i="33"/>
  <c r="G23" i="2" l="1"/>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68" i="29"/>
  <c r="C167" i="29"/>
  <c r="C134" i="29"/>
  <c r="C133" i="29"/>
  <c r="C86" i="29"/>
  <c r="C85" i="29"/>
  <c r="C39" i="29"/>
  <c r="C38" i="29"/>
  <c r="C24" i="31" l="1"/>
  <c r="C13" i="31"/>
  <c r="D34" i="26" l="1"/>
  <c r="C34" i="26"/>
  <c r="B80" i="23" l="1"/>
  <c r="C57" i="21"/>
  <c r="B12" i="26"/>
  <c r="C13" i="25"/>
  <c r="C185" i="25" s="1"/>
  <c r="B57" i="23" l="1"/>
  <c r="I16" i="1" l="1"/>
  <c r="I17" i="1"/>
  <c r="I18" i="1"/>
  <c r="I20" i="1"/>
  <c r="I21" i="1"/>
  <c r="C21" i="14" l="1"/>
  <c r="D21" i="14"/>
  <c r="C37" i="29" l="1"/>
  <c r="C84" i="29"/>
  <c r="C132" i="29"/>
  <c r="C166" i="29"/>
  <c r="C165" i="29"/>
  <c r="H153" i="29"/>
  <c r="H106" i="29"/>
  <c r="B104" i="29"/>
  <c r="D153" i="25" l="1"/>
  <c r="B200" i="25" l="1"/>
  <c r="B92" i="25"/>
  <c r="B195" i="25" s="1"/>
  <c r="B131" i="25"/>
  <c r="B198" i="25" s="1"/>
  <c r="C131" i="25"/>
  <c r="C198" i="25" s="1"/>
  <c r="B76" i="25"/>
  <c r="B192" i="25" s="1"/>
  <c r="B196" i="25"/>
  <c r="D131" i="25"/>
  <c r="D104" i="25"/>
  <c r="D95" i="25"/>
  <c r="D94" i="25"/>
  <c r="C54" i="21" l="1"/>
  <c r="B36" i="21"/>
  <c r="D10" i="5" l="1"/>
  <c r="C53" i="21" l="1"/>
  <c r="D25" i="18" l="1"/>
  <c r="B8" i="20" l="1"/>
  <c r="C131" i="29" l="1"/>
  <c r="C83" i="29"/>
  <c r="C36" i="29"/>
  <c r="C38" i="14"/>
  <c r="C32" i="14"/>
  <c r="C28" i="14"/>
  <c r="C19" i="14"/>
  <c r="C18" i="14" s="1"/>
  <c r="C15" i="14"/>
  <c r="C13" i="14" s="1"/>
  <c r="C52" i="13"/>
  <c r="C50" i="13" s="1"/>
  <c r="C36" i="13"/>
  <c r="C27" i="13"/>
  <c r="C25" i="13" s="1"/>
  <c r="C18" i="13"/>
  <c r="C13" i="13"/>
  <c r="C52" i="12"/>
  <c r="C50" i="12" s="1"/>
  <c r="C42" i="12"/>
  <c r="C36" i="12"/>
  <c r="C27" i="12"/>
  <c r="C25" i="12" s="1"/>
  <c r="C18" i="12"/>
  <c r="C13" i="12"/>
  <c r="C50" i="10"/>
  <c r="C42" i="10"/>
  <c r="C36" i="10"/>
  <c r="C45" i="6"/>
  <c r="C43" i="6" s="1"/>
  <c r="C37" i="6"/>
  <c r="C31" i="6"/>
  <c r="C22" i="6"/>
  <c r="C12" i="6"/>
  <c r="C13" i="6"/>
  <c r="C12" i="12" l="1"/>
  <c r="C34" i="12" s="1"/>
  <c r="C35" i="13"/>
  <c r="C30" i="6"/>
  <c r="C12" i="13"/>
  <c r="C34" i="13" s="1"/>
  <c r="C18" i="10"/>
  <c r="C35" i="10"/>
  <c r="C25" i="10"/>
  <c r="C35" i="12"/>
  <c r="C31" i="14"/>
  <c r="C46" i="14" s="1"/>
  <c r="C12" i="14"/>
  <c r="C30" i="14" l="1"/>
  <c r="C47" i="14"/>
  <c r="E13" i="11"/>
  <c r="F13" i="11"/>
  <c r="E17" i="11"/>
  <c r="F17" i="11"/>
  <c r="E26" i="11"/>
  <c r="F26" i="11"/>
  <c r="E36" i="11"/>
  <c r="F36" i="11"/>
  <c r="E40" i="11"/>
  <c r="F40" i="11"/>
  <c r="F30" i="11" l="1"/>
  <c r="F29" i="11" s="1"/>
  <c r="E30" i="11"/>
  <c r="E29" i="11" s="1"/>
  <c r="F12" i="11"/>
  <c r="E12" i="11"/>
  <c r="AE80" i="23"/>
  <c r="C80" i="23"/>
  <c r="H13" i="10" l="1"/>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H12" i="10" l="1"/>
  <c r="C164" i="29"/>
  <c r="C130" i="29"/>
  <c r="C82"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B54" i="2" l="1"/>
  <c r="B8" i="33" l="1"/>
  <c r="C24" i="9" s="1"/>
  <c r="C32" i="9" l="1"/>
  <c r="C31" i="9"/>
  <c r="B8" i="23"/>
  <c r="C29" i="9" s="1"/>
  <c r="B8" i="29"/>
  <c r="C28" i="9" s="1"/>
  <c r="B8" i="21"/>
  <c r="C27" i="9" s="1"/>
  <c r="C26" i="9"/>
  <c r="B8" i="19"/>
  <c r="C25" i="9" s="1"/>
  <c r="B8" i="32"/>
  <c r="C23" i="9" s="1"/>
  <c r="B62" i="31"/>
  <c r="B60" i="31"/>
  <c r="B8" i="31"/>
  <c r="B37" i="33"/>
  <c r="B38" i="33"/>
  <c r="C22" i="9" l="1"/>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l="1"/>
  <c r="C56" i="31"/>
  <c r="C59" i="31" l="1"/>
  <c r="B41" i="18"/>
  <c r="C163" i="29" l="1"/>
  <c r="C129" i="29"/>
  <c r="C81" i="29"/>
  <c r="C34" i="29"/>
  <c r="AE74" i="23" l="1"/>
  <c r="D50" i="25" l="1"/>
  <c r="D48" i="25"/>
  <c r="D92" i="25"/>
  <c r="D118" i="25"/>
  <c r="D140" i="25"/>
  <c r="D159" i="25"/>
  <c r="D30" i="25"/>
  <c r="D52" i="25"/>
  <c r="D13" i="25"/>
  <c r="D154" i="25"/>
  <c r="D109" i="25"/>
  <c r="D103" i="25"/>
  <c r="D101" i="25"/>
  <c r="D100" i="25"/>
  <c r="D99" i="25"/>
  <c r="D97" i="25"/>
  <c r="D96" i="25"/>
  <c r="D116" i="25" l="1"/>
  <c r="D115" i="25"/>
  <c r="B54" i="10" l="1"/>
  <c r="B82" i="23" l="1"/>
  <c r="C45" i="21"/>
  <c r="B58" i="6" l="1"/>
  <c r="B57" i="6"/>
  <c r="B19" i="19" l="1"/>
  <c r="B22" i="19" l="1"/>
  <c r="B77" i="13" l="1"/>
  <c r="B76" i="13"/>
  <c r="B79" i="23"/>
  <c r="B74" i="23"/>
  <c r="AE79" i="23"/>
  <c r="C79" i="23"/>
  <c r="R74" i="23"/>
  <c r="C74" i="23"/>
  <c r="B8" i="18"/>
  <c r="B8" i="17"/>
  <c r="B8" i="16"/>
  <c r="B8" i="15"/>
  <c r="B8" i="14"/>
  <c r="B8" i="11"/>
  <c r="B8" i="10"/>
  <c r="B8" i="6"/>
  <c r="B8" i="5"/>
  <c r="D77" i="18" l="1"/>
  <c r="C77" i="18"/>
  <c r="D61" i="18" l="1"/>
  <c r="D54" i="18"/>
  <c r="D48" i="18"/>
  <c r="C48" i="18"/>
  <c r="D36" i="18"/>
  <c r="C36" i="18"/>
  <c r="D22" i="18"/>
  <c r="C22" i="18"/>
  <c r="D14" i="18"/>
  <c r="C14" i="18"/>
  <c r="C34" i="18" l="1"/>
  <c r="E61" i="18"/>
  <c r="E48" i="18"/>
  <c r="E36" i="18"/>
  <c r="E54" i="18"/>
  <c r="E22" i="18"/>
  <c r="E14" i="18"/>
  <c r="D59" i="18"/>
  <c r="D47" i="18"/>
  <c r="C47" i="18"/>
  <c r="D34" i="18"/>
  <c r="C13" i="18"/>
  <c r="D13" i="18"/>
  <c r="C70" i="18" l="1"/>
  <c r="D70" i="18"/>
  <c r="E59" i="18"/>
  <c r="E34" i="18"/>
  <c r="E13" i="18"/>
  <c r="C12" i="18"/>
  <c r="E47" i="18"/>
  <c r="C65" i="18"/>
  <c r="D65" i="18"/>
  <c r="D12" i="18"/>
  <c r="C46" i="18" l="1"/>
  <c r="C69" i="18"/>
  <c r="E12" i="18"/>
  <c r="E65" i="18"/>
  <c r="D67" i="18"/>
  <c r="C67" i="18"/>
  <c r="D46" i="18"/>
  <c r="D69" i="18"/>
  <c r="C66" i="18" l="1"/>
  <c r="E46" i="18"/>
  <c r="E67" i="18"/>
  <c r="C68" i="18"/>
  <c r="D68" i="18"/>
  <c r="D66" i="18"/>
  <c r="C76" i="18" l="1"/>
  <c r="D76" i="18"/>
  <c r="F29" i="26" l="1"/>
  <c r="E29" i="26"/>
  <c r="C55" i="11" l="1"/>
  <c r="C53" i="11" s="1"/>
  <c r="C46" i="11"/>
  <c r="C40" i="11"/>
  <c r="C36" i="11"/>
  <c r="C26" i="11"/>
  <c r="C17" i="11"/>
  <c r="C13" i="11"/>
  <c r="C30" i="11" l="1"/>
  <c r="C29" i="11" s="1"/>
  <c r="C12" i="11"/>
  <c r="D38" i="14"/>
  <c r="D32" i="14"/>
  <c r="C50" i="14"/>
  <c r="D28" i="14"/>
  <c r="D19" i="14"/>
  <c r="D18" i="14" s="1"/>
  <c r="D15" i="14"/>
  <c r="D13" i="14" s="1"/>
  <c r="C12" i="10" l="1"/>
  <c r="D31" i="14"/>
  <c r="D12" i="14"/>
  <c r="C162" i="29" l="1"/>
  <c r="C128" i="29"/>
  <c r="C80" i="29"/>
  <c r="C33" i="29"/>
  <c r="D10" i="20"/>
  <c r="C10" i="20"/>
  <c r="D10" i="19"/>
  <c r="D10" i="16"/>
  <c r="D10" i="15"/>
  <c r="G10" i="14"/>
  <c r="D10" i="14"/>
  <c r="G10" i="6"/>
  <c r="D10" i="6"/>
  <c r="B57" i="11" l="1"/>
  <c r="B76" i="17"/>
  <c r="B8" i="1"/>
  <c r="B71" i="10" l="1"/>
  <c r="B67" i="23" l="1"/>
  <c r="B68" i="23" l="1"/>
  <c r="I154" i="29" l="1"/>
  <c r="AE82" i="23" l="1"/>
  <c r="AE37" i="23" s="1"/>
  <c r="AE66" i="23" l="1"/>
  <c r="R66" i="23"/>
  <c r="C66" i="23"/>
  <c r="B66" i="23"/>
  <c r="AE67" i="23"/>
  <c r="R67" i="23"/>
  <c r="C67" i="23"/>
  <c r="B61" i="10" l="1"/>
  <c r="B61" i="12"/>
  <c r="B61" i="13"/>
  <c r="B188" i="29" l="1"/>
  <c r="B187" i="29"/>
  <c r="B186" i="29"/>
  <c r="B185" i="29"/>
  <c r="C160" i="29"/>
  <c r="C158" i="29"/>
  <c r="C156" i="29"/>
  <c r="L154" i="29"/>
  <c r="K154" i="29"/>
  <c r="J154" i="29"/>
  <c r="G154" i="29"/>
  <c r="F154" i="29"/>
  <c r="E154" i="29"/>
  <c r="D154" i="29"/>
  <c r="M153" i="29"/>
  <c r="I153" i="29"/>
  <c r="D153" i="29"/>
  <c r="O152" i="29"/>
  <c r="N152" i="29"/>
  <c r="I152" i="29"/>
  <c r="D152" i="29"/>
  <c r="C126" i="29"/>
  <c r="C124" i="29"/>
  <c r="C122" i="29"/>
  <c r="C120" i="29"/>
  <c r="C119" i="29"/>
  <c r="C118" i="29"/>
  <c r="C117" i="29"/>
  <c r="C116" i="29"/>
  <c r="C115" i="29"/>
  <c r="C114" i="29"/>
  <c r="C113" i="29"/>
  <c r="C112" i="29"/>
  <c r="C111" i="29"/>
  <c r="C110" i="29"/>
  <c r="C109" i="29"/>
  <c r="L107" i="29"/>
  <c r="K107" i="29"/>
  <c r="J107" i="29"/>
  <c r="I107" i="29"/>
  <c r="G107" i="29"/>
  <c r="F107" i="29"/>
  <c r="E107" i="29"/>
  <c r="D107" i="29"/>
  <c r="M106" i="29"/>
  <c r="I106" i="29"/>
  <c r="D106" i="29"/>
  <c r="O105" i="29"/>
  <c r="N105" i="29"/>
  <c r="I105" i="29"/>
  <c r="D105" i="29"/>
  <c r="C78" i="29"/>
  <c r="C76" i="29"/>
  <c r="C74" i="29"/>
  <c r="C72" i="29"/>
  <c r="C71" i="29"/>
  <c r="C70" i="29"/>
  <c r="C69" i="29"/>
  <c r="C68" i="29"/>
  <c r="C67" i="29"/>
  <c r="C66" i="29"/>
  <c r="C65" i="29"/>
  <c r="C64" i="29"/>
  <c r="C63" i="29"/>
  <c r="C62" i="29"/>
  <c r="C61" i="29"/>
  <c r="G59" i="29"/>
  <c r="F59" i="29"/>
  <c r="E59" i="29"/>
  <c r="D59" i="29"/>
  <c r="I58" i="29"/>
  <c r="H58" i="29"/>
  <c r="D58" i="29"/>
  <c r="I57" i="29"/>
  <c r="D57" i="29"/>
  <c r="C31" i="29"/>
  <c r="C29" i="29"/>
  <c r="C27" i="29"/>
  <c r="C25" i="29"/>
  <c r="C24" i="29"/>
  <c r="C23" i="29"/>
  <c r="C22" i="29"/>
  <c r="C21" i="29"/>
  <c r="C20" i="29"/>
  <c r="C19" i="29"/>
  <c r="C18" i="29"/>
  <c r="C17" i="29"/>
  <c r="C16" i="29"/>
  <c r="C15" i="29"/>
  <c r="C14" i="29"/>
  <c r="I11" i="29"/>
  <c r="I10" i="29"/>
  <c r="B14" i="1" l="1"/>
  <c r="H68" i="12" l="1"/>
  <c r="J34" i="28"/>
  <c r="I34" i="28"/>
  <c r="B71" i="23"/>
  <c r="B213" i="25"/>
  <c r="B78" i="23"/>
  <c r="B85" i="23"/>
  <c r="AE78" i="23"/>
  <c r="AE33" i="23" s="1"/>
  <c r="C78" i="23"/>
  <c r="AE85" i="23"/>
  <c r="C85" i="23"/>
  <c r="B66" i="17"/>
  <c r="J24" i="1"/>
  <c r="I24" i="1"/>
  <c r="J21" i="1"/>
  <c r="J20" i="1"/>
  <c r="J18" i="1"/>
  <c r="J17" i="1"/>
  <c r="J16" i="1"/>
  <c r="N44" i="2"/>
  <c r="C46" i="2"/>
  <c r="C44" i="2" s="1"/>
  <c r="N23" i="2"/>
  <c r="C25" i="2"/>
  <c r="C23" i="2" s="1"/>
  <c r="B46" i="28"/>
  <c r="B182"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C39" i="21"/>
  <c r="C42" i="21"/>
  <c r="C43" i="21"/>
  <c r="C44" i="21"/>
  <c r="C47" i="21"/>
  <c r="C48" i="21"/>
  <c r="C49" i="21"/>
  <c r="C50" i="21"/>
  <c r="C51" i="21"/>
  <c r="B60" i="23"/>
  <c r="AE73" i="23"/>
  <c r="R73" i="23"/>
  <c r="C73" i="23"/>
  <c r="B40" i="20"/>
  <c r="C15" i="9"/>
  <c r="B508" i="27"/>
  <c r="C26" i="25"/>
  <c r="C17" i="25"/>
  <c r="D16" i="25"/>
  <c r="D148" i="25"/>
  <c r="B37" i="26"/>
  <c r="H32" i="10"/>
  <c r="H31" i="10"/>
  <c r="G29" i="10"/>
  <c r="G26" i="10"/>
  <c r="G22" i="10"/>
  <c r="B38" i="26"/>
  <c r="B36" i="26"/>
  <c r="B35" i="26"/>
  <c r="B34" i="26"/>
  <c r="F33" i="26"/>
  <c r="B33" i="26"/>
  <c r="D32" i="26"/>
  <c r="C32" i="26"/>
  <c r="C35" i="26" s="1"/>
  <c r="B32" i="26"/>
  <c r="F31" i="26"/>
  <c r="E31" i="26"/>
  <c r="F28" i="26"/>
  <c r="E28" i="26"/>
  <c r="F27" i="26"/>
  <c r="E27" i="26"/>
  <c r="F26" i="26"/>
  <c r="E26" i="26"/>
  <c r="F25" i="26"/>
  <c r="E25"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211" i="25"/>
  <c r="B208" i="25"/>
  <c r="D201" i="25"/>
  <c r="D200" i="25"/>
  <c r="D199" i="25"/>
  <c r="D198" i="25"/>
  <c r="D197" i="25"/>
  <c r="D196" i="25"/>
  <c r="D195" i="25"/>
  <c r="D194" i="25"/>
  <c r="D193" i="25"/>
  <c r="D192" i="25"/>
  <c r="D191" i="25"/>
  <c r="D190" i="25"/>
  <c r="D188" i="25"/>
  <c r="D187" i="25"/>
  <c r="D186" i="25"/>
  <c r="D185" i="25"/>
  <c r="G183" i="25"/>
  <c r="D183" i="25"/>
  <c r="C183" i="25"/>
  <c r="B183" i="25"/>
  <c r="G182" i="25"/>
  <c r="B180" i="25"/>
  <c r="B178" i="25"/>
  <c r="D152" i="25"/>
  <c r="D151" i="25"/>
  <c r="D150" i="25"/>
  <c r="D149" i="25"/>
  <c r="D158" i="25"/>
  <c r="D157" i="25"/>
  <c r="D105" i="25"/>
  <c r="D136" i="25"/>
  <c r="D102" i="25"/>
  <c r="D135" i="25"/>
  <c r="D134" i="25"/>
  <c r="D133" i="25"/>
  <c r="D139" i="25"/>
  <c r="D91" i="25"/>
  <c r="D89" i="25"/>
  <c r="D90" i="25"/>
  <c r="B89" i="25"/>
  <c r="B194" i="25" s="1"/>
  <c r="D125" i="25"/>
  <c r="D124" i="25"/>
  <c r="D123" i="25"/>
  <c r="D122" i="25"/>
  <c r="D121" i="25"/>
  <c r="D119" i="25"/>
  <c r="B118" i="25"/>
  <c r="B197" i="25" s="1"/>
  <c r="D77" i="25"/>
  <c r="D76" i="25"/>
  <c r="D161" i="25"/>
  <c r="B159" i="25"/>
  <c r="B201" i="25" s="1"/>
  <c r="D114" i="25"/>
  <c r="D113" i="25"/>
  <c r="D112" i="25"/>
  <c r="D111" i="25"/>
  <c r="D110" i="25"/>
  <c r="D117" i="25"/>
  <c r="D37" i="25"/>
  <c r="B30" i="25"/>
  <c r="B188" i="25" s="1"/>
  <c r="D56" i="25"/>
  <c r="D55" i="25"/>
  <c r="D54" i="25"/>
  <c r="D53" i="25"/>
  <c r="D61" i="25"/>
  <c r="B52" i="25"/>
  <c r="B190" i="25" s="1"/>
  <c r="D71" i="25"/>
  <c r="D68" i="25"/>
  <c r="D67" i="25"/>
  <c r="D66" i="25"/>
  <c r="D65" i="25"/>
  <c r="D64" i="25"/>
  <c r="D75" i="25"/>
  <c r="B62" i="25"/>
  <c r="B191" i="25" s="1"/>
  <c r="D47" i="25"/>
  <c r="D46" i="25"/>
  <c r="D45" i="25"/>
  <c r="D44" i="25"/>
  <c r="D43" i="25"/>
  <c r="D42" i="25"/>
  <c r="D41" i="25"/>
  <c r="D40" i="25"/>
  <c r="D39" i="25"/>
  <c r="D38" i="25"/>
  <c r="D26" i="25"/>
  <c r="B26" i="25"/>
  <c r="B187" i="25" s="1"/>
  <c r="D21" i="25"/>
  <c r="D19" i="25"/>
  <c r="D33" i="25"/>
  <c r="D18" i="25"/>
  <c r="D17" i="25"/>
  <c r="B17" i="25"/>
  <c r="B186" i="25" s="1"/>
  <c r="D15" i="25"/>
  <c r="D14" i="25"/>
  <c r="B13" i="25"/>
  <c r="B185" i="25" s="1"/>
  <c r="D10" i="25"/>
  <c r="C10" i="25"/>
  <c r="B10" i="25"/>
  <c r="G9" i="25"/>
  <c r="B91" i="23"/>
  <c r="B90" i="23"/>
  <c r="B89" i="23"/>
  <c r="B88" i="23"/>
  <c r="B87" i="23"/>
  <c r="AE84" i="23"/>
  <c r="C84" i="23"/>
  <c r="B84" i="23"/>
  <c r="AE83" i="23"/>
  <c r="C83" i="23"/>
  <c r="B83" i="23"/>
  <c r="C82" i="23"/>
  <c r="AE77" i="23"/>
  <c r="AE32" i="23" s="1"/>
  <c r="C77" i="23"/>
  <c r="B77" i="23"/>
  <c r="AE75" i="23"/>
  <c r="AE29" i="23" s="1"/>
  <c r="C75" i="23"/>
  <c r="AE71" i="23"/>
  <c r="R71" i="23"/>
  <c r="C71" i="23"/>
  <c r="AE69" i="23"/>
  <c r="R69" i="23"/>
  <c r="C69" i="23"/>
  <c r="AE68" i="23"/>
  <c r="R68" i="23"/>
  <c r="C68" i="23"/>
  <c r="AE65" i="23"/>
  <c r="R65" i="23"/>
  <c r="C65" i="23"/>
  <c r="AE64" i="23"/>
  <c r="R64" i="23"/>
  <c r="C64" i="23"/>
  <c r="AE62" i="23"/>
  <c r="R62" i="23"/>
  <c r="C62" i="23"/>
  <c r="B62" i="23"/>
  <c r="AE61" i="23"/>
  <c r="R61" i="23"/>
  <c r="C61" i="23"/>
  <c r="B61" i="23"/>
  <c r="AE60" i="23"/>
  <c r="R60" i="23"/>
  <c r="C60" i="23"/>
  <c r="AE59" i="23"/>
  <c r="R59" i="23"/>
  <c r="C59" i="23"/>
  <c r="B59" i="23"/>
  <c r="AE58" i="23"/>
  <c r="R58" i="23"/>
  <c r="C58" i="23"/>
  <c r="B58" i="23"/>
  <c r="AE57" i="23"/>
  <c r="R57" i="23"/>
  <c r="C57" i="23"/>
  <c r="AE56" i="23"/>
  <c r="AE13" i="23" s="1"/>
  <c r="R56" i="23"/>
  <c r="C56" i="23"/>
  <c r="B56"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50"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AE11" i="23"/>
  <c r="AD11" i="23"/>
  <c r="AC11" i="23"/>
  <c r="AB11" i="23"/>
  <c r="AA11" i="23"/>
  <c r="Z11" i="23"/>
  <c r="Y11" i="23"/>
  <c r="X11" i="23"/>
  <c r="W11" i="23"/>
  <c r="R11" i="23"/>
  <c r="Q11" i="23"/>
  <c r="P11" i="23"/>
  <c r="O11" i="23"/>
  <c r="N11" i="23"/>
  <c r="M11" i="23"/>
  <c r="L11" i="23"/>
  <c r="K11" i="23"/>
  <c r="J11" i="23"/>
  <c r="I11" i="23"/>
  <c r="D10" i="23"/>
  <c r="AE9" i="23"/>
  <c r="C52" i="21"/>
  <c r="Q38"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I9" i="14"/>
  <c r="C17" i="9"/>
  <c r="B77" i="12"/>
  <c r="B73" i="13"/>
  <c r="B71" i="13"/>
  <c r="B70" i="13"/>
  <c r="B69" i="13"/>
  <c r="B68" i="13"/>
  <c r="B67" i="13"/>
  <c r="B66" i="13"/>
  <c r="B65" i="13"/>
  <c r="B64" i="13"/>
  <c r="B63" i="13"/>
  <c r="B62" i="13"/>
  <c r="B60" i="13"/>
  <c r="B59" i="13"/>
  <c r="B58" i="13"/>
  <c r="H57" i="13"/>
  <c r="G57" i="13"/>
  <c r="B57" i="13"/>
  <c r="H56" i="13"/>
  <c r="G56" i="13"/>
  <c r="B56" i="13"/>
  <c r="H55" i="13"/>
  <c r="G55" i="13"/>
  <c r="B55" i="13"/>
  <c r="H54" i="13"/>
  <c r="G54" i="13"/>
  <c r="B54" i="13"/>
  <c r="H53" i="13"/>
  <c r="G53" i="13"/>
  <c r="B53" i="13"/>
  <c r="D50" i="13"/>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52" i="14"/>
  <c r="B60" i="5"/>
  <c r="H11" i="5"/>
  <c r="G10" i="5"/>
  <c r="I9" i="5"/>
  <c r="C11" i="9"/>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5" i="1"/>
  <c r="D24" i="1"/>
  <c r="C24" i="1"/>
  <c r="B24" i="1"/>
  <c r="B23" i="1"/>
  <c r="B22" i="1"/>
  <c r="B13" i="1"/>
  <c r="B12" i="1"/>
  <c r="J11" i="1"/>
  <c r="I11" i="1"/>
  <c r="G10" i="1"/>
  <c r="E10" i="1"/>
  <c r="C10" i="1"/>
  <c r="J9" i="1"/>
  <c r="C9" i="9"/>
  <c r="B9" i="26"/>
  <c r="B9" i="11"/>
  <c r="B9" i="17"/>
  <c r="B9" i="15"/>
  <c r="B9" i="18"/>
  <c r="B9" i="1"/>
  <c r="B9" i="12"/>
  <c r="B9" i="10"/>
  <c r="B9" i="16"/>
  <c r="B9" i="14"/>
  <c r="G32" i="10"/>
  <c r="G21" i="10"/>
  <c r="H19" i="10"/>
  <c r="F50" i="18"/>
  <c r="H30" i="10"/>
  <c r="E34" i="26"/>
  <c r="F63" i="18"/>
  <c r="F57" i="18"/>
  <c r="F51" i="18"/>
  <c r="F56" i="18"/>
  <c r="F61" i="18"/>
  <c r="H21" i="10"/>
  <c r="F49" i="18"/>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G23" i="26" l="1"/>
  <c r="G24" i="26"/>
  <c r="C186" i="25"/>
  <c r="D25" i="25"/>
  <c r="AE19" i="23"/>
  <c r="AE14" i="23"/>
  <c r="AE53" i="23"/>
  <c r="AE39" i="23"/>
  <c r="AE38" i="23" s="1"/>
  <c r="D29" i="25"/>
  <c r="C187" i="25"/>
  <c r="J44" i="2"/>
  <c r="H16" i="23"/>
  <c r="H12" i="23" s="1"/>
  <c r="D35" i="26"/>
  <c r="G76" i="2"/>
  <c r="D18" i="28"/>
  <c r="K36" i="28"/>
  <c r="G13" i="12"/>
  <c r="F36" i="28"/>
  <c r="D51" i="25"/>
  <c r="D12" i="13"/>
  <c r="I14" i="28"/>
  <c r="AB31" i="23"/>
  <c r="AB27" i="23" s="1"/>
  <c r="H14" i="10"/>
  <c r="G13" i="13"/>
  <c r="AE16" i="23"/>
  <c r="N31" i="23"/>
  <c r="N27" i="23" s="1"/>
  <c r="Y16" i="23"/>
  <c r="Y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C59" i="13"/>
  <c r="C61" i="13" s="1"/>
  <c r="G36" i="13"/>
  <c r="F76" i="2"/>
  <c r="B76" i="12"/>
  <c r="G31" i="6"/>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H27" i="13"/>
  <c r="I40" i="28"/>
  <c r="I38" i="28" s="1"/>
  <c r="C63" i="12"/>
  <c r="C14" i="28"/>
  <c r="H45" i="6"/>
  <c r="H24" i="6"/>
  <c r="H52" i="12"/>
  <c r="I31" i="2"/>
  <c r="G17" i="10"/>
  <c r="G31" i="23"/>
  <c r="G27" i="23" s="1"/>
  <c r="U31" i="23"/>
  <c r="U27" i="23" s="1"/>
  <c r="I38" i="23"/>
  <c r="I36" i="23" s="1"/>
  <c r="W38" i="23"/>
  <c r="W36" i="23" s="1"/>
  <c r="AC38" i="23"/>
  <c r="AC36" i="23" s="1"/>
  <c r="F33" i="28"/>
  <c r="K17" i="28"/>
  <c r="K22" i="28"/>
  <c r="K29" i="28"/>
  <c r="L32" i="28"/>
  <c r="L36" i="28"/>
  <c r="K41" i="28"/>
  <c r="H42" i="13"/>
  <c r="K83" i="2"/>
  <c r="X31" i="23"/>
  <c r="X27" i="23" s="1"/>
  <c r="M16" i="23"/>
  <c r="M12" i="23" s="1"/>
  <c r="G22" i="23"/>
  <c r="G20" i="23" s="1"/>
  <c r="M22" i="23"/>
  <c r="M20" i="23" s="1"/>
  <c r="Y22" i="23"/>
  <c r="Y20" i="23" s="1"/>
  <c r="K31" i="23"/>
  <c r="K27" i="23" s="1"/>
  <c r="S31" i="23"/>
  <c r="S27" i="23" s="1"/>
  <c r="Y31" i="23"/>
  <c r="Y27" i="23" s="1"/>
  <c r="M38" i="23"/>
  <c r="M36" i="23" s="1"/>
  <c r="U38" i="23"/>
  <c r="U36" i="23" s="1"/>
  <c r="D81" i="25"/>
  <c r="L22" i="23"/>
  <c r="L20" i="23" s="1"/>
  <c r="AD22" i="23"/>
  <c r="AD20" i="23" s="1"/>
  <c r="F32" i="28"/>
  <c r="E36" i="28"/>
  <c r="K25" i="28"/>
  <c r="G89" i="2"/>
  <c r="I16" i="23"/>
  <c r="I12" i="23" s="1"/>
  <c r="N31" i="2"/>
  <c r="N54" i="2" s="1"/>
  <c r="G17" i="6"/>
  <c r="H83" i="2"/>
  <c r="AC16" i="23"/>
  <c r="AC12" i="23" s="1"/>
  <c r="AC31" i="23"/>
  <c r="AC27" i="23" s="1"/>
  <c r="F31" i="23"/>
  <c r="F27" i="23" s="1"/>
  <c r="L31" i="23"/>
  <c r="L27" i="23" s="1"/>
  <c r="T31" i="23"/>
  <c r="T27" i="23" s="1"/>
  <c r="Z31" i="23"/>
  <c r="Z27" i="23" s="1"/>
  <c r="R38" i="23"/>
  <c r="B77" i="15"/>
  <c r="B72" i="13"/>
  <c r="G24" i="6"/>
  <c r="L34" i="28"/>
  <c r="G45" i="6"/>
  <c r="L33" i="28"/>
  <c r="G55" i="11"/>
  <c r="B60" i="6"/>
  <c r="H42" i="10"/>
  <c r="G52" i="12"/>
  <c r="G42" i="13"/>
  <c r="J16" i="23"/>
  <c r="J12" i="23" s="1"/>
  <c r="P16" i="23"/>
  <c r="V16" i="23"/>
  <c r="V12" i="23" s="1"/>
  <c r="F16" i="23"/>
  <c r="F12" i="23" s="1"/>
  <c r="R16" i="23"/>
  <c r="H22" i="23"/>
  <c r="H20" i="23" s="1"/>
  <c r="N22" i="23"/>
  <c r="N20" i="23" s="1"/>
  <c r="AB22" i="23"/>
  <c r="AB20" i="23" s="1"/>
  <c r="H18" i="13"/>
  <c r="H42" i="12"/>
  <c r="I65" i="2"/>
  <c r="M97" i="2"/>
  <c r="F41" i="28"/>
  <c r="D29" i="6"/>
  <c r="L29" i="28"/>
  <c r="K32" i="28"/>
  <c r="E41" i="28"/>
  <c r="G31" i="11"/>
  <c r="D130" i="25"/>
  <c r="W31" i="23"/>
  <c r="W27" i="23" s="1"/>
  <c r="E15" i="28"/>
  <c r="G31" i="2"/>
  <c r="M44" i="2"/>
  <c r="C13" i="2"/>
  <c r="C30" i="2" s="1"/>
  <c r="G15" i="1"/>
  <c r="D46" i="14"/>
  <c r="K31" i="2"/>
  <c r="F83" i="2"/>
  <c r="D35" i="10"/>
  <c r="D59" i="10" s="1"/>
  <c r="D61" i="10" s="1"/>
  <c r="J18" i="28"/>
  <c r="I18" i="28"/>
  <c r="E29" i="28"/>
  <c r="D35" i="13"/>
  <c r="H31" i="2"/>
  <c r="C55" i="6"/>
  <c r="D12" i="12"/>
  <c r="D34" i="12" s="1"/>
  <c r="N16" i="23"/>
  <c r="N12" i="23" s="1"/>
  <c r="Z16" i="23"/>
  <c r="Z12" i="23" s="1"/>
  <c r="X22" i="23"/>
  <c r="X20" i="23" s="1"/>
  <c r="F22" i="1"/>
  <c r="L30" i="28"/>
  <c r="L22" i="28"/>
  <c r="L17" i="28"/>
  <c r="K97" i="2"/>
  <c r="K24" i="28"/>
  <c r="E17" i="28"/>
  <c r="C55" i="2"/>
  <c r="D50" i="12"/>
  <c r="D63" i="12" s="1"/>
  <c r="G38" i="23"/>
  <c r="G36" i="23" s="1"/>
  <c r="E31" i="28"/>
  <c r="I28" i="28"/>
  <c r="I27" i="28" s="1"/>
  <c r="F89" i="2"/>
  <c r="D18" i="10"/>
  <c r="G18" i="10" s="1"/>
  <c r="H13" i="6"/>
  <c r="G26" i="11"/>
  <c r="C62" i="11"/>
  <c r="K89" i="2"/>
  <c r="X16" i="23"/>
  <c r="X12" i="23" s="1"/>
  <c r="AD16" i="23"/>
  <c r="AD12" i="23" s="1"/>
  <c r="J22" i="23"/>
  <c r="J20" i="23" s="1"/>
  <c r="P22" i="23"/>
  <c r="P20" i="23" s="1"/>
  <c r="F97" i="2"/>
  <c r="F69" i="2"/>
  <c r="F32" i="26"/>
  <c r="E35" i="28"/>
  <c r="G16" i="23"/>
  <c r="G12" i="23" s="1"/>
  <c r="I69" i="2"/>
  <c r="H89" i="2"/>
  <c r="G18" i="13"/>
  <c r="K37" i="28"/>
  <c r="L41" i="28"/>
  <c r="J40" i="28"/>
  <c r="K20" i="28"/>
  <c r="L19" i="28"/>
  <c r="L15" i="28"/>
  <c r="S22" i="23"/>
  <c r="S20" i="23" s="1"/>
  <c r="Q16" i="23"/>
  <c r="Q12" i="23" s="1"/>
  <c r="O38" i="23"/>
  <c r="O36" i="23" s="1"/>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J97" i="2"/>
  <c r="J83" i="2"/>
  <c r="M23" i="2"/>
  <c r="M65" i="2"/>
  <c r="H22" i="1"/>
  <c r="AE22" i="23"/>
  <c r="S16" i="23"/>
  <c r="S12" i="23" s="1"/>
  <c r="H29" i="10"/>
  <c r="H26" i="10"/>
  <c r="H40" i="11"/>
  <c r="H22" i="10"/>
  <c r="H15" i="10"/>
  <c r="H17" i="11"/>
  <c r="Q22" i="23"/>
  <c r="Q20" i="23" s="1"/>
  <c r="H25" i="13"/>
  <c r="G27" i="12"/>
  <c r="H37" i="6"/>
  <c r="G37" i="6"/>
  <c r="G13" i="6"/>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E32" i="26"/>
  <c r="L69" i="2"/>
  <c r="G69" i="2"/>
  <c r="E76" i="2"/>
  <c r="J76" i="2"/>
  <c r="D97" i="2"/>
  <c r="D44" i="2"/>
  <c r="I89" i="2"/>
  <c r="J14" i="28"/>
  <c r="K15" i="28"/>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D69" i="2"/>
  <c r="C23" i="28"/>
  <c r="C21" i="28" s="1"/>
  <c r="H76" i="2"/>
  <c r="I17" i="6"/>
  <c r="B9" i="21"/>
  <c r="B9" i="2"/>
  <c r="B10" i="28" s="1"/>
  <c r="B61" i="2"/>
  <c r="B9" i="6"/>
  <c r="B9" i="13"/>
  <c r="B9" i="20"/>
  <c r="D55" i="6"/>
  <c r="J31" i="23"/>
  <c r="J27" i="23" s="1"/>
  <c r="C63" i="10"/>
  <c r="H17" i="6"/>
  <c r="G16" i="10"/>
  <c r="AA16" i="23"/>
  <c r="AA12" i="23" s="1"/>
  <c r="AB38" i="23"/>
  <c r="AB36" i="23" s="1"/>
  <c r="D36" i="25"/>
  <c r="C28" i="28"/>
  <c r="I97" i="2"/>
  <c r="I44" i="2"/>
  <c r="H22" i="6"/>
  <c r="G27" i="13"/>
  <c r="O16" i="23"/>
  <c r="O12" i="23" s="1"/>
  <c r="F22" i="23"/>
  <c r="F20" i="23" s="1"/>
  <c r="AC22" i="23"/>
  <c r="AC20" i="23" s="1"/>
  <c r="V31" i="23"/>
  <c r="V27" i="23" s="1"/>
  <c r="F19" i="28"/>
  <c r="H50" i="13"/>
  <c r="C59" i="10"/>
  <c r="C61" i="10" s="1"/>
  <c r="G18" i="12"/>
  <c r="L16" i="23"/>
  <c r="L12" i="23" s="1"/>
  <c r="E31" i="23"/>
  <c r="H20" i="10"/>
  <c r="G31" i="10"/>
  <c r="G40" i="11"/>
  <c r="H55" i="11"/>
  <c r="W16" i="23"/>
  <c r="W12" i="23" s="1"/>
  <c r="T22" i="23"/>
  <c r="T20" i="23" s="1"/>
  <c r="Z22" i="23"/>
  <c r="Z20" i="23" s="1"/>
  <c r="N38" i="23"/>
  <c r="N36" i="23" s="1"/>
  <c r="L38" i="23"/>
  <c r="L36" i="23" s="1"/>
  <c r="G19" i="10"/>
  <c r="I53" i="12"/>
  <c r="M83" i="2"/>
  <c r="M31" i="2"/>
  <c r="H31" i="11"/>
  <c r="G30" i="10"/>
  <c r="D27" i="10"/>
  <c r="H43" i="6"/>
  <c r="H53" i="11"/>
  <c r="G53" i="11"/>
  <c r="C54" i="6"/>
  <c r="C29" i="6"/>
  <c r="G17" i="11"/>
  <c r="G15" i="10"/>
  <c r="G83" i="2"/>
  <c r="L31" i="2"/>
  <c r="L83" i="2"/>
  <c r="B8" i="28"/>
  <c r="D12" i="11"/>
  <c r="G14" i="10"/>
  <c r="D30" i="11"/>
  <c r="G65" i="2"/>
  <c r="L65" i="2"/>
  <c r="K16" i="23"/>
  <c r="K12" i="23" s="1"/>
  <c r="H36" i="10"/>
  <c r="G36" i="10"/>
  <c r="E22" i="1"/>
  <c r="H16" i="10"/>
  <c r="M31" i="23"/>
  <c r="M27" i="23" s="1"/>
  <c r="D35" i="12"/>
  <c r="G42" i="12"/>
  <c r="D83" i="2"/>
  <c r="I83" i="2"/>
  <c r="G52" i="10"/>
  <c r="H13" i="11"/>
  <c r="G36" i="11"/>
  <c r="G13" i="11"/>
  <c r="D25" i="13"/>
  <c r="AE12" i="23" l="1"/>
  <c r="P12" i="23"/>
  <c r="G30" i="26"/>
  <c r="AE20" i="23"/>
  <c r="G14" i="26"/>
  <c r="G12" i="26"/>
  <c r="G22" i="1"/>
  <c r="J22" i="1" s="1"/>
  <c r="G16" i="26"/>
  <c r="G21" i="26"/>
  <c r="G26" i="26"/>
  <c r="G17" i="26"/>
  <c r="G15" i="26"/>
  <c r="G27" i="26"/>
  <c r="G20" i="26"/>
  <c r="G22" i="26"/>
  <c r="G18" i="26"/>
  <c r="G28" i="26"/>
  <c r="G13" i="26"/>
  <c r="G31" i="26"/>
  <c r="G25" i="26"/>
  <c r="G19" i="26"/>
  <c r="F35" i="26"/>
  <c r="G29" i="26"/>
  <c r="E35" i="26"/>
  <c r="F18" i="28"/>
  <c r="F95" i="2"/>
  <c r="K95" i="2"/>
  <c r="H55" i="2"/>
  <c r="G12" i="13"/>
  <c r="D62" i="13"/>
  <c r="C13" i="28"/>
  <c r="C26" i="28" s="1"/>
  <c r="G15" i="28" s="1"/>
  <c r="C51" i="6"/>
  <c r="C56" i="6" s="1"/>
  <c r="I74" i="2"/>
  <c r="F34" i="28"/>
  <c r="L18" i="28"/>
  <c r="G74" i="2"/>
  <c r="S42" i="23"/>
  <c r="S46" i="23"/>
  <c r="E95" i="2"/>
  <c r="J95" i="2"/>
  <c r="J55" i="2"/>
  <c r="E18" i="28"/>
  <c r="E64" i="2"/>
  <c r="C62" i="13"/>
  <c r="C60" i="12"/>
  <c r="T45" i="23"/>
  <c r="W26" i="23"/>
  <c r="Q27" i="23"/>
  <c r="Q42" i="23" s="1"/>
  <c r="I26" i="23"/>
  <c r="I96" i="23" s="1"/>
  <c r="R31" i="23"/>
  <c r="N45" i="23"/>
  <c r="G45" i="23"/>
  <c r="L46" i="23"/>
  <c r="H42" i="23"/>
  <c r="H48" i="23" s="1"/>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7" i="23" s="1"/>
  <c r="I13" i="28"/>
  <c r="I26" i="28" s="1"/>
  <c r="H46" i="23"/>
  <c r="K42" i="23"/>
  <c r="K97" i="23" s="1"/>
  <c r="M26" i="23"/>
  <c r="M96" i="23" s="1"/>
  <c r="O42" i="23"/>
  <c r="O48" i="23" s="1"/>
  <c r="AD46" i="23"/>
  <c r="AD26" i="23"/>
  <c r="AE31" i="23"/>
  <c r="I56" i="10"/>
  <c r="I55" i="10"/>
  <c r="I52" i="10"/>
  <c r="W42" i="23"/>
  <c r="W48" i="23" s="1"/>
  <c r="P46" i="23"/>
  <c r="J30" i="2"/>
  <c r="Y26" i="23"/>
  <c r="J54" i="2"/>
  <c r="C54" i="2"/>
  <c r="F54" i="2"/>
  <c r="W46" i="23"/>
  <c r="O46" i="23"/>
  <c r="AA46" i="23"/>
  <c r="G26" i="23"/>
  <c r="G96" i="23" s="1"/>
  <c r="U46" i="23"/>
  <c r="D59" i="13"/>
  <c r="D61" i="13" s="1"/>
  <c r="X42" i="23"/>
  <c r="X48" i="23" s="1"/>
  <c r="Y46" i="23"/>
  <c r="U26" i="23"/>
  <c r="F42" i="23"/>
  <c r="F48" i="23" s="1"/>
  <c r="I47" i="28"/>
  <c r="D51" i="6"/>
  <c r="D56" i="6" s="1"/>
  <c r="C34" i="10"/>
  <c r="C60" i="10" s="1"/>
  <c r="C64" i="10" s="1"/>
  <c r="L45" i="23"/>
  <c r="D54" i="6"/>
  <c r="AC46" i="23"/>
  <c r="H12" i="11"/>
  <c r="U45" i="23"/>
  <c r="AD45" i="23"/>
  <c r="G30" i="6"/>
  <c r="F46" i="23"/>
  <c r="J26" i="23"/>
  <c r="J96" i="23" s="1"/>
  <c r="AA45" i="23"/>
  <c r="J45" i="23"/>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I54" i="10"/>
  <c r="I44" i="10"/>
  <c r="G50" i="12"/>
  <c r="K18" i="28"/>
  <c r="G50" i="10"/>
  <c r="I38" i="10"/>
  <c r="D59" i="12"/>
  <c r="D61" i="12" s="1"/>
  <c r="Z26" i="23"/>
  <c r="I41" i="10"/>
  <c r="E28" i="28"/>
  <c r="G42" i="23"/>
  <c r="G48" i="23" s="1"/>
  <c r="I43" i="10"/>
  <c r="J46" i="23"/>
  <c r="K46" i="23"/>
  <c r="AC42" i="23"/>
  <c r="L40" i="28"/>
  <c r="J38" i="28"/>
  <c r="J47" i="28" s="1"/>
  <c r="I45" i="23"/>
  <c r="N26" i="23"/>
  <c r="G12" i="1"/>
  <c r="L23" i="28"/>
  <c r="K23" i="28"/>
  <c r="U42" i="23"/>
  <c r="U48" i="23" s="1"/>
  <c r="AC45" i="23"/>
  <c r="F26" i="23"/>
  <c r="F96" i="23" s="1"/>
  <c r="AB42" i="23"/>
  <c r="G46" i="23"/>
  <c r="X46" i="23"/>
  <c r="R36" i="23"/>
  <c r="R46" i="23" s="1"/>
  <c r="X26" i="23"/>
  <c r="Y42" i="23"/>
  <c r="L42" i="23"/>
  <c r="I42" i="23"/>
  <c r="I48" i="23" s="1"/>
  <c r="F45" i="23"/>
  <c r="I51" i="10"/>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T46" i="23"/>
  <c r="I43" i="13"/>
  <c r="I54" i="13"/>
  <c r="I53" i="13"/>
  <c r="I45" i="13"/>
  <c r="I51" i="13"/>
  <c r="I44" i="13"/>
  <c r="I38" i="13"/>
  <c r="I47" i="13"/>
  <c r="I56" i="13"/>
  <c r="I55" i="13"/>
  <c r="I42" i="13"/>
  <c r="I46" i="13"/>
  <c r="I52" i="13"/>
  <c r="I41" i="13"/>
  <c r="I50" i="13"/>
  <c r="I48" i="13"/>
  <c r="I40" i="13"/>
  <c r="I36" i="13"/>
  <c r="I57" i="13"/>
  <c r="I37" i="13"/>
  <c r="I39" i="13"/>
  <c r="F12" i="1"/>
  <c r="I36" i="12"/>
  <c r="AB45" i="23"/>
  <c r="I46" i="23"/>
  <c r="D13" i="10"/>
  <c r="AA26" i="23"/>
  <c r="I35" i="13"/>
  <c r="G35" i="13"/>
  <c r="H59" i="13"/>
  <c r="T26" i="23"/>
  <c r="G12" i="12"/>
  <c r="AC26" i="23"/>
  <c r="H27" i="10"/>
  <c r="D60" i="12"/>
  <c r="D70" i="12" s="1"/>
  <c r="V45" i="23"/>
  <c r="V42" i="23"/>
  <c r="H12" i="13"/>
  <c r="J13" i="28"/>
  <c r="K14" i="28"/>
  <c r="L14" i="28"/>
  <c r="Z46" i="23"/>
  <c r="I48" i="12"/>
  <c r="I25" i="12"/>
  <c r="H26" i="23"/>
  <c r="H96" i="23" s="1"/>
  <c r="H45" i="23"/>
  <c r="H12" i="6"/>
  <c r="I12" i="6"/>
  <c r="G35" i="12"/>
  <c r="I50" i="12"/>
  <c r="E26" i="23"/>
  <c r="E96" i="23" s="1"/>
  <c r="O45" i="23"/>
  <c r="O26" i="23"/>
  <c r="D95" i="2"/>
  <c r="I55" i="2"/>
  <c r="E14" i="28"/>
  <c r="D13" i="28"/>
  <c r="F14" i="28"/>
  <c r="G95" i="2"/>
  <c r="L55" i="2"/>
  <c r="L95" i="2"/>
  <c r="L28" i="28"/>
  <c r="J27" i="28"/>
  <c r="K28" i="28"/>
  <c r="I47" i="12"/>
  <c r="I57" i="12"/>
  <c r="I54" i="12"/>
  <c r="I38" i="12"/>
  <c r="I46" i="12"/>
  <c r="I43" i="12"/>
  <c r="I51" i="12"/>
  <c r="I52" i="12"/>
  <c r="I37" i="12"/>
  <c r="I41" i="12"/>
  <c r="I55" i="12"/>
  <c r="I42" i="12"/>
  <c r="I40" i="12"/>
  <c r="V46" i="23"/>
  <c r="L26" i="23"/>
  <c r="L96" i="23" s="1"/>
  <c r="I39" i="12"/>
  <c r="I44" i="12"/>
  <c r="H35" i="12"/>
  <c r="I35" i="12"/>
  <c r="I16" i="6"/>
  <c r="I26" i="6"/>
  <c r="I24" i="6"/>
  <c r="I15" i="6"/>
  <c r="I27" i="6"/>
  <c r="I25" i="6"/>
  <c r="I13" i="6"/>
  <c r="I14" i="6"/>
  <c r="D51" i="2"/>
  <c r="AA42" i="23"/>
  <c r="I22" i="6"/>
  <c r="D62" i="12"/>
  <c r="W45" i="23"/>
  <c r="I45" i="12"/>
  <c r="P42" i="23"/>
  <c r="AD42" i="23"/>
  <c r="E21" i="28"/>
  <c r="L21" i="28"/>
  <c r="K21" i="28"/>
  <c r="I43" i="28"/>
  <c r="C56" i="2"/>
  <c r="C52" i="2"/>
  <c r="M42" i="23"/>
  <c r="M45" i="23"/>
  <c r="G35" i="10"/>
  <c r="H15" i="1"/>
  <c r="J15" i="1" s="1"/>
  <c r="I35" i="10"/>
  <c r="H35" i="10"/>
  <c r="G27" i="10"/>
  <c r="D25" i="10"/>
  <c r="S45" i="23"/>
  <c r="S26" i="23"/>
  <c r="Q26" i="23"/>
  <c r="G64" i="2"/>
  <c r="G54" i="2"/>
  <c r="G30" i="2"/>
  <c r="H23" i="10"/>
  <c r="G23" i="10"/>
  <c r="G30" i="11"/>
  <c r="D29" i="11"/>
  <c r="D62" i="11" s="1"/>
  <c r="G12" i="11"/>
  <c r="E62" i="11"/>
  <c r="I22" i="1"/>
  <c r="D30" i="14"/>
  <c r="H82" i="2"/>
  <c r="M51" i="2"/>
  <c r="M82" i="2"/>
  <c r="AE27" i="23"/>
  <c r="L51" i="2"/>
  <c r="L82" i="2"/>
  <c r="G82" i="2"/>
  <c r="J42" i="23"/>
  <c r="D63" i="13"/>
  <c r="D60" i="13"/>
  <c r="G25" i="13"/>
  <c r="D34" i="13"/>
  <c r="K26" i="23"/>
  <c r="K45" i="23"/>
  <c r="R26" i="23" l="1"/>
  <c r="P45" i="23"/>
  <c r="G62" i="11"/>
  <c r="H62" i="11"/>
  <c r="I30" i="11"/>
  <c r="I60" i="11"/>
  <c r="AE46" i="23"/>
  <c r="C64" i="12"/>
  <c r="C70" i="12"/>
  <c r="D12" i="10"/>
  <c r="G12" i="10" s="1"/>
  <c r="G13" i="10"/>
  <c r="F23" i="1"/>
  <c r="E15" i="1"/>
  <c r="I13" i="10"/>
  <c r="I12" i="10"/>
  <c r="H97" i="23"/>
  <c r="G23" i="1"/>
  <c r="E23" i="1"/>
  <c r="H53" i="2"/>
  <c r="G25" i="1"/>
  <c r="C46" i="28"/>
  <c r="D22" i="1"/>
  <c r="C22" i="1"/>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42" i="23"/>
  <c r="P43" i="23"/>
  <c r="P47" i="23" s="1"/>
  <c r="G61" i="12"/>
  <c r="E81" i="2"/>
  <c r="C62" i="10"/>
  <c r="Z43" i="23"/>
  <c r="Z47" i="23" s="1"/>
  <c r="G29" i="6"/>
  <c r="I38" i="6"/>
  <c r="E52" i="2"/>
  <c r="F97" i="23"/>
  <c r="K47" i="28"/>
  <c r="AB48" i="23"/>
  <c r="I44" i="6"/>
  <c r="J43" i="23"/>
  <c r="J94" i="23" s="1"/>
  <c r="I53" i="6"/>
  <c r="I31" i="6"/>
  <c r="I40" i="6"/>
  <c r="C43" i="28"/>
  <c r="G27" i="28" s="1"/>
  <c r="F27" i="28"/>
  <c r="E48" i="23"/>
  <c r="G22" i="28"/>
  <c r="G14" i="28"/>
  <c r="AC48" i="23"/>
  <c r="F43" i="23"/>
  <c r="F47" i="23" s="1"/>
  <c r="E27" i="28"/>
  <c r="G17" i="28"/>
  <c r="H105" i="2"/>
  <c r="N43" i="23"/>
  <c r="N47" i="23" s="1"/>
  <c r="G18" i="28"/>
  <c r="G24" i="28"/>
  <c r="F81" i="2"/>
  <c r="J81" i="2"/>
  <c r="D64" i="12"/>
  <c r="O43" i="23"/>
  <c r="G43" i="23"/>
  <c r="K38" i="28"/>
  <c r="E47" i="28"/>
  <c r="L38" i="28"/>
  <c r="G97" i="23"/>
  <c r="AA43" i="23"/>
  <c r="E12" i="1"/>
  <c r="I12" i="1" s="1"/>
  <c r="E43" i="23"/>
  <c r="E94" i="23" s="1"/>
  <c r="I97" i="23"/>
  <c r="L43" i="23"/>
  <c r="L95" i="23" s="1"/>
  <c r="L97" i="23"/>
  <c r="L48" i="23"/>
  <c r="Y48" i="23"/>
  <c r="Q48" i="23"/>
  <c r="I31" i="13"/>
  <c r="I13" i="13"/>
  <c r="G34" i="13"/>
  <c r="M81" i="2"/>
  <c r="H52" i="2"/>
  <c r="AE42" i="23"/>
  <c r="AB43" i="23"/>
  <c r="AB47" i="23" s="1"/>
  <c r="H29" i="11"/>
  <c r="I29"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4" i="23" s="1"/>
  <c r="P48" i="23"/>
  <c r="V48" i="23"/>
  <c r="G59" i="13"/>
  <c r="G61" i="13"/>
  <c r="G29" i="11"/>
  <c r="K13" i="28"/>
  <c r="J46" i="28"/>
  <c r="L13" i="28"/>
  <c r="J26" i="28"/>
  <c r="H23" i="1"/>
  <c r="T48" i="23"/>
  <c r="AA48" i="23"/>
  <c r="D53" i="2"/>
  <c r="D52" i="2"/>
  <c r="H25" i="10"/>
  <c r="I14" i="10"/>
  <c r="I19" i="10"/>
  <c r="I26" i="10"/>
  <c r="I27" i="10"/>
  <c r="I28" i="10"/>
  <c r="I29" i="10"/>
  <c r="I32" i="10"/>
  <c r="I18" i="10"/>
  <c r="I31" i="10"/>
  <c r="I30" i="10"/>
  <c r="I15" i="10"/>
  <c r="I22" i="10"/>
  <c r="I21" i="10"/>
  <c r="I20" i="10"/>
  <c r="I16" i="10"/>
  <c r="I25" i="10"/>
  <c r="I17" i="10"/>
  <c r="M48" i="23"/>
  <c r="M97" i="23"/>
  <c r="M43" i="23"/>
  <c r="K96" i="23"/>
  <c r="K43" i="23"/>
  <c r="L53" i="2"/>
  <c r="L102" i="2"/>
  <c r="G102" i="2"/>
  <c r="L52" i="2"/>
  <c r="G52" i="2"/>
  <c r="H25" i="1"/>
  <c r="M53" i="2"/>
  <c r="M102" i="2"/>
  <c r="H102" i="2"/>
  <c r="D63" i="10"/>
  <c r="G25" i="10"/>
  <c r="I45" i="28"/>
  <c r="I44" i="28"/>
  <c r="M52" i="2"/>
  <c r="S43" i="23"/>
  <c r="J48" i="23"/>
  <c r="J97" i="23"/>
  <c r="I23" i="10"/>
  <c r="Q43" i="23"/>
  <c r="D64" i="13"/>
  <c r="D70" i="13"/>
  <c r="I17" i="11"/>
  <c r="I26" i="11"/>
  <c r="I33" i="11"/>
  <c r="I13" i="11"/>
  <c r="I14" i="11"/>
  <c r="I45" i="11"/>
  <c r="I44" i="11"/>
  <c r="I19" i="11"/>
  <c r="I16" i="11"/>
  <c r="I20" i="11"/>
  <c r="I23" i="11"/>
  <c r="I56" i="11"/>
  <c r="I57" i="11"/>
  <c r="I49" i="11"/>
  <c r="I38"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D34" i="10" l="1"/>
  <c r="D60" i="10" s="1"/>
  <c r="D64" i="10" s="1"/>
  <c r="D62" i="10"/>
  <c r="C23" i="1"/>
  <c r="F15" i="1"/>
  <c r="I15" i="1" s="1"/>
  <c r="I23" i="1"/>
  <c r="D23" i="1"/>
  <c r="L47" i="23"/>
  <c r="L94" i="23"/>
  <c r="H56" i="2"/>
  <c r="J25" i="1"/>
  <c r="Y47" i="23"/>
  <c r="J56" i="2"/>
  <c r="I56" i="2"/>
  <c r="K56" i="2"/>
  <c r="E46" i="28"/>
  <c r="I94" i="23"/>
  <c r="U47" i="23"/>
  <c r="K104" i="2"/>
  <c r="AA47" i="23"/>
  <c r="J95" i="23"/>
  <c r="R43" i="23"/>
  <c r="R47" i="23" s="1"/>
  <c r="F104" i="2"/>
  <c r="I25" i="1"/>
  <c r="E104" i="2"/>
  <c r="J104" i="2"/>
  <c r="F56" i="2"/>
  <c r="G56" i="2"/>
  <c r="E56" i="2"/>
  <c r="O47" i="23"/>
  <c r="X47" i="23"/>
  <c r="R45" i="23"/>
  <c r="R48" i="23"/>
  <c r="K46" i="28"/>
  <c r="D12" i="1"/>
  <c r="G28" i="28"/>
  <c r="D56" i="2"/>
  <c r="D103" i="2"/>
  <c r="E103" i="2"/>
  <c r="C25" i="1"/>
  <c r="F103" i="2"/>
  <c r="F94" i="23"/>
  <c r="I95" i="23"/>
  <c r="G36" i="28"/>
  <c r="C45" i="28"/>
  <c r="F45" i="28" s="1"/>
  <c r="F43" i="28"/>
  <c r="C44" i="28"/>
  <c r="G29" i="28"/>
  <c r="G35" i="28"/>
  <c r="G33" i="28"/>
  <c r="D13" i="1"/>
  <c r="H53" i="6"/>
  <c r="G38" i="28"/>
  <c r="G31" i="28"/>
  <c r="G40" i="28"/>
  <c r="G30" i="28"/>
  <c r="G34" i="28"/>
  <c r="G39" i="28"/>
  <c r="F95" i="23"/>
  <c r="J47" i="23"/>
  <c r="G32" i="28"/>
  <c r="E43" i="28"/>
  <c r="G41" i="28"/>
  <c r="E47" i="23"/>
  <c r="E95" i="23"/>
  <c r="G95" i="23"/>
  <c r="G94" i="23"/>
  <c r="G47" i="23"/>
  <c r="H47" i="23"/>
  <c r="H95" i="23"/>
  <c r="AE48" i="23"/>
  <c r="H61" i="13"/>
  <c r="L43" i="28"/>
  <c r="J23" i="1"/>
  <c r="C13" i="1"/>
  <c r="D104" i="2"/>
  <c r="I104" i="2"/>
  <c r="G103" i="2"/>
  <c r="K43" i="28"/>
  <c r="AC47" i="23"/>
  <c r="D44" i="28"/>
  <c r="D48" i="28"/>
  <c r="F26" i="28"/>
  <c r="E26" i="28"/>
  <c r="L26" i="28"/>
  <c r="J48" i="28"/>
  <c r="K26" i="28"/>
  <c r="J44" i="28"/>
  <c r="K44" i="28" s="1"/>
  <c r="T47" i="23"/>
  <c r="AE43" i="23"/>
  <c r="G104" i="2"/>
  <c r="L104" i="2"/>
  <c r="L56" i="2"/>
  <c r="K95" i="23"/>
  <c r="K94" i="23"/>
  <c r="K47" i="23"/>
  <c r="S47" i="23"/>
  <c r="H104" i="2"/>
  <c r="M104" i="2"/>
  <c r="M56" i="2"/>
  <c r="G61" i="10"/>
  <c r="H61" i="10"/>
  <c r="G34" i="10"/>
  <c r="H34" i="10"/>
  <c r="D25" i="1"/>
  <c r="H103" i="2"/>
  <c r="Q47" i="23"/>
  <c r="I48" i="28"/>
  <c r="K45" i="28"/>
  <c r="M47" i="23"/>
  <c r="M94" i="23"/>
  <c r="M95" i="23"/>
  <c r="F107" i="2" l="1"/>
  <c r="E107" i="2"/>
  <c r="D15" i="1"/>
  <c r="D107" i="2"/>
  <c r="C48" i="28"/>
  <c r="E48" i="28" s="1"/>
  <c r="E45" i="28"/>
  <c r="G45" i="28"/>
  <c r="G107" i="2"/>
  <c r="H107" i="2"/>
  <c r="E44" i="28"/>
  <c r="K48" i="28"/>
  <c r="AE47" i="23"/>
  <c r="G205" i="25" l="1"/>
  <c r="E205" i="25"/>
</calcChain>
</file>

<file path=xl/sharedStrings.xml><?xml version="1.0" encoding="utf-8"?>
<sst xmlns="http://schemas.openxmlformats.org/spreadsheetml/2006/main" count="760" uniqueCount="618">
  <si>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</si>
  <si>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</si>
  <si>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</si>
  <si>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</si>
  <si>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</si>
  <si>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</si>
  <si>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</si>
  <si>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</si>
  <si>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</si>
  <si>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</si>
  <si>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</si>
  <si>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</si>
  <si>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</si>
  <si>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</si>
  <si>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</si>
  <si>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</si>
  <si>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</si>
  <si>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</si>
  <si>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</si>
  <si>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</si>
  <si>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</si>
  <si>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</si>
  <si>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</si>
  <si>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</si>
  <si>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</si>
  <si>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</si>
  <si>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</si>
  <si>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</si>
  <si>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</si>
  <si>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</si>
  <si>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</si>
  <si>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</si>
  <si>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</si>
  <si>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</si>
  <si>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</si>
  <si>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</si>
  <si>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</si>
  <si>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</si>
  <si>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</si>
  <si>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</si>
  <si>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</si>
  <si>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</si>
  <si>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</si>
  <si>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</si>
  <si>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</si>
  <si>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</si>
  <si>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</si>
  <si>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</si>
  <si>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</si>
  <si>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</si>
  <si>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</si>
  <si>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</si>
  <si>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</si>
  <si>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</si>
  <si>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</si>
  <si>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</si>
  <si>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</si>
  <si>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</si>
  <si>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</si>
  <si>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</si>
  <si>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</si>
  <si>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</si>
  <si>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</si>
  <si>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</si>
  <si>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</si>
  <si>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Mecanismo Nacional Anticorrupção</t>
  </si>
  <si>
    <t>Presidência da República</t>
  </si>
  <si>
    <t>Serviço do Provedor de Justiça</t>
  </si>
  <si>
    <t>Supremo Tribunal Administrativo</t>
  </si>
  <si>
    <t>Supremo Tribunal de Justiça</t>
  </si>
  <si>
    <t>Tribunal Constitucional</t>
  </si>
  <si>
    <t>Agência Nacional Erasmus + Juventude/Desporto e Corpo Europeu de Solidariedade</t>
  </si>
  <si>
    <t>Agência para o Desenvolvimento e Coesão</t>
  </si>
  <si>
    <t>Autoridade Antidopagem de Portugal</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</si>
  <si>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</si>
  <si>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</si>
  <si>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</si>
  <si>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</si>
  <si>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</si>
  <si>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</si>
  <si>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</si>
  <si>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</si>
  <si>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</si>
  <si>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</si>
  <si>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</si>
  <si>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</si>
  <si>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</si>
  <si>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</si>
  <si>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</si>
  <si>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</si>
  <si>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</si>
  <si>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</si>
  <si>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</si>
  <si>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</si>
  <si>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</si>
  <si>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</si>
  <si>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</si>
  <si>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</si>
  <si>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</si>
  <si>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</si>
  <si>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</si>
  <si>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</si>
  <si>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</si>
  <si>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Força Aérea</t>
  </si>
  <si>
    <t>Gabinete de Membros do Governo do Ministério da Defesa</t>
  </si>
  <si>
    <t>Instituto de Ação Social das Forças Armadas</t>
  </si>
  <si>
    <t>Instituto da Defesa Nacional</t>
  </si>
  <si>
    <t>Instituto Hidrográfico</t>
  </si>
  <si>
    <t>Laboratório Nacional do Medicamento</t>
  </si>
  <si>
    <t>Marinha</t>
  </si>
  <si>
    <t>Polícia Judiciária Militar</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</si>
  <si>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</si>
  <si>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</si>
  <si>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</si>
  <si>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</si>
  <si>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</si>
  <si>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</si>
  <si>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</si>
  <si>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</si>
  <si>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</si>
  <si>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</si>
  <si>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</si>
  <si>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</si>
  <si>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</si>
  <si>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</si>
  <si>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</si>
  <si>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</si>
  <si>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</si>
  <si>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</si>
  <si>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</si>
  <si>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</si>
  <si>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</si>
  <si>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</si>
  <si>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</si>
  <si>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</si>
  <si>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</si>
  <si>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</si>
  <si>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</si>
  <si>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</si>
  <si>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</si>
  <si>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Autoridade de Supervisão de Seguros e Fundos de Pensões</t>
  </si>
  <si>
    <t>Autoridade Tributária e Aduaneira</t>
  </si>
  <si>
    <t>BANIF Imobiliária, S.A.</t>
  </si>
  <si>
    <t>BANIF, S.A.</t>
  </si>
  <si>
    <t>Comissão de Normalização Contabilística</t>
  </si>
  <si>
    <t>Comissão do Mercado de Valores Mobiliários</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</si>
  <si>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</si>
  <si>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</si>
  <si>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</si>
  <si>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</si>
  <si>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</si>
  <si>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</si>
  <si>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</si>
  <si>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</si>
  <si>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</si>
  <si>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Parvalorem, S.A.</t>
  </si>
  <si>
    <t>Secretaria-Geral do Ministério das Finanças</t>
  </si>
  <si>
    <t>Sistema de Indemnização aos Investidores</t>
  </si>
  <si>
    <t>Fundo de Regularização da Dívida Pública</t>
  </si>
  <si>
    <t>Agência Nacional de Inovação, S.A.</t>
  </si>
  <si>
    <t>Direção-Geral de Política do Mar</t>
  </si>
  <si>
    <t>Entidade Regional de Turismo da Região de Lisboa</t>
  </si>
  <si>
    <t>Estrutura de Missão para a Extensão da Plataforma Continental</t>
  </si>
  <si>
    <t>Fundo Azul</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</si>
  <si>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</si>
  <si>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</si>
  <si>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</si>
  <si>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</si>
  <si>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</si>
  <si>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</si>
  <si>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</si>
  <si>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</si>
  <si>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</si>
  <si>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</si>
  <si>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</si>
  <si>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Instituto do Turismo de Portugal, I.P.</t>
  </si>
  <si>
    <t>Instituto Português da Qualidade, I.P.</t>
  </si>
  <si>
    <t>Instituto Português de Acreditação I.P.</t>
  </si>
  <si>
    <t>Região de Turismo do Algarve</t>
  </si>
  <si>
    <t>Turismo Centro de Portugal</t>
  </si>
  <si>
    <t>Turismo do Alentejo, E.R.T.</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</si>
  <si>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</si>
  <si>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</si>
  <si>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</si>
  <si>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</si>
  <si>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</si>
  <si>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</si>
  <si>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Rádio e Televisão de Portugal, S.A.</t>
  </si>
  <si>
    <t>Teatro Nacional D. Maria II, E.P.E.</t>
  </si>
  <si>
    <t>Academia das Ciências de Lisboa</t>
  </si>
  <si>
    <t>Agência Nacional para a Gestão do Programa Erasmus + Educação e Formação</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</si>
  <si>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</si>
  <si>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</si>
  <si>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</si>
  <si>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</si>
  <si>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</si>
  <si>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</si>
  <si>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</si>
  <si>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</si>
  <si>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</si>
  <si>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</si>
  <si>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</si>
  <si>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</si>
  <si>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</si>
  <si>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</si>
  <si>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</si>
  <si>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</si>
  <si>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</si>
  <si>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</si>
  <si>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</si>
  <si>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</si>
  <si>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</si>
  <si>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</si>
  <si>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</si>
  <si>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Porto</t>
  </si>
  <si>
    <t>Instituto Superior de Engenharia de Lisboa</t>
  </si>
  <si>
    <t>Instituto Superior de Engenharia do Porto</t>
  </si>
  <si>
    <t>Universidade Aberta</t>
  </si>
  <si>
    <t>Universidade da Beira Interior</t>
  </si>
  <si>
    <t>Universidade da Madeira</t>
  </si>
  <si>
    <t>Universidade de Coimbra</t>
  </si>
  <si>
    <t>Universidade de Évora</t>
  </si>
  <si>
    <t>Universidade de Trás-os-Montes e Alto Douro</t>
  </si>
  <si>
    <t>Universidade do Algarve</t>
  </si>
  <si>
    <t>Universidade dos Açores</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</si>
  <si>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</si>
  <si>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</si>
  <si>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</si>
  <si>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</si>
  <si>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</si>
  <si>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</si>
  <si>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</si>
  <si>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Moçambique</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</si>
  <si>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</si>
  <si>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</si>
  <si>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</si>
  <si>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</si>
  <si>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</si>
  <si>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</si>
  <si>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</si>
  <si>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</si>
  <si>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</si>
  <si>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</si>
  <si>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</si>
  <si>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</si>
  <si>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</si>
  <si>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</si>
  <si>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</si>
  <si>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</si>
  <si>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</si>
  <si>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</si>
  <si>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</si>
  <si>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</si>
  <si>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</si>
  <si>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</si>
  <si>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</si>
  <si>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</si>
  <si>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</si>
  <si>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</si>
  <si>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</si>
  <si>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</si>
  <si>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</si>
  <si>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</si>
  <si>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</si>
  <si>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</si>
  <si>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</si>
  <si>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</si>
  <si>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</si>
  <si>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</si>
  <si>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</si>
  <si>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</si>
  <si>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</si>
  <si>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</si>
  <si>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</si>
  <si>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</si>
  <si>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</si>
  <si>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</si>
  <si>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</si>
  <si>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Administração Central do Sistema de Saúde, I.P.</t>
  </si>
  <si>
    <t>Direção Executiva do Serviço Nacional de Saúde</t>
  </si>
  <si>
    <t>Direção-Geral da Saúde</t>
  </si>
  <si>
    <t>Entidade Reguladora da Saúde</t>
  </si>
  <si>
    <t>Inspeção-Geral das Atividades em Saúde</t>
  </si>
  <si>
    <t>Instituto Nacional de Emergência Médica, I.P.</t>
  </si>
  <si>
    <t>Instituto Nacional de Saúde Dr. Ricardo Jorge, I.P.</t>
  </si>
  <si>
    <t>Instituto Português do Sangue e da Transplantação</t>
  </si>
  <si>
    <t>Secretaria-Geral do Ministério da Saúde</t>
  </si>
  <si>
    <t>Serviços Partilhados do Ministério da Saúde, E.P.E.</t>
  </si>
  <si>
    <t>Unidade Local de Saúde de Matosinhos, E.P.E.</t>
  </si>
  <si>
    <t>Agência para a Energia</t>
  </si>
  <si>
    <t>Agência Portuguesa do Ambiente, I.P.</t>
  </si>
  <si>
    <t>Conselho Nacional da Água</t>
  </si>
  <si>
    <t>Conselho Nacional do Ambiente e Desenvolvimento Sustentável</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</si>
  <si>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</si>
  <si>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</si>
  <si>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</si>
  <si>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</si>
  <si>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</si>
  <si>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</si>
  <si>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</si>
  <si>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</si>
  <si>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</si>
  <si>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</si>
  <si>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Vianapolis, Sociedade para o Desenvolvimento do Programa Polis em Viana do Castelo, S.A.</t>
  </si>
  <si>
    <t>Autoridade da Mobilidade e dos Transportes</t>
  </si>
  <si>
    <t>Autoridade Nacional da Aviação Civil</t>
  </si>
  <si>
    <t>Comissão Nacional de Congressos da Estrada</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</si>
  <si>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</si>
  <si>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</si>
  <si>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</si>
  <si>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</si>
  <si>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</si>
  <si>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Direção-Geral da Agricultura e Desenvolvimento Rural</t>
  </si>
  <si>
    <t>Direção-Geral de Alimentação e Veterinária</t>
  </si>
  <si>
    <t>Direção-Geral de Recursos Naturais, Segurança e Serviços Marítimos</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</si>
  <si>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</si>
  <si>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</si>
  <si>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</si>
  <si>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</si>
  <si>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</si>
  <si>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</si>
  <si>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</si>
  <si>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</si>
  <si>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</si>
  <si>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</si>
  <si>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</si>
  <si>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</si>
  <si>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</si>
  <si>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</si>
  <si>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</si>
  <si>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</si>
  <si>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</si>
  <si>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</si>
  <si>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</si>
  <si>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</si>
  <si>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</si>
  <si>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</si>
  <si>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</si>
  <si>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Agência para a Integração, Migrações e Asilo, I.P.</t>
  </si>
  <si>
    <t>Construção Pública, E.P.E.</t>
  </si>
  <si>
    <t>Fundo Nacional de Reabilitação do Edificado</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</si>
  <si>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</si>
  <si>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</si>
  <si>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</si>
  <si>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</si>
  <si>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</si>
  <si>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</si>
  <si>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</si>
  <si>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</si>
  <si>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</si>
  <si>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</si>
  <si>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</si>
  <si>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</si>
  <si>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</si>
  <si>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</si>
  <si>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</si>
  <si>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</si>
  <si>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</si>
  <si>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</si>
  <si>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</si>
  <si>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</si>
  <si>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</si>
  <si>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</si>
  <si>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</si>
  <si>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</si>
  <si>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</si>
  <si>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</si>
  <si>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</si>
  <si>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</si>
  <si>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</si>
  <si>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</si>
  <si>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</si>
  <si>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</si>
  <si>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</si>
  <si>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</si>
  <si>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</si>
  <si>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</si>
  <si>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</si>
  <si>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</si>
  <si>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</si>
  <si>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</si>
  <si>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</si>
  <si>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</si>
  <si>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</si>
  <si>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</si>
  <si>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</si>
  <si>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</si>
  <si>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</si>
  <si>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</si>
  <si>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</si>
  <si>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</si>
  <si>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</si>
  <si>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</si>
  <si>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</si>
  <si>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</si>
  <si>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</si>
  <si>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</si>
  <si>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</si>
  <si>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</si>
  <si>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</si>
  <si>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</si>
  <si>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</si>
  <si>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</si>
  <si>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</si>
  <si>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</si>
  <si>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Unidade Local de Saúde do Tâmega e Sousa, E.P.E.</t>
  </si>
  <si>
    <t>PO15 — Ambiente e Energia</t>
  </si>
  <si>
    <t>Agência para a Gestão Integrada de Fogos Rurais, I.P.</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</si>
  <si>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</si>
  <si>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</si>
  <si>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</si>
  <si>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Número</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</si>
  <si>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</si>
  <si>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</si>
  <si>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</si>
  <si>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</si>
  <si>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Para as entidades identificadas considera-se na execução orçamental uma estimativa de execução para os meses em falta, a qual corresponde a um duodécimo do orçamento aprovado abatido dos cativos previstos na lei do OE2025 (Lei n.º 45-A/2024​, de 31 de dezembro).</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</si>
  <si>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</si>
  <si>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</si>
  <si>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</si>
  <si>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</si>
  <si>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</si>
  <si>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</si>
  <si>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</si>
  <si>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</si>
  <si>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</si>
  <si>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</si>
  <si>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</si>
  <si>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</si>
  <si>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</si>
  <si>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</si>
  <si>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</si>
  <si>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PO09 — Educação</t>
  </si>
  <si>
    <t>PO11 — Saúde</t>
  </si>
  <si>
    <t>Instituto para os Comportamentos Aditivos e as Dependências, I.P.</t>
  </si>
  <si>
    <t>PO12 — Infraestruturas e Habitação</t>
  </si>
  <si>
    <t>Gabinetes dos Membros do Governo do Ministério das Infraestruturas e Habitação</t>
  </si>
  <si>
    <t>PO13 —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</si>
  <si>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</si>
  <si>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</si>
  <si>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</si>
  <si>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</si>
  <si>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</si>
  <si>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Estrutura de Missão para o Licenciamento de Projetos de Energia Renováveis 2030</t>
  </si>
  <si>
    <t>Comissão para a Cidadania e a Igualdade de Género</t>
  </si>
  <si>
    <t>PO18 — Cultura</t>
  </si>
  <si>
    <t>Fundo para a Aquisição de Bens Culturais</t>
  </si>
  <si>
    <t>FUNDAÇÃO PARA O DESENVOLVIMENTO CIÊNCIAS ECONÓMICAS FINANCEIRAS E EMPRESARIAIS</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</si>
  <si>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</si>
  <si>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</si>
  <si>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082 - Segurança e Ação Social - Violência doméstica - Prevenção e proteção à vítima</t>
  </si>
  <si>
    <t>084 - Simplex +</t>
  </si>
  <si>
    <t>Contributo VHA (pp)</t>
  </si>
  <si>
    <t>Absoluta</t>
  </si>
  <si>
    <t>[3]</t>
  </si>
  <si>
    <t>Autoridade Nacional de Comunicações</t>
  </si>
  <si>
    <t>[4]</t>
  </si>
  <si>
    <t>[5]</t>
  </si>
  <si>
    <t>[6]</t>
  </si>
  <si>
    <t>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</si>
  <si>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Source: Compiled by EO on data collected by BE, ACSS, DGAL, DGTF,  Azores Autonomous Region Budget and Treasury Regional Directorate and Madeira Autonomous Region Budget and Treasury Regional Directorate.</t>
  </si>
  <si>
    <t>IAPMEI - Agência para a Competitividade e Inovação, I.P.</t>
  </si>
  <si>
    <t>ENTIDADE REGIONAL DE TURISMO DA REGIÃO DE LISBOA</t>
  </si>
  <si>
    <t>junho</t>
  </si>
  <si>
    <t>(3)</t>
  </si>
  <si>
    <t>Instituições do Ensino Superior</t>
  </si>
  <si>
    <t>Serviço Nacional de Saúde</t>
  </si>
  <si>
    <t>julho</t>
  </si>
  <si>
    <t>COSTA POLIS SOC PARA O DESENVOLVIMENTO DO PROG POLIS NA COSTA DA CAPARICA, S.A.</t>
  </si>
  <si>
    <t>[7]</t>
  </si>
  <si>
    <t>[8]</t>
  </si>
  <si>
    <t>agosto</t>
  </si>
  <si>
    <t>setembro</t>
  </si>
  <si>
    <t>Banif, S.A.; Costa Polis - Sociedade para o Desenvolvimento do Programa Polis na Costa da Caparica, S.A.; Entidade Regional de Turismo da Região de Lisboa; Fundação para o Desenvolvimento das Ciências Económicas, Financeiras e Empresariais; Instituto Nacional de Engenharia Biomédica.</t>
  </si>
  <si>
    <t>Banif, S.A.;  Costa Polis - Sociedade para o Desenvolvimento do Programa Polis na Costa da Caparica, S.A.; Fundação para o Desenvolvimento das Ciências Económicas, Financeiras e Empresariais; Instituto Nacional de Engenharia Biomédica.</t>
  </si>
  <si>
    <t>Caixa Geral de Aposentações, I.P.</t>
  </si>
  <si>
    <t>Instituto de Emprego e Formação Profissional, I.P.</t>
  </si>
  <si>
    <t>Cofre Privativo do Tribunal de Contas – Açores</t>
  </si>
  <si>
    <t>Cofre Privativo do Tribunal de Contas – Sede</t>
  </si>
  <si>
    <t>Cofre Privativo Tribunal Contas – Madeira</t>
  </si>
  <si>
    <t>Gabinete do Representante da República – Região Autónoma da Madeira</t>
  </si>
  <si>
    <t>Gabinete do Representante da República – Região Autónoma dos Açores</t>
  </si>
  <si>
    <t>Tribunal de Contas – Secção Regional da Madeira</t>
  </si>
  <si>
    <t>Tribunal de Contas – Secção Regional dos Açores</t>
  </si>
  <si>
    <t>Tribunal de Contas – Sede</t>
  </si>
  <si>
    <t>Comissão de Recrutamento e Seleção para a Administração Pública – CRESAP</t>
  </si>
  <si>
    <t>Ação Governativa – Ministério dos Negócios Estrageiros</t>
  </si>
  <si>
    <t>Camões – Instituto da Cooperação e da Língua, I.P.</t>
  </si>
  <si>
    <t>Ação Governativa do Ministério das Finanças</t>
  </si>
  <si>
    <t>Agência de Gestão da Tesouraria e da Dívida Pública – IGCP, E.P.E.</t>
  </si>
  <si>
    <t>CONSEST – Promoção Imobiliária, S.A.</t>
  </si>
  <si>
    <t>ESTAMO – Participações Imobiliárias, S.A.</t>
  </si>
  <si>
    <t>FRME – Fundo para a Revitalização e Modernização do Tecido Empresarial, SGPS, S.A.</t>
  </si>
  <si>
    <t>Parpública – Participações Públicas, SGPS, S.A.</t>
  </si>
  <si>
    <t>SAGESECUR – Estudos, Desenvolvimento e Participações em Projetos de Investimento Valores Mobiliários, S.A.</t>
  </si>
  <si>
    <t>Wil – Projetos Turísticos, S.A.</t>
  </si>
  <si>
    <t>EXTRA – Explosivos da Trafaria, S.A.</t>
  </si>
  <si>
    <t>IDD – Portugal Defence, S.A.</t>
  </si>
  <si>
    <t>Inspeção-Geral de Defesa Nacional</t>
  </si>
  <si>
    <t>Fundo para a Modernização da Justiça</t>
  </si>
  <si>
    <t>Tribunal Central Administrativo – Centro</t>
  </si>
  <si>
    <t>Tribunal Central Administrativo – Norte</t>
  </si>
  <si>
    <t>Tribunal Central Administrativo – Sul</t>
  </si>
  <si>
    <t>Ação Governativa – Ministério da Administração Interna</t>
  </si>
  <si>
    <t>SIRESP – Gestão de Redes Digitais de Segurança e Emergência, S.A.</t>
  </si>
  <si>
    <t>Escola Portuguesa de Cabo Verde – CELP</t>
  </si>
  <si>
    <t>Escola Portuguesa de Díli – CELP – Ruy Cinatti</t>
  </si>
  <si>
    <t>Escola Portuguesa de Luanda – Centro de Ensino e Língua Portuguesa</t>
  </si>
  <si>
    <t>Escola Portuguesa de S. Tomé e Príncipe – CELP</t>
  </si>
  <si>
    <t>PO10 — Ensino Superior, Ciência e Inovação</t>
  </si>
  <si>
    <t>Ação Governativa – Ministério da Educação, Ciência e Inovação (MECI)</t>
  </si>
  <si>
    <t>Agência Espacial Portuguesa – Portugal SPACE</t>
  </si>
  <si>
    <t>AUP – Associação das Universidades Portuguesas</t>
  </si>
  <si>
    <t>IMAR – Instituto do Mar</t>
  </si>
  <si>
    <t>Instituto Politécnico do Cávado e do Ave – Fundação Pública</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</si>
  <si>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</si>
  <si>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</si>
  <si>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</si>
  <si>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</si>
  <si>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</si>
  <si>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</si>
  <si>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</si>
  <si>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</si>
  <si>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</si>
  <si>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</si>
  <si>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</si>
  <si>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</si>
  <si>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</si>
  <si>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</si>
  <si>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</si>
  <si>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</si>
  <si>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</si>
  <si>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</si>
  <si>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</si>
  <si>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</si>
  <si>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</si>
  <si>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</si>
  <si>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</si>
  <si>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</si>
  <si>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</si>
  <si>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</si>
  <si>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</si>
  <si>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</si>
  <si>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</si>
  <si>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</si>
  <si>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</si>
  <si>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</si>
  <si>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</si>
  <si>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</si>
  <si>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</si>
  <si>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</si>
  <si>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</si>
  <si>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</si>
  <si>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</si>
  <si>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</si>
  <si>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</si>
  <si>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</si>
  <si>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</si>
  <si>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de Aveiro – Fundação Pública</t>
  </si>
  <si>
    <t>Universidade de Lisboa – Reitoria</t>
  </si>
  <si>
    <t>Universidade do Minho – Fundação Pública</t>
  </si>
  <si>
    <t>Universidade do Porto – Fundação Pública</t>
  </si>
  <si>
    <t>Universidade Nova de Lisboa – Fundação Pública</t>
  </si>
  <si>
    <t>Ação Governativa – Ministério da Saúde</t>
  </si>
  <si>
    <t>EAS – Empresa Ambiente na Saúde, Tratamento de Resíduos Hospitalares Unipessoal, Lda.</t>
  </si>
  <si>
    <t>INFARMED – Autoridade Nacional do Medicamento e Produtos de Saúde, I.P.</t>
  </si>
  <si>
    <t>Instituto Português de Oncologia – Coimbra, E.P.E.</t>
  </si>
  <si>
    <t>Instituto Português de Oncologia – Lisboa, E.P.E.</t>
  </si>
  <si>
    <t>Instituto Português de Oncologia – Porto, E.P.E.</t>
  </si>
  <si>
    <t>SUCH – Serviço de Utilização Comum dos Hospitais</t>
  </si>
  <si>
    <t>Unidade Local de Saúde da Região de Aveiro, E.P.E.</t>
  </si>
  <si>
    <t>Unidade Local de Saúde da Região de Leiria, E.P.E.</t>
  </si>
  <si>
    <t>CP – Comboios de Portugal, E.P.E.</t>
  </si>
  <si>
    <t>IHRU – Instituto da Habitação e da Reabilitação Urbana, I.P.</t>
  </si>
  <si>
    <t>Instituto dos Mercados Públicos, do Imobiliário e da Construção, I.P.</t>
  </si>
  <si>
    <t>Metro – Mondego, S.A.</t>
  </si>
  <si>
    <t>Transtejo – Transportes Tejo, S.A.</t>
  </si>
  <si>
    <t>TREM – Aluguer de Material Circulante, A.C.E.</t>
  </si>
  <si>
    <t>TREM II – Aluguer de Material Circulante, A.C.E.</t>
  </si>
  <si>
    <t>Ação Governativa – Ministério da Economia</t>
  </si>
  <si>
    <t>AICEP – Agência para o Investimento e Comércio Externo de Portugal, E.P.E.</t>
  </si>
  <si>
    <t>ENATUR – Empresa Nacional de Turismo, S.A.</t>
  </si>
  <si>
    <t>Fundo de Apoio ao Financiamento à Inovação – FINOVA</t>
  </si>
  <si>
    <t>IAPMEI – Agência para a Competitividade e Inovação, I.P.</t>
  </si>
  <si>
    <t>Ação Governativa – Ministério do Trabalho, Solidariedade e Segurança Social</t>
  </si>
  <si>
    <t>Ação Governativa – Ministério do Ambiente e Energia</t>
  </si>
  <si>
    <t>AVEIROPOLIS – Sociedade para o Desenvolvimento do Programa Polis em Aveiro, S.A.</t>
  </si>
  <si>
    <t>Costa Polis – Sociedade para o Desenvolvimento do Programa Polis na Costa da Caparica, S.A.</t>
  </si>
  <si>
    <t>PO16 — Juventude e Desporto</t>
  </si>
  <si>
    <t>Autoridade para a Prevenção e Combate à Violência no Desporto</t>
  </si>
  <si>
    <t>Gabinetes dos Membros do Governo do Ministério da Juventude e Desporto</t>
  </si>
  <si>
    <t>PO17 — Agricultura e Mar</t>
  </si>
  <si>
    <t>Ação Governativa – Ministério da Agricultura e Pescas</t>
  </si>
  <si>
    <t>EDIA – Empresa de Desenvolvimento e Infraestruturas do Alqueva, S.A.</t>
  </si>
  <si>
    <t>Estrutura de Missão para a Gestão do Plano Estratégico da Política Agrícola Comum de Portugal no Continente</t>
  </si>
  <si>
    <t>Gabinete de Planeamento e Políticas</t>
  </si>
  <si>
    <t>Cinemateca Portuguesa – Museu do Cinema, I.P.</t>
  </si>
  <si>
    <t>Côa Parque – Fundação para a Salvaguarda e Valorização do Vale do Côa</t>
  </si>
  <si>
    <t>OPART – Organismo de Produção Artística, E.P.E.</t>
  </si>
  <si>
    <t>PO19 — Coesão Territorial</t>
  </si>
  <si>
    <t>Direção-Geral das Autarquias Locais</t>
  </si>
  <si>
    <t>Gabinetes dos Membros do Governo – Coesão Territorial</t>
  </si>
  <si>
    <t>PO20 — Reforma do Estado</t>
  </si>
  <si>
    <t>Ação Governativa dos Membros do Governo do Ministério da Reforma do Estado</t>
  </si>
  <si>
    <r>
      <t xml:space="preserve">Entidade Orçamental </t>
    </r>
    <r>
      <rPr>
        <b/>
        <sz val="8"/>
        <color rgb="FF000000"/>
        <rFont val="Calibri"/>
        <family val="2"/>
      </rPr>
      <t>e)</t>
    </r>
  </si>
  <si>
    <r>
      <t xml:space="preserve">Entidade do Tesouro e Finanças </t>
    </r>
    <r>
      <rPr>
        <b/>
        <sz val="8"/>
        <color rgb="FF000000"/>
        <rFont val="Calibri"/>
        <family val="2"/>
      </rPr>
      <t>f)</t>
    </r>
  </si>
  <si>
    <r>
      <t xml:space="preserve">Unidade Técnica de Acompanhamento de Projetos </t>
    </r>
    <r>
      <rPr>
        <b/>
        <sz val="8"/>
        <color rgb="FF000000"/>
        <rFont val="Calibri"/>
        <family val="2"/>
      </rPr>
      <t>d)</t>
    </r>
  </si>
  <si>
    <r>
      <t xml:space="preserve">Unidade Técnica de Acompanhamento e Monitorização do Setor Público Empresarial </t>
    </r>
    <r>
      <rPr>
        <b/>
        <sz val="8"/>
        <color rgb="FF000000"/>
        <rFont val="Calibri"/>
        <family val="2"/>
      </rPr>
      <t>d)</t>
    </r>
  </si>
  <si>
    <r>
      <t xml:space="preserve">Administração Regional de Saúde do Alentejo, I.P. </t>
    </r>
    <r>
      <rPr>
        <b/>
        <sz val="8"/>
        <color rgb="FF000000"/>
        <rFont val="Calibri"/>
        <family val="2"/>
      </rPr>
      <t>a)</t>
    </r>
  </si>
  <si>
    <r>
      <t xml:space="preserve">Administração Regional de Saúde do Algarve, I.P. </t>
    </r>
    <r>
      <rPr>
        <b/>
        <sz val="8"/>
        <color rgb="FF000000"/>
        <rFont val="Calibri"/>
        <family val="2"/>
      </rPr>
      <t>a)</t>
    </r>
  </si>
  <si>
    <r>
      <t xml:space="preserve">Administração Regional de Saúde do Centro, I.P. </t>
    </r>
    <r>
      <rPr>
        <b/>
        <sz val="8"/>
        <color rgb="FF000000"/>
        <rFont val="Calibri"/>
        <family val="2"/>
      </rPr>
      <t>a)</t>
    </r>
  </si>
  <si>
    <r>
      <t xml:space="preserve">Administração Regional de Saúde de Lisboa e Vale do Tejo, I.P. </t>
    </r>
    <r>
      <rPr>
        <b/>
        <sz val="8"/>
        <color rgb="FF000000"/>
        <rFont val="Calibri"/>
        <family val="2"/>
      </rPr>
      <t>a)</t>
    </r>
  </si>
  <si>
    <r>
      <t xml:space="preserve">Administração Regional de Saúde do Norte, I.P. </t>
    </r>
    <r>
      <rPr>
        <b/>
        <sz val="8"/>
        <color rgb="FF000000"/>
        <rFont val="Calibri"/>
        <family val="2"/>
      </rPr>
      <t>a)</t>
    </r>
  </si>
  <si>
    <r>
      <t xml:space="preserve">Centro de Competências de Envelhecimento Ativo </t>
    </r>
    <r>
      <rPr>
        <b/>
        <sz val="8"/>
        <color rgb="FF000000"/>
        <rFont val="Calibri"/>
        <family val="2"/>
      </rPr>
      <t>b)</t>
    </r>
  </si>
  <si>
    <r>
      <t xml:space="preserve">Centro de Competências para a Economia Social (CCES) </t>
    </r>
    <r>
      <rPr>
        <b/>
        <sz val="8"/>
        <color rgb="FF000000"/>
        <rFont val="Calibri"/>
        <family val="2"/>
      </rPr>
      <t>b)</t>
    </r>
  </si>
  <si>
    <r>
      <t xml:space="preserve">Centro para a Economia e Inovação Social </t>
    </r>
    <r>
      <rPr>
        <b/>
        <sz val="8"/>
        <color rgb="FF000000"/>
        <rFont val="Calibri"/>
        <family val="2"/>
      </rPr>
      <t>b)</t>
    </r>
  </si>
  <si>
    <r>
      <t xml:space="preserve">Agência para o Clima, I.P. </t>
    </r>
    <r>
      <rPr>
        <b/>
        <sz val="8"/>
        <color rgb="FF000000"/>
        <rFont val="Calibri"/>
        <family val="2"/>
      </rPr>
      <t>c)</t>
    </r>
  </si>
  <si>
    <t>Mecanismo Nacional para a Monitorização da Implementação da Convenção sobre os Direitos das Pessoas com Deficiência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</si>
</sst>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13">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
      <sz val="10"/>
      <color theme="0"/>
      <name val="Arial"/>
      <family val="2"/>
    </font>
    <font>
      <b/>
      <sz val="11"/>
      <color rgb="FF01245E"/>
      <name val="Dubai"/>
      <family val="2"/>
    </font>
    <font>
      <b/>
      <sz val="9"/>
      <color rgb="FF005BBF"/>
      <name val="Dubai"/>
      <family val="2"/>
    </font>
    <font>
      <b/>
      <sz val="16"/>
      <color rgb="FF01245E"/>
      <name val="Dubai"/>
      <family val="2"/>
    </font>
    <font>
      <b/>
      <sz val="14"/>
      <color rgb="FF005BBF"/>
      <name val="Dubai"/>
      <family val="2"/>
    </font>
    <font>
      <b/>
      <sz val="8"/>
      <color rgb="FFFF0000"/>
      <name val="Calibri"/>
      <family val="2"/>
      <scheme val="minor"/>
    </font>
    <font>
      <sz val="11"/>
      <name val="Calibri"/>
      <family val="2"/>
      <scheme val="minor"/>
    </font>
  </fonts>
  <fills count="1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
      <patternFill patternType="solid">
        <fgColor rgb="FFFFFFFF"/>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88">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27" fillId="62" borderId="0" xfId="538" quotePrefix="1" applyNumberFormat="1" applyFont="1" applyFill="1" applyAlignment="1">
      <alignment vertical="top"/>
    </xf>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129" fillId="0" borderId="0" xfId="488" applyFont="1" applyAlignment="1">
      <alignment horizontal="lef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0" fontId="124" fillId="0" borderId="0" xfId="471" quotePrefix="1" applyFont="1" applyAlignment="1">
      <alignment vertical="center"/>
    </xf>
    <xf numFmtId="0" fontId="124" fillId="0" borderId="0" xfId="471" applyFont="1" applyAlignment="1">
      <alignmen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48" xfId="0" applyFont="1" applyBorder="1" applyAlignment="1">
      <alignment horizontal="left" vertical="center" indent="2"/>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165" fontId="10" fillId="0" borderId="0" xfId="471" applyNumberFormat="1" applyFont="1"/>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165" fontId="13" fillId="124" borderId="0" xfId="711" applyNumberFormat="1" applyFont="1" applyFill="1" applyAlignment="1">
      <alignment vertical="center"/>
    </xf>
    <xf numFmtId="0" fontId="9" fillId="0" borderId="0" xfId="580" applyFont="1" applyAlignment="1">
      <alignment horizontal="left" wrapText="1"/>
    </xf>
    <xf numFmtId="0" fontId="4" fillId="0" borderId="0" xfId="471" applyFont="1" applyAlignment="1">
      <alignment vertical="center"/>
    </xf>
    <xf numFmtId="0" fontId="129" fillId="0" borderId="0" xfId="471"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170" fontId="4" fillId="0" borderId="0" xfId="488" applyNumberFormat="1" applyFont="1" applyAlignment="1">
      <alignment vertical="center"/>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0" fontId="206" fillId="0" borderId="0" xfId="471" applyFont="1"/>
    <xf numFmtId="165" fontId="206" fillId="0" borderId="0" xfId="471" applyNumberFormat="1" applyFont="1"/>
    <xf numFmtId="0" fontId="206" fillId="62" borderId="0" xfId="471" applyFont="1" applyFill="1"/>
    <xf numFmtId="165" fontId="206" fillId="62" borderId="0" xfId="471" applyNumberFormat="1" applyFont="1" applyFill="1"/>
    <xf numFmtId="0" fontId="6" fillId="0" borderId="0" xfId="580" applyFont="1" applyAlignment="1">
      <alignment horizontal="left" wrapText="1"/>
    </xf>
    <xf numFmtId="0" fontId="207" fillId="0" borderId="0" xfId="0" applyFont="1" applyAlignment="1">
      <alignment horizontal="left"/>
    </xf>
    <xf numFmtId="0" fontId="208" fillId="0" borderId="0" xfId="423" applyFont="1" applyFill="1" applyAlignment="1"/>
    <xf numFmtId="0" fontId="104" fillId="63" borderId="0" xfId="755" applyFont="1" applyFill="1" applyBorder="1">
      <alignment horizontal="center" vertical="center" wrapText="1" readingOrder="1"/>
    </xf>
    <xf numFmtId="0" fontId="104" fillId="63" borderId="109" xfId="755" applyFont="1" applyFill="1" applyBorder="1">
      <alignment horizontal="center" vertical="center" wrapText="1" readingOrder="1"/>
    </xf>
    <xf numFmtId="0" fontId="104" fillId="63" borderId="53" xfId="755" quotePrefix="1" applyFont="1" applyFill="1" applyBorder="1">
      <alignment horizontal="center" vertical="center" wrapText="1" readingOrder="1"/>
    </xf>
    <xf numFmtId="0" fontId="104" fillId="63" borderId="0" xfId="755" quotePrefix="1" applyFont="1" applyFill="1" applyBorder="1">
      <alignment horizontal="center" vertical="center" wrapText="1" readingOrder="1"/>
    </xf>
    <xf numFmtId="0" fontId="134" fillId="0" borderId="0" xfId="759" applyFont="1" applyBorder="1">
      <alignment horizontal="left" vertical="center" indent="1"/>
    </xf>
    <xf numFmtId="0" fontId="99" fillId="0" borderId="0" xfId="759" applyFont="1" applyBorder="1" applyAlignment="1">
      <alignment horizontal="left" vertical="center" indent="3"/>
    </xf>
    <xf numFmtId="0" fontId="99" fillId="0" borderId="36" xfId="761"/>
    <xf numFmtId="0" fontId="137" fillId="0" borderId="0" xfId="759" applyFont="1" applyBorder="1" applyAlignment="1">
      <alignment horizontal="left" vertical="center" indent="3"/>
    </xf>
    <xf numFmtId="0" fontId="109" fillId="0" borderId="0" xfId="756" applyFont="1" applyFill="1" applyBorder="1">
      <alignment horizontal="left" vertical="center" wrapText="1" indent="1" readingOrder="1"/>
    </xf>
    <xf numFmtId="165" fontId="134" fillId="123" borderId="35" xfId="760" applyNumberFormat="1" applyFont="1" applyFill="1">
      <alignment horizontal="right" vertical="center" indent="1"/>
    </xf>
    <xf numFmtId="0" fontId="137" fillId="0" borderId="34" xfId="759" applyFont="1">
      <alignment horizontal="left" vertical="center" indent="1"/>
    </xf>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165" fontId="4" fillId="0" borderId="47" xfId="488" applyNumberFormat="1" applyFont="1" applyBorder="1" applyAlignment="1">
      <alignment vertical="center"/>
    </xf>
    <xf numFmtId="0" fontId="137" fillId="0" borderId="34" xfId="759" applyFont="1" applyAlignment="1">
      <alignment horizontal="left" vertical="center" indent="3"/>
    </xf>
    <xf numFmtId="0" fontId="99" fillId="0" borderId="0" xfId="759" applyFont="1" applyBorder="1" applyAlignment="1">
      <alignment horizontal="left" vertical="center"/>
    </xf>
    <xf numFmtId="165" fontId="112" fillId="0" borderId="48" xfId="471" applyNumberFormat="1" applyFont="1" applyBorder="1" applyAlignment="1">
      <alignment vertical="center"/>
    </xf>
    <xf numFmtId="0" fontId="99" fillId="0" borderId="97" xfId="759" applyFont="1" applyBorder="1" applyAlignment="1">
      <alignment horizontal="left" vertical="center"/>
    </xf>
    <xf numFmtId="3" fontId="99" fillId="0" borderId="49" xfId="760" applyFont="1" applyBorder="1">
      <alignment horizontal="right" vertical="center" indent="1"/>
    </xf>
    <xf numFmtId="165" fontId="99" fillId="0" borderId="50" xfId="760" applyNumberFormat="1" applyFont="1" applyBorder="1">
      <alignment horizontal="right" vertical="center" indent="1"/>
    </xf>
    <xf numFmtId="165" fontId="99" fillId="62" borderId="35" xfId="760" applyNumberFormat="1" applyFont="1" applyFill="1">
      <alignment horizontal="right" vertical="center" indent="1"/>
    </xf>
    <xf numFmtId="0" fontId="134" fillId="62" borderId="34" xfId="759" applyFont="1" applyFill="1">
      <alignment horizontal="left" vertical="center" indent="1"/>
    </xf>
    <xf numFmtId="165" fontId="134" fillId="62" borderId="35" xfId="760" applyNumberFormat="1" applyFont="1" applyFill="1">
      <alignment horizontal="right" vertical="center" indent="1"/>
    </xf>
    <xf numFmtId="0" fontId="99" fillId="62" borderId="34" xfId="759" applyFont="1" applyFill="1" applyAlignment="1">
      <alignment horizontal="left" vertical="center" indent="2"/>
    </xf>
    <xf numFmtId="0" fontId="99" fillId="0" borderId="50" xfId="759" applyFont="1" applyBorder="1" applyAlignment="1">
      <alignment vertical="center"/>
    </xf>
    <xf numFmtId="165" fontId="134" fillId="0" borderId="50" xfId="760" applyNumberFormat="1" applyFont="1" applyBorder="1">
      <alignment horizontal="right" vertical="center" indent="1"/>
    </xf>
    <xf numFmtId="165" fontId="4" fillId="0" borderId="50" xfId="515" applyNumberFormat="1" applyFont="1" applyBorder="1" applyAlignment="1">
      <alignment vertical="center"/>
    </xf>
    <xf numFmtId="165" fontId="124" fillId="0" borderId="50" xfId="515" applyNumberFormat="1" applyFont="1" applyBorder="1" applyAlignment="1">
      <alignment vertical="center"/>
    </xf>
    <xf numFmtId="165" fontId="4" fillId="0" borderId="0" xfId="488" applyNumberFormat="1" applyFont="1" applyAlignment="1">
      <alignment horizontal="left" vertical="center" indent="2"/>
    </xf>
    <xf numFmtId="165" fontId="4" fillId="0" borderId="58" xfId="515" applyNumberFormat="1" applyFont="1" applyBorder="1" applyAlignment="1">
      <alignment vertical="center"/>
    </xf>
    <xf numFmtId="165" fontId="99" fillId="0" borderId="58" xfId="760" applyNumberFormat="1" applyFont="1" applyBorder="1">
      <alignment horizontal="right" vertical="center" indent="1"/>
    </xf>
    <xf numFmtId="0" fontId="108" fillId="0" borderId="0" xfId="759" applyFont="1" applyBorder="1" applyAlignment="1">
      <alignment horizontal="left" vertical="center" indent="3"/>
    </xf>
    <xf numFmtId="0" fontId="99" fillId="0" borderId="0" xfId="759" applyFont="1" applyBorder="1">
      <alignment horizontal="left" vertical="center" indent="1"/>
    </xf>
    <xf numFmtId="165" fontId="99" fillId="123" borderId="35" xfId="760" applyNumberFormat="1" applyFont="1" applyFill="1">
      <alignment horizontal="right" vertical="center" indent="1"/>
    </xf>
    <xf numFmtId="0" fontId="99" fillId="0" borderId="34" xfId="759" applyFont="1" applyAlignment="1">
      <alignment horizontal="left" vertical="center" indent="4"/>
    </xf>
    <xf numFmtId="0" fontId="99" fillId="0" borderId="57" xfId="759" applyFont="1" applyBorder="1" applyAlignment="1">
      <alignment horizontal="left" vertical="center" indent="3"/>
    </xf>
    <xf numFmtId="165" fontId="4" fillId="0" borderId="0" xfId="488" applyNumberFormat="1" applyFont="1" applyAlignment="1">
      <alignment horizontal="left" vertical="center" indent="1"/>
    </xf>
    <xf numFmtId="165" fontId="4" fillId="0" borderId="47" xfId="488" applyNumberFormat="1" applyFont="1" applyBorder="1" applyAlignment="1">
      <alignment horizontal="left" vertical="center" wrapText="1" indent="1"/>
    </xf>
    <xf numFmtId="165" fontId="4" fillId="0" borderId="0" xfId="487" applyNumberFormat="1" applyFont="1" applyAlignment="1">
      <alignment horizontal="right" vertical="center" indent="1"/>
    </xf>
    <xf numFmtId="165" fontId="108" fillId="0" borderId="35" xfId="760" applyNumberFormat="1" applyFont="1">
      <alignment horizontal="right" vertical="center" indent="1"/>
    </xf>
    <xf numFmtId="165" fontId="108" fillId="0" borderId="39" xfId="760" applyNumberFormat="1" applyFont="1" applyBorder="1">
      <alignment horizontal="right" vertical="center" indent="1"/>
    </xf>
    <xf numFmtId="165" fontId="4" fillId="0" borderId="35" xfId="0" applyNumberFormat="1" applyFont="1" applyBorder="1" applyAlignment="1">
      <alignment horizontal="right" vertical="center" indent="1"/>
    </xf>
    <xf numFmtId="165" fontId="201" fillId="0" borderId="35" xfId="760" applyNumberFormat="1" applyFont="1">
      <alignment horizontal="right" vertical="center" indent="1"/>
    </xf>
    <xf numFmtId="165" fontId="111" fillId="0" borderId="35" xfId="760" applyNumberFormat="1" applyFont="1">
      <alignment horizontal="right" vertical="center" indent="1"/>
    </xf>
    <xf numFmtId="0" fontId="211" fillId="0" borderId="0" xfId="759" applyFont="1" applyBorder="1">
      <alignment horizontal="left" vertical="center" indent="1"/>
    </xf>
    <xf numFmtId="0" fontId="106" fillId="0" borderId="0" xfId="759" applyFont="1" applyBorder="1">
      <alignment horizontal="left" vertical="center" indent="1"/>
    </xf>
    <xf numFmtId="0" fontId="106" fillId="0" borderId="0" xfId="759" applyFont="1" applyBorder="1" applyAlignment="1">
      <alignment horizontal="center" vertical="center"/>
    </xf>
    <xf numFmtId="0" fontId="212" fillId="0" borderId="0" xfId="0" applyFont="1"/>
    <xf numFmtId="165" fontId="106" fillId="0" borderId="35" xfId="760" applyNumberFormat="1" applyFont="1">
      <alignment horizontal="right" vertical="center" indent="1"/>
    </xf>
    <xf numFmtId="165" fontId="108" fillId="0" borderId="0" xfId="495" applyNumberFormat="1" applyFont="1" applyAlignment="1">
      <alignment horizontal="right" vertical="center"/>
    </xf>
    <xf numFmtId="0" fontId="108" fillId="0" borderId="0" xfId="0" applyFont="1"/>
    <xf numFmtId="0" fontId="106" fillId="0" borderId="0" xfId="0" applyFont="1"/>
    <xf numFmtId="0" fontId="99" fillId="0" borderId="34" xfId="759" applyFont="1" applyAlignment="1">
      <alignment horizontal="left" vertical="center" indent="5"/>
    </xf>
    <xf numFmtId="0" fontId="137" fillId="0" borderId="34" xfId="759" applyFont="1" applyAlignment="1">
      <alignment horizontal="left" vertical="center" indent="4"/>
    </xf>
    <xf numFmtId="165" fontId="99" fillId="0" borderId="61" xfId="760" applyNumberFormat="1" applyFont="1" applyBorder="1">
      <alignment horizontal="right" vertical="center" indent="1"/>
    </xf>
    <xf numFmtId="165" fontId="99" fillId="0" borderId="65" xfId="760" applyNumberFormat="1" applyFont="1" applyBorder="1">
      <alignment horizontal="right" vertical="center" indent="1"/>
    </xf>
    <xf numFmtId="0" fontId="99" fillId="0" borderId="34" xfId="759" applyFont="1">
      <alignment horizontal="left" vertical="center" indent="1"/>
    </xf>
    <xf numFmtId="0" fontId="99" fillId="0" borderId="57" xfId="760" applyNumberFormat="1" applyFont="1" applyBorder="1" applyAlignment="1">
      <alignment horizontal="left" vertical="center" indent="1"/>
    </xf>
    <xf numFmtId="165" fontId="99" fillId="0" borderId="95" xfId="760" applyNumberFormat="1" applyFont="1" applyBorder="1">
      <alignment horizontal="right" vertical="center" indent="1"/>
    </xf>
    <xf numFmtId="165" fontId="99" fillId="0" borderId="91" xfId="760" applyNumberFormat="1" applyFont="1" applyBorder="1">
      <alignment horizontal="right" vertical="center" indent="1"/>
    </xf>
    <xf numFmtId="165" fontId="99" fillId="0" borderId="90" xfId="760" applyNumberFormat="1" applyFont="1" applyBorder="1">
      <alignment horizontal="right" vertical="center" indent="1"/>
    </xf>
    <xf numFmtId="165" fontId="99" fillId="0" borderId="92" xfId="760" applyNumberFormat="1" applyFont="1" applyBorder="1" applyAlignment="1">
      <alignment horizontal="left" vertical="center" indent="1"/>
    </xf>
    <xf numFmtId="165" fontId="99" fillId="0" borderId="93" xfId="760" applyNumberFormat="1" applyFont="1" applyBorder="1" applyAlignment="1">
      <alignment horizontal="left" vertical="center" indent="1"/>
    </xf>
    <xf numFmtId="165" fontId="99" fillId="0" borderId="94" xfId="760" applyNumberFormat="1" applyFont="1" applyBorder="1" applyAlignment="1">
      <alignment horizontal="left" vertical="center" indent="1"/>
    </xf>
    <xf numFmtId="165" fontId="99" fillId="0" borderId="96" xfId="760" applyNumberFormat="1" applyFont="1" applyBorder="1">
      <alignment horizontal="right" vertical="center" indent="1"/>
    </xf>
    <xf numFmtId="0" fontId="99" fillId="0" borderId="34" xfId="759" applyFont="1" applyAlignment="1">
      <alignment horizontal="left" vertical="center" indent="6"/>
    </xf>
    <xf numFmtId="177" fontId="99" fillId="0" borderId="39" xfId="804" applyNumberFormat="1" applyFont="1" applyFill="1" applyBorder="1" applyAlignment="1">
      <alignment horizontal="right" vertical="center" indent="1"/>
    </xf>
    <xf numFmtId="0" fontId="99" fillId="0" borderId="34" xfId="759" applyFont="1" applyAlignment="1">
      <alignment horizontal="left" vertical="center" wrapText="1" indent="5"/>
    </xf>
    <xf numFmtId="0" fontId="99" fillId="0" borderId="34" xfId="759" applyFont="1" applyAlignment="1">
      <alignment horizontal="left" vertical="center" wrapText="1" indent="3"/>
    </xf>
    <xf numFmtId="0" fontId="99" fillId="0" borderId="0" xfId="0" applyFont="1" applyAlignment="1">
      <alignment horizontal="left" wrapText="1"/>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99" fillId="0" borderId="34" xfId="759" applyFont="1" applyAlignment="1">
      <alignment horizontal="center" vertical="center"/>
    </xf>
    <xf numFmtId="0" fontId="99" fillId="0" borderId="34" xfId="759" applyFont="1" applyAlignment="1">
      <alignment horizontal="left" vertical="center" wrapText="1"/>
    </xf>
    <xf numFmtId="3" fontId="99" fillId="0" borderId="35" xfId="760" applyFont="1" applyAlignment="1">
      <alignment horizontal="right" vertical="center"/>
    </xf>
    <xf numFmtId="0" fontId="99" fillId="0" borderId="34" xfId="759" quotePrefix="1" applyFont="1" applyAlignment="1">
      <alignment horizontal="left" vertical="center" wrapText="1"/>
    </xf>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209" fillId="0" borderId="0" xfId="0" applyFont="1" applyAlignment="1">
      <alignment horizontal="center" vertical="center"/>
    </xf>
    <xf numFmtId="0" fontId="210" fillId="0" borderId="0" xfId="423" applyFont="1" applyFill="1" applyAlignment="1">
      <alignment horizontal="center" vertical="top"/>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4" fillId="0" borderId="0" xfId="759" applyFont="1" applyBorder="1">
      <alignment horizontal="left" vertical="center" indent="1"/>
    </xf>
    <xf numFmtId="0" fontId="134" fillId="0" borderId="34" xfId="759" applyFont="1">
      <alignment horizontal="left" vertical="center" indent="1"/>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123" borderId="0" xfId="515" applyNumberFormat="1" applyFont="1" applyFill="1" applyAlignment="1">
      <alignment horizontal="left" vertical="center" wrapText="1"/>
    </xf>
    <xf numFmtId="0" fontId="4" fillId="0" borderId="0" xfId="537"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103" fillId="62" borderId="0" xfId="762"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4" fillId="0" borderId="0" xfId="580" applyFont="1" applyAlignment="1">
      <alignment horizontal="left" vertical="center"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11" fillId="123" borderId="0" xfId="580" applyFont="1" applyFill="1" applyAlignment="1">
      <alignment horizontal="left" wrapText="1"/>
    </xf>
    <xf numFmtId="0" fontId="111" fillId="0" borderId="0" xfId="580" applyFont="1" applyAlignment="1">
      <alignment horizontal="left" wrapText="1"/>
    </xf>
    <xf numFmtId="0" fontId="140" fillId="0" borderId="0" xfId="580" applyFont="1" applyAlignment="1">
      <alignment horizontal="left"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165" fontId="108" fillId="0" borderId="0" xfId="538" applyNumberFormat="1" applyFont="1" applyAlignment="1">
      <alignment horizontal="left" vertical="top" wrapText="1"/>
    </xf>
    <xf numFmtId="0" fontId="104" fillId="63" borderId="109" xfId="755" applyFont="1" applyFill="1" applyBorder="1">
      <alignment horizontal="center" vertical="center" wrapText="1" readingOrder="1"/>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99" fillId="62" borderId="34" xfId="759" applyFont="1" applyFill="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62" borderId="98" xfId="759" applyFont="1" applyFill="1" applyBorder="1" applyAlignment="1">
      <alignment horizontal="center" vertical="center" textRotation="90"/>
    </xf>
    <xf numFmtId="0" fontId="108" fillId="0" borderId="0" xfId="0" applyFont="1" applyAlignment="1">
      <alignment horizontal="left" vertical="center" wrapText="1"/>
    </xf>
    <xf numFmtId="165" fontId="108" fillId="0" borderId="0" xfId="538" quotePrefix="1" applyNumberFormat="1" applyFont="1" applyAlignment="1">
      <alignment horizontal="left" vertical="top" wrapText="1"/>
    </xf>
    <xf numFmtId="165" fontId="4" fillId="0" borderId="0" xfId="515" applyNumberFormat="1" applyFont="1" applyAlignment="1">
      <alignment horizontal="left" vertical="center" wrapText="1"/>
    </xf>
    <xf numFmtId="0" fontId="108" fillId="0" borderId="0" xfId="0" applyFont="1" applyAlignment="1">
      <alignment horizontal="left" vertical="top" wrapText="1"/>
    </xf>
    <xf numFmtId="165" fontId="108" fillId="0" borderId="0" xfId="538" applyNumberFormat="1" applyFont="1" applyAlignment="1">
      <alignment horizontal="left" vertical="top"/>
    </xf>
    <xf numFmtId="165" fontId="108" fillId="0" borderId="0" xfId="538" quotePrefix="1" applyNumberFormat="1" applyFont="1" applyAlignment="1">
      <alignment horizontal="left" vertical="top"/>
    </xf>
    <xf numFmtId="0" fontId="104" fillId="63" borderId="33"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0" fontId="105" fillId="61" borderId="0" xfId="756" applyFont="1" applyBorder="1">
      <alignment horizontal="left" vertical="center" wrapText="1" indent="1" readingOrder="1"/>
    </xf>
    <xf numFmtId="0" fontId="99" fillId="0" borderId="0" xfId="761" applyBorder="1" applyAlignment="1">
      <alignment horizontal="left" vertical="center" wrapText="1"/>
    </xf>
    <xf numFmtId="165" fontId="4" fillId="0" borderId="0" xfId="609" applyNumberFormat="1" applyFont="1" applyAlignment="1">
      <alignment horizontal="left" vertical="center" wrapText="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84">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83"/>
      <tableStyleElement type="totalRow" dxfId="82"/>
      <tableStyleElement type="firstRowStripe" dxfId="81"/>
      <tableStyleElement type="firstColumnStripe" dxfId="80"/>
      <tableStyleElement type="firstSubtotalColumn" dxfId="79"/>
      <tableStyleElement type="firstSubtotalRow" dxfId="78"/>
      <tableStyleElement type="secondSubtotalRow" dxfId="77"/>
      <tableStyleElement type="firstRowSubheading" dxfId="76"/>
      <tableStyleElement type="secondRowSubheading" dxfId="75"/>
      <tableStyleElement type="pageFieldLabels" dxfId="74"/>
      <tableStyleElement type="pageFieldValues" dxfId="73"/>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hyperlink" Target="#Indice_index!A1"/><Relationship Id="rId2" Type="http://schemas.openxmlformats.org/officeDocument/2006/relationships/image" Target="../media/image8.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39</xdr:row>
      <xdr:rowOff>161925</xdr:rowOff>
    </xdr:to>
    <xdr:grpSp>
      <xdr:nvGrpSpPr>
        <xdr:cNvPr id="2" name="Agrupar 1">
          <a:extLst>
            <a:ext uri="{FF2B5EF4-FFF2-40B4-BE49-F238E27FC236}">
              <a16:creationId xmlns:a16="http://schemas.microsoft.com/office/drawing/2014/main" id="{00000000-0008-0000-0000-000002000000}"/>
            </a:ext>
          </a:extLst>
        </xdr:cNvPr>
        <xdr:cNvGrpSpPr/>
      </xdr:nvGrpSpPr>
      <xdr:grpSpPr>
        <a:xfrm>
          <a:off x="0" y="0"/>
          <a:ext cx="5600700" cy="8001000"/>
          <a:chOff x="0" y="0"/>
          <a:chExt cx="5600700" cy="7711350"/>
        </a:xfrm>
      </xdr:grpSpPr>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6607"/>
          <a:stretch/>
        </xdr:blipFill>
        <xdr:spPr>
          <a:xfrm>
            <a:off x="0" y="0"/>
            <a:ext cx="5600700" cy="6444485"/>
          </a:xfrm>
          <a:prstGeom prst="rect">
            <a:avLst/>
          </a:prstGeom>
        </xdr:spPr>
      </xdr:pic>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1435" y="6991350"/>
            <a:ext cx="1475212" cy="720000"/>
          </a:xfrm>
          <a:prstGeom prst="rect">
            <a:avLst/>
          </a:prstGeom>
        </xdr:spPr>
      </xdr:pic>
      <xdr:pic>
        <xdr:nvPicPr>
          <xdr:cNvPr id="5" name="Imagem 4" descr="Uma imagem com texto, Tipo de letra, logótipo, Gráficos&#10;&#10;Os conteúdos gerados por IA poderão estar incorreto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924674"/>
            <a:ext cx="1860942" cy="720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2</xdr:row>
      <xdr:rowOff>0</xdr:rowOff>
    </xdr:from>
    <xdr:to>
      <xdr:col>6</xdr:col>
      <xdr:colOff>242365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2</xdr:row>
      <xdr:rowOff>0</xdr:rowOff>
    </xdr:from>
    <xdr:to>
      <xdr:col>6</xdr:col>
      <xdr:colOff>204265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130175</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1</xdr:row>
      <xdr:rowOff>180975</xdr:rowOff>
    </xdr:from>
    <xdr:to>
      <xdr:col>6</xdr:col>
      <xdr:colOff>309040</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xdr:row>
      <xdr:rowOff>0</xdr:rowOff>
    </xdr:from>
    <xdr:to>
      <xdr:col>4</xdr:col>
      <xdr:colOff>366190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2</xdr:row>
      <xdr:rowOff>0</xdr:rowOff>
    </xdr:from>
    <xdr:to>
      <xdr:col>6</xdr:col>
      <xdr:colOff>270940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xdr:row>
      <xdr:rowOff>180975</xdr:rowOff>
    </xdr:from>
    <xdr:to>
      <xdr:col>7</xdr:col>
      <xdr:colOff>318565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2</xdr:row>
      <xdr:rowOff>0</xdr:rowOff>
    </xdr:from>
    <xdr:to>
      <xdr:col>6</xdr:col>
      <xdr:colOff>109015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381000</xdr:colOff>
      <xdr:row>1</xdr:row>
      <xdr:rowOff>180975</xdr:rowOff>
    </xdr:from>
    <xdr:to>
      <xdr:col>6</xdr:col>
      <xdr:colOff>385240</xdr:colOff>
      <xdr:row>4</xdr:row>
      <xdr:rowOff>149475</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2" name="Imagem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1</xdr:row>
      <xdr:rowOff>180975</xdr:rowOff>
    </xdr:from>
    <xdr:to>
      <xdr:col>5</xdr:col>
      <xdr:colOff>537640</xdr:colOff>
      <xdr:row>4</xdr:row>
      <xdr:rowOff>149475</xdr:rowOff>
    </xdr:to>
    <xdr:sp macro="" textlink="">
      <xdr:nvSpPr>
        <xdr:cNvPr id="5" name="Seta para a esquerda 4" descr="Índice" title="Índice">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129540</xdr:rowOff>
    </xdr:to>
    <xdr:pic>
      <xdr:nvPicPr>
        <xdr:cNvPr id="8" name="Imagem 2">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180975</xdr:rowOff>
    </xdr:from>
    <xdr:to>
      <xdr:col>6</xdr:col>
      <xdr:colOff>32815</xdr:colOff>
      <xdr:row>4</xdr:row>
      <xdr:rowOff>149475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19050</xdr:rowOff>
    </xdr:from>
    <xdr:to>
      <xdr:col>2</xdr:col>
      <xdr:colOff>5419725</xdr:colOff>
      <xdr:row>3</xdr:row>
      <xdr:rowOff>361950</xdr:rowOff>
    </xdr:to>
    <xdr:pic>
      <xdr:nvPicPr>
        <xdr:cNvPr id="12" name="Imagem 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38125" y="209550"/>
          <a:ext cx="56578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3</xdr:col>
      <xdr:colOff>0</xdr:colOff>
      <xdr:row>4</xdr:row>
      <xdr:rowOff>19050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47625"/>
          <a:ext cx="8839200" cy="158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76200</xdr:colOff>
      <xdr:row>1</xdr:row>
      <xdr:rowOff>133350</xdr:rowOff>
    </xdr:from>
    <xdr:to>
      <xdr:col>5</xdr:col>
      <xdr:colOff>57150</xdr:colOff>
      <xdr:row>1</xdr:row>
      <xdr:rowOff>314325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323850</xdr:rowOff>
    </xdr:from>
    <xdr:to>
      <xdr:col>5</xdr:col>
      <xdr:colOff>76200</xdr:colOff>
      <xdr:row>3</xdr:row>
      <xdr:rowOff>504825</xdr:rowOff>
    </xdr:to>
    <xdr:pic>
      <xdr:nvPicPr>
        <xdr:cNvPr id="13" name="Imagem 5">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1304925"/>
          <a:ext cx="11010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38100</xdr:colOff>
      <xdr:row>3</xdr:row>
      <xdr:rowOff>133350</xdr:rowOff>
    </xdr:to>
    <xdr:pic>
      <xdr:nvPicPr>
        <xdr:cNvPr id="2" name="Imagem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2</xdr:row>
      <xdr:rowOff>0</xdr:rowOff>
    </xdr:from>
    <xdr:to>
      <xdr:col>7</xdr:col>
      <xdr:colOff>451915</xdr:colOff>
      <xdr:row>4</xdr:row>
      <xdr:rowOff>159000</xdr:rowOff>
    </xdr:to>
    <xdr:sp macro="" textlink="">
      <xdr:nvSpPr>
        <xdr:cNvPr id="4" name="Seta para a esquerda 4" descr="Índice" title="Índice">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127000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xdr:row>
      <xdr:rowOff>180975</xdr:rowOff>
    </xdr:from>
    <xdr:to>
      <xdr:col>6</xdr:col>
      <xdr:colOff>242365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3</xdr:col>
      <xdr:colOff>400050</xdr:colOff>
      <xdr:row>3</xdr:row>
      <xdr:rowOff>133350</xdr:rowOff>
    </xdr:to>
    <xdr:pic>
      <xdr:nvPicPr>
        <xdr:cNvPr id="3" name="Imagem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xdr:row>
      <xdr:rowOff>0</xdr:rowOff>
    </xdr:from>
    <xdr:to>
      <xdr:col>10</xdr:col>
      <xdr:colOff>23290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5</xdr:col>
      <xdr:colOff>123825</xdr:colOff>
      <xdr:row>3</xdr:row>
      <xdr:rowOff>133350</xdr:rowOff>
    </xdr:to>
    <xdr:pic>
      <xdr:nvPicPr>
        <xdr:cNvPr id="5" name="Imagem 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104775</xdr:colOff>
      <xdr:row>2</xdr:row>
      <xdr:rowOff>0</xdr:rowOff>
    </xdr:from>
    <xdr:to>
      <xdr:col>10</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2</xdr:row>
      <xdr:rowOff>0</xdr:rowOff>
    </xdr:from>
    <xdr:to>
      <xdr:col>3</xdr:col>
      <xdr:colOff>356665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 name="Imagem 1">
          <a:extLst>
            <a:ext uri="{FF2B5EF4-FFF2-40B4-BE49-F238E27FC236}">
              <a16:creationId xmlns:a16="http://schemas.microsoft.com/office/drawing/2014/main" id="{70492ABE-AD6F-4DAB-89C6-F6450CA7F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714375</xdr:colOff>
      <xdr:row>2</xdr:row>
      <xdr:rowOff>0</xdr:rowOff>
    </xdr:from>
    <xdr:to>
      <xdr:col>8</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156B6F18-4369-455F-BA43-10D1C2CD3B91}"/>
            </a:ext>
          </a:extLst>
        </xdr:cNvPr>
        <xdr:cNvSpPr/>
      </xdr:nvSpPr>
      <xdr:spPr>
        <a:xfrm>
          <a:off x="7229475" y="371475"/>
          <a:ext cx="2414065"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1762125</xdr:colOff>
      <xdr:row>3</xdr:row>
      <xdr:rowOff>133350</xdr:rowOff>
    </xdr:to>
    <xdr:pic>
      <xdr:nvPicPr>
        <xdr:cNvPr id="3" name="Imagem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1543050</xdr:colOff>
      <xdr:row>2</xdr:row>
      <xdr:rowOff>0</xdr:rowOff>
    </xdr:from>
    <xdr:to>
      <xdr:col>3</xdr:col>
      <xdr:colOff>2918890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146685</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247650</xdr:colOff>
      <xdr:row>2</xdr:row>
      <xdr:rowOff>0</xdr:rowOff>
    </xdr:from>
    <xdr:to>
      <xdr:col>5</xdr:col>
      <xdr:colOff>232840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9525</xdr:rowOff>
    </xdr:from>
    <xdr:to>
      <xdr:col>3</xdr:col>
      <xdr:colOff>628650</xdr:colOff>
      <xdr:row>3</xdr:row>
      <xdr:rowOff>123825</xdr:rowOff>
    </xdr:to>
    <xdr:pic>
      <xdr:nvPicPr>
        <xdr:cNvPr id="4" name="Imagem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165734</xdr:colOff>
      <xdr:row>1</xdr:row>
      <xdr:rowOff>97155</xdr:rowOff>
    </xdr:from>
    <xdr:to>
      <xdr:col>58</xdr:col>
      <xdr:colOff>289560</xdr:colOff>
      <xdr:row>4</xdr:row>
      <xdr:rowOff>65655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10315574" y="280035"/>
          <a:ext cx="14116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1</xdr:row>
      <xdr:rowOff>180975</xdr:rowOff>
    </xdr:from>
    <xdr:to>
      <xdr:col>1</xdr:col>
      <xdr:colOff>5957365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15148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19050</xdr:rowOff>
    </xdr:from>
    <xdr:to>
      <xdr:col>1</xdr:col>
      <xdr:colOff>2400300</xdr:colOff>
      <xdr:row>3</xdr:row>
      <xdr:rowOff>133350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567690</xdr:colOff>
      <xdr:row>1</xdr:row>
      <xdr:rowOff>22860</xdr:rowOff>
    </xdr:from>
    <xdr:to>
      <xdr:col>2</xdr:col>
      <xdr:colOff>224790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67690" y="20383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2</xdr:row>
      <xdr:rowOff>0</xdr:rowOff>
    </xdr:from>
    <xdr:to>
      <xdr:col>7</xdr:col>
      <xdr:colOff>594790</xdr:colOff>
      <xdr:row>4</xdr:row>
      <xdr:rowOff>159000</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28575</xdr:colOff>
      <xdr:row>2</xdr:row>
      <xdr:rowOff>0</xdr:rowOff>
    </xdr:from>
    <xdr:to>
      <xdr:col>7</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2400300</xdr:colOff>
      <xdr:row>3</xdr:row>
      <xdr:rowOff>104775</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1</xdr:row>
      <xdr:rowOff>171450</xdr:rowOff>
    </xdr:from>
    <xdr:to>
      <xdr:col>6</xdr:col>
      <xdr:colOff>670990</xdr:colOff>
      <xdr:row>4</xdr:row>
      <xdr:rowOff>111375</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0600-000002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2</xdr:row>
      <xdr:rowOff>0</xdr:rowOff>
    </xdr:from>
    <xdr:to>
      <xdr:col>6</xdr:col>
      <xdr:colOff>670990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1</xdr:row>
      <xdr:rowOff>180975</xdr:rowOff>
    </xdr:from>
    <xdr:to>
      <xdr:col>6</xdr:col>
      <xdr:colOff>204265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FB2D-7847-4486-898E-FD9B1373A962}">
  <sheetPr>
    <pageSetUpPr fitToPage="1"/>
  </sheetPr>
  <dimension ref="A1:A55"/>
  <sheetViews>
    <sheetView showGridLines="0" zoomScaleNormal="100" zoomScalePageLayoutView="50" workbookViewId="0"/>
  </sheetViews>
  <sheetFormatPr defaultColWidth="0" defaultRowHeight="14.85" customHeight="1" zeroHeight="1"/>
  <cols>
    <col min="1" max="1" width="84" style="33" customWidth="1"/>
    <col min="2" max="16384" width="89.5703125" style="33" hidden="1"/>
  </cols>
  <sheetData>
    <row r="1" ht="15"/>
    <row r="2" ht="15"/>
    <row r="3" ht="15"/>
    <row r="4" ht="15"/>
    <row r="5" ht="15"/>
    <row r="6" ht="15"/>
    <row r="7" ht="15"/>
    <row r="8" ht="15"/>
    <row r="9" ht="15"/>
    <row r="10" ht="15"/>
    <row r="11" ht="15"/>
    <row r="12" ht="15"/>
    <row r="13" ht="15"/>
    <row r="14" ht="15"/>
    <row r="15" ht="15"/>
    <row r="16" ht="15"/>
    <row r="17" spans="1:1" ht="25.35" customHeight="1"/>
    <row r="18" spans="1:1" s="186" customFormat="1" ht="28.5">
      <c r="A18" s="185" t="str">
        <f>IF(Indice_index!$Z$1=1,"ANEXOS ESTATÍSTICOS","STATISTICAL ANNEXES 2025")</f>
        <v>ANEXOS ESTATÍSTICOS</v>
      </c>
    </row>
    <row r="19" spans="1:1" s="188" customFormat="1" ht="24">
      <c r="A19" s="187" t="str">
        <f>IF(Indice_index!$Z$1=1,"Setembro de 2025","September 2025")</f>
        <v>Setembro de 2025</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85" customHeight="1" zeroHeight="1"/>
  <cols>
    <col min="1" max="1" width="8.5703125" style="50" customWidth="1"/>
    <col min="2" max="2" width="44" style="31" customWidth="1"/>
    <col min="3" max="5" width="10.42578125" style="31" customWidth="1"/>
    <col min="6" max="9" width="10.42578125" style="50" customWidth="1"/>
    <col min="10" max="11" width="8.5703125" style="50" customWidth="1"/>
    <col min="12" max="12" width="8.5703125" style="50" hidden="1" customWidth="1"/>
    <col min="13" max="15" width="0" hidden="1" customWidth="1"/>
    <col min="16" max="16384" width="9.42578125" hidden="1"/>
  </cols>
  <sheetData>
    <row r="1" spans="1:12" ht="14.85" customHeight="1"/>
    <row r="2" spans="1:12" ht="15"/>
    <row r="3" spans="1:12" ht="15"/>
    <row r="4" spans="1:12" ht="15"/>
    <row r="5" spans="1:12" ht="18" customHeight="1">
      <c r="A5"/>
      <c r="B5" s="269" t="str">
        <f>IF(Indice_index!$Z$1=1,"ANEXOS ESTATÍSTICOS","STATISTICAL ANNEXES")</f>
        <v>ANEXOS ESTATÍSTICOS</v>
      </c>
      <c r="C5"/>
      <c r="D5"/>
      <c r="E5"/>
      <c r="F5"/>
      <c r="G5"/>
      <c r="H5"/>
      <c r="I5"/>
      <c r="J5"/>
      <c r="K5"/>
      <c r="L5"/>
    </row>
    <row r="6" spans="1:12" ht="18" customHeight="1">
      <c r="A6"/>
      <c r="B6" s="270" t="str">
        <f>IF(Indice_index!$Z$1=1,"Setembro de 2025","September 2025")</f>
        <v>Setembro de 2025</v>
      </c>
      <c r="C6"/>
      <c r="D6"/>
      <c r="E6"/>
      <c r="F6"/>
      <c r="G6"/>
      <c r="H6"/>
      <c r="I6"/>
      <c r="J6"/>
      <c r="K6"/>
      <c r="L6"/>
    </row>
    <row r="7" spans="1:12" ht="47.25" customHeight="1">
      <c r="B7" s="12"/>
      <c r="C7" s="13"/>
      <c r="D7" s="11"/>
      <c r="E7" s="11"/>
      <c r="F7" s="11"/>
      <c r="G7" s="11"/>
      <c r="H7" s="11"/>
      <c r="I7" s="11"/>
    </row>
    <row r="8" spans="1:12" ht="37.5" customHeight="1">
      <c r="B8" s="401"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401"/>
      <c r="D8" s="401"/>
      <c r="E8" s="401"/>
      <c r="F8" s="401"/>
      <c r="G8" s="401"/>
      <c r="H8" s="401"/>
      <c r="I8" s="401"/>
    </row>
    <row r="9" spans="1:12" ht="15">
      <c r="B9" s="3" t="str">
        <f>+'3 - Conta AC + SS'!B9</f>
        <v>Período: janeiro a setembro</v>
      </c>
      <c r="C9" s="3"/>
      <c r="D9" s="3"/>
      <c r="E9" s="3"/>
      <c r="F9" s="3"/>
      <c r="G9" s="3"/>
      <c r="H9" s="3"/>
      <c r="I9" s="3" t="str">
        <f>IF(Indice_index!$Z$1=1,"€ Milhões","€ Millions")</f>
        <v>€ Milhões</v>
      </c>
    </row>
    <row r="10" spans="1:12"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22" t="str">
        <f>IF(Indice_index!$Z$1=1,"Grau de Execução (%)","Execution Rate (%)")</f>
        <v>Grau de Execução (%)</v>
      </c>
      <c r="H10" s="391" t="str">
        <f>IF(Indice_index!$Z$1=1,"Variação Homóloga Acumulada","YOY Change Rate")</f>
        <v>Variação Homóloga Acumulada</v>
      </c>
      <c r="I10" s="388"/>
    </row>
    <row r="11" spans="1:12" ht="26.85" customHeight="1">
      <c r="B11" s="389"/>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2" ht="14.1" customHeight="1">
      <c r="B12" s="174" t="str">
        <f>IF(Indice_index!$Z$1=1,"Receita corrente","Current revenue")</f>
        <v>Receita corrente</v>
      </c>
      <c r="C12" s="134">
        <f>SUM(C13:C24)-C13-C18</f>
        <v>41547.588935630018</v>
      </c>
      <c r="D12" s="134">
        <f>SUM(D13:D24)-D13-D18</f>
        <v>45875.084304000011</v>
      </c>
      <c r="E12" s="134">
        <f>SUM(E13:E24)-E13-E18</f>
        <v>29958.895564599992</v>
      </c>
      <c r="F12" s="134">
        <f>SUM(F13:F24)-F13-F18</f>
        <v>30788.241824709992</v>
      </c>
      <c r="G12" s="134">
        <f>IFERROR(IF(F12/D12*100&lt;-500,"-",IF(F12/D12*100&gt;500,"-",F12/D12*100)),"-")</f>
        <v>67.113210344608476</v>
      </c>
      <c r="H12" s="134">
        <f>IF(IFERROR((F12-E12)/E12*100,"")&gt;500,"-",IFERROR((F12-E12)/E12*100,""))</f>
        <v>2.7682804872485738</v>
      </c>
      <c r="I12" s="134">
        <f t="shared" ref="I12:I23" si="0">IFERROR((F12-E12)/$E$34*100,"-")</f>
        <v>2.5261145593045535</v>
      </c>
    </row>
    <row r="13" spans="1:12" ht="14.1" customHeight="1">
      <c r="B13" s="125" t="str">
        <f>IF(Indice_index!$Z$1=1,"Receita fiscal","Tax")</f>
        <v>Receita fiscal</v>
      </c>
      <c r="C13" s="4">
        <f>C14+C15</f>
        <v>748.39725371999998</v>
      </c>
      <c r="D13" s="4">
        <f>D14+D15</f>
        <v>770.89572699999997</v>
      </c>
      <c r="E13" s="4">
        <f>E14+E15</f>
        <v>584.33786442999997</v>
      </c>
      <c r="F13" s="4">
        <f>F14+F15</f>
        <v>577.08050389999994</v>
      </c>
      <c r="G13" s="4">
        <f>IFERROR(IF(F13/D13*100&lt;-500,"-",IF(F13/D13*100&gt;500,"-",F13/D13*100)),"-")</f>
        <v>74.858438526537583</v>
      </c>
      <c r="H13" s="4">
        <f t="shared" ref="H13:H31" si="1">IF(IFERROR((F13-E13)/E13*100,"")&gt;500,"-",IFERROR((F13-E13)/E13*100,""))</f>
        <v>-1.2419801919013609</v>
      </c>
      <c r="I13" s="4">
        <f t="shared" si="0"/>
        <v>-2.2105271318789935E-2</v>
      </c>
    </row>
    <row r="14" spans="1:12" ht="13.5" customHeight="1">
      <c r="B14" s="172" t="str">
        <f>IF(Indice_index!$Z$1=1,"Impostos diretos","Direct taxes")</f>
        <v>Impostos diretos</v>
      </c>
      <c r="C14" s="4">
        <v>0</v>
      </c>
      <c r="D14" s="4">
        <v>0</v>
      </c>
      <c r="E14" s="4">
        <v>0</v>
      </c>
      <c r="F14" s="4">
        <v>0</v>
      </c>
      <c r="G14" s="4" t="str">
        <f t="shared" ref="G14:G23" si="2">IFERROR(IF(F14/D14*100&lt;-500,"-",IF(F14/D14*100&gt;500,"-",F14/D14*100)),"-")</f>
        <v>-</v>
      </c>
      <c r="H14" s="4" t="str">
        <f t="shared" si="1"/>
        <v>-</v>
      </c>
      <c r="I14" s="4">
        <f t="shared" si="0"/>
        <v>0</v>
      </c>
    </row>
    <row r="15" spans="1:12" ht="14.1" customHeight="1">
      <c r="B15" s="172" t="str">
        <f>IF(Indice_index!$Z$1=1,"Impostos indiretos","Indirect taxes")</f>
        <v>Impostos indiretos</v>
      </c>
      <c r="C15" s="4">
        <v>748.39725371999998</v>
      </c>
      <c r="D15" s="4">
        <v>770.89572699999997</v>
      </c>
      <c r="E15" s="4">
        <v>584.33786442999997</v>
      </c>
      <c r="F15" s="4">
        <v>577.08050389999994</v>
      </c>
      <c r="G15" s="4">
        <f t="shared" si="2"/>
        <v>74.858438526537583</v>
      </c>
      <c r="H15" s="4">
        <f t="shared" si="1"/>
        <v>-1.2419801919013609</v>
      </c>
      <c r="I15" s="4">
        <f t="shared" si="0"/>
        <v>-2.2105271318789935E-2</v>
      </c>
    </row>
    <row r="16" spans="1:12" ht="14.1" customHeight="1">
      <c r="B16" s="125" t="str">
        <f>IF(Indice_index!$Z$1=1,"Contribuições para Segurança Social, CGA e ADSE","Social security, CGA and ADSE contributions")</f>
        <v>Contribuições para Segurança Social, CGA e ADSE</v>
      </c>
      <c r="C16" s="4">
        <v>4405.6003662799994</v>
      </c>
      <c r="D16" s="4">
        <v>4371.3706160000002</v>
      </c>
      <c r="E16" s="4">
        <v>3117.9758469500002</v>
      </c>
      <c r="F16" s="4">
        <v>3229.4034959699998</v>
      </c>
      <c r="G16" s="4">
        <f t="shared" si="2"/>
        <v>73.876222806407768</v>
      </c>
      <c r="H16" s="4">
        <f t="shared" si="1"/>
        <v>3.5737175170551083</v>
      </c>
      <c r="I16" s="4">
        <f t="shared" si="0"/>
        <v>0.33939865655289109</v>
      </c>
    </row>
    <row r="17" spans="2:9" ht="14.1" customHeight="1">
      <c r="B17" s="125" t="str">
        <f>IF(Indice_index!$Z$1=1,"Taxas, multas e outras penalidades","Taxes, fines and other penalties")</f>
        <v>Taxas, multas e outras penalidades</v>
      </c>
      <c r="C17" s="4">
        <v>2633.6982574799995</v>
      </c>
      <c r="D17" s="4">
        <v>2634.0015749999998</v>
      </c>
      <c r="E17" s="4">
        <v>1866.03849825</v>
      </c>
      <c r="F17" s="4">
        <v>1912.9159990999997</v>
      </c>
      <c r="G17" s="4">
        <f t="shared" si="2"/>
        <v>72.623950465936986</v>
      </c>
      <c r="H17" s="4">
        <f t="shared" si="1"/>
        <v>2.5121400707414212</v>
      </c>
      <c r="I17" s="4">
        <f t="shared" si="0"/>
        <v>0.14278467643332654</v>
      </c>
    </row>
    <row r="18" spans="2:9" ht="14.1" customHeight="1">
      <c r="B18" s="125" t="str">
        <f>IF(Indice_index!$Z$1=1,"Transferências correntes","Current transfers")</f>
        <v>Transferências correntes</v>
      </c>
      <c r="C18" s="4">
        <f>SUM(C19:C22)</f>
        <v>29440.622677580006</v>
      </c>
      <c r="D18" s="4">
        <f>SUM(D19:D22)</f>
        <v>32265.040851999998</v>
      </c>
      <c r="E18" s="4">
        <f>SUM(E19:E22)</f>
        <v>21367.067172769999</v>
      </c>
      <c r="F18" s="4">
        <f>SUM(F19:F22)</f>
        <v>22155.830396789999</v>
      </c>
      <c r="G18" s="4">
        <f t="shared" si="2"/>
        <v>68.668223599712675</v>
      </c>
      <c r="H18" s="4">
        <f t="shared" si="1"/>
        <v>3.6914903558930767</v>
      </c>
      <c r="I18" s="4">
        <f t="shared" si="0"/>
        <v>2.4025022597637875</v>
      </c>
    </row>
    <row r="19" spans="2:9" ht="14.1" customHeight="1">
      <c r="B19" s="172" t="str">
        <f>IF(Indice_index!$Z$1=1,"Administração Central","Central Administration")</f>
        <v>Administração Central</v>
      </c>
      <c r="C19" s="4">
        <v>26039.379240520004</v>
      </c>
      <c r="D19" s="4">
        <v>27056.390232999998</v>
      </c>
      <c r="E19" s="4">
        <v>18921.313993549997</v>
      </c>
      <c r="F19" s="4">
        <v>19718.139907029996</v>
      </c>
      <c r="G19" s="4">
        <f t="shared" si="2"/>
        <v>72.877940247107603</v>
      </c>
      <c r="H19" s="4">
        <f t="shared" si="1"/>
        <v>4.2112609819361682</v>
      </c>
      <c r="I19" s="4">
        <f t="shared" si="0"/>
        <v>2.4270604910016709</v>
      </c>
    </row>
    <row r="20" spans="2:9" ht="14.1" customHeight="1">
      <c r="B20" s="172" t="str">
        <f>IF(Indice_index!$Z$1=1,"Outros subsetores das Administrações Públicas","Other General Government subsectors")</f>
        <v>Outros subsetores das Administrações Públicas</v>
      </c>
      <c r="C20" s="4">
        <v>1927.2197637400022</v>
      </c>
      <c r="D20" s="4">
        <v>1972.4721519999985</v>
      </c>
      <c r="E20" s="4">
        <v>1425.6900363200002</v>
      </c>
      <c r="F20" s="4">
        <v>1443.506008190001</v>
      </c>
      <c r="G20" s="4">
        <f t="shared" si="2"/>
        <v>73.182579877051779</v>
      </c>
      <c r="H20" s="4">
        <f t="shared" si="1"/>
        <v>1.2496385200241342</v>
      </c>
      <c r="I20" s="4">
        <f t="shared" si="0"/>
        <v>5.426585745138602E-2</v>
      </c>
    </row>
    <row r="21" spans="2:9" ht="14.1" customHeight="1">
      <c r="B21" s="172" t="str">
        <f>IF(Indice_index!$Z$1=1,"União Europeia","European Union")</f>
        <v>União Europeia</v>
      </c>
      <c r="C21" s="4">
        <v>1372.7859651000001</v>
      </c>
      <c r="D21" s="4">
        <v>3094.2810920000002</v>
      </c>
      <c r="E21" s="4">
        <v>951.1772414899998</v>
      </c>
      <c r="F21" s="4">
        <v>888.69325054101716</v>
      </c>
      <c r="G21" s="4">
        <f t="shared" si="2"/>
        <v>28.720508063687483</v>
      </c>
      <c r="H21" s="4">
        <f t="shared" si="1"/>
        <v>-6.5691217391937107</v>
      </c>
      <c r="I21" s="4">
        <f t="shared" si="0"/>
        <v>-0.19032064995234163</v>
      </c>
    </row>
    <row r="22" spans="2:9" ht="14.1" customHeight="1">
      <c r="B22" s="172" t="str">
        <f>IF(Indice_index!$Z$1=1,"Outras transferências","Other transfers")</f>
        <v>Outras transferências</v>
      </c>
      <c r="C22" s="4">
        <v>101.23770822000006</v>
      </c>
      <c r="D22" s="4">
        <v>141.89737500000001</v>
      </c>
      <c r="E22" s="4">
        <v>68.885901409999974</v>
      </c>
      <c r="F22" s="4">
        <v>105.49123102898272</v>
      </c>
      <c r="G22" s="4">
        <f t="shared" si="2"/>
        <v>74.343328077057606</v>
      </c>
      <c r="H22" s="4">
        <f t="shared" si="1"/>
        <v>53.139073264226546</v>
      </c>
      <c r="I22" s="4">
        <f t="shared" si="0"/>
        <v>0.11149656126307232</v>
      </c>
    </row>
    <row r="23" spans="2:9" ht="14.1" customHeight="1">
      <c r="B23" s="125" t="str">
        <f>IF(Indice_index!$Z$1=1,"Outras receitas correntes","Other current revenue")</f>
        <v>Outras receitas correntes</v>
      </c>
      <c r="C23" s="4">
        <v>4279.2629859499984</v>
      </c>
      <c r="D23" s="4">
        <v>5792.971545999997</v>
      </c>
      <c r="E23" s="4">
        <v>2982.943543870002</v>
      </c>
      <c r="F23" s="4">
        <v>2885.2375804499925</v>
      </c>
      <c r="G23" s="4">
        <f t="shared" si="2"/>
        <v>49.805830350439528</v>
      </c>
      <c r="H23" s="4">
        <f t="shared" si="1"/>
        <v>-3.2754881875252684</v>
      </c>
      <c r="I23" s="4">
        <f t="shared" si="0"/>
        <v>-0.29760362902393483</v>
      </c>
    </row>
    <row r="24" spans="2:9" ht="14.1" customHeight="1">
      <c r="B24" s="125" t="str">
        <f>IF(Indice_index!$Z$1=1,"Diferenças de consolidação","Consolidation differences")</f>
        <v>Diferenças de consolidação</v>
      </c>
      <c r="C24" s="4">
        <v>40.007394620004682</v>
      </c>
      <c r="D24" s="4">
        <v>40.803987999999904</v>
      </c>
      <c r="E24" s="4">
        <v>40.532638330000218</v>
      </c>
      <c r="F24" s="4">
        <v>27.773848500009947</v>
      </c>
      <c r="G24" s="4"/>
      <c r="H24" s="4"/>
      <c r="I24" s="4"/>
    </row>
    <row r="25" spans="2:9" ht="14.1" customHeight="1">
      <c r="B25" s="174" t="str">
        <f>IF(Indice_index!$Z$1=1,"Receita de capital","Capital revenue")</f>
        <v>Receita de capital</v>
      </c>
      <c r="C25" s="134">
        <f>SUM(C26:C33)-C27</f>
        <v>4683.992871270003</v>
      </c>
      <c r="D25" s="134">
        <f>SUM(D26:D33)-D27</f>
        <v>8142.8870349999988</v>
      </c>
      <c r="E25" s="134">
        <f>SUM(E26:E33)-E27</f>
        <v>2872.00899811</v>
      </c>
      <c r="F25" s="134">
        <f>SUM(F26:F33)-F27</f>
        <v>3191.0014650099997</v>
      </c>
      <c r="G25" s="134">
        <f t="shared" ref="G25:G32" si="3">IFERROR(IF(F25/D25*100&lt;-500,"-",IF(F25/D25*100&gt;500,"-",F25/D25*100)),"-")</f>
        <v>39.187593433316003</v>
      </c>
      <c r="H25" s="134">
        <f t="shared" si="1"/>
        <v>11.106945246686935</v>
      </c>
      <c r="I25" s="134">
        <f t="shared" ref="I25:I32" si="4">IFERROR((F25-E25)/$E$34*100,"-")</f>
        <v>0.97162253416044431</v>
      </c>
    </row>
    <row r="26" spans="2:9" ht="14.1" customHeight="1">
      <c r="B26" s="125" t="str">
        <f>IF(Indice_index!$Z$1=1,"Venda de bens de investimento","Sale of investment goods")</f>
        <v>Venda de bens de investimento</v>
      </c>
      <c r="C26" s="4">
        <v>86.830863140000019</v>
      </c>
      <c r="D26" s="4">
        <v>509.14641</v>
      </c>
      <c r="E26" s="4">
        <v>56.991796039999997</v>
      </c>
      <c r="F26" s="4">
        <v>30.612305429999996</v>
      </c>
      <c r="G26" s="4">
        <f t="shared" si="3"/>
        <v>6.0124759457697037</v>
      </c>
      <c r="H26" s="4">
        <f t="shared" si="1"/>
        <v>-46.286470058752691</v>
      </c>
      <c r="I26" s="4">
        <f t="shared" si="4"/>
        <v>-8.0349569898730003E-2</v>
      </c>
    </row>
    <row r="27" spans="2:9" ht="14.1" customHeight="1">
      <c r="B27" s="125" t="str">
        <f>IF(Indice_index!$Z$1=1,"Transferências de capital","Capital transfers")</f>
        <v>Transferências de capital</v>
      </c>
      <c r="C27" s="4">
        <f>SUM(C28:C31)</f>
        <v>4577.7962886000014</v>
      </c>
      <c r="D27" s="4">
        <f>SUM(D28:D31)</f>
        <v>7586.6365240000005</v>
      </c>
      <c r="E27" s="4">
        <f>SUM(E28:E31)</f>
        <v>2797.79735523</v>
      </c>
      <c r="F27" s="4">
        <f>SUM(F28:F31)</f>
        <v>3041.4054003899996</v>
      </c>
      <c r="G27" s="4">
        <f t="shared" si="3"/>
        <v>40.088982657448312</v>
      </c>
      <c r="H27" s="4">
        <f t="shared" si="1"/>
        <v>8.7071368733913612</v>
      </c>
      <c r="I27" s="4">
        <f t="shared" si="4"/>
        <v>0.74200832540171491</v>
      </c>
    </row>
    <row r="28" spans="2:9" ht="14.1" customHeight="1">
      <c r="B28" s="172" t="str">
        <f>IF(Indice_index!$Z$1=1,"Administração Central","Central Administration")</f>
        <v>Administração Central</v>
      </c>
      <c r="C28" s="4">
        <v>2491.0919608600007</v>
      </c>
      <c r="D28" s="4">
        <v>3072.6969130000002</v>
      </c>
      <c r="E28" s="4">
        <v>1269.2703575</v>
      </c>
      <c r="F28" s="4">
        <v>1520.4204948700001</v>
      </c>
      <c r="G28" s="4">
        <f t="shared" si="3"/>
        <v>49.481629263120233</v>
      </c>
      <c r="H28" s="4">
        <f t="shared" si="1"/>
        <v>19.786969410100639</v>
      </c>
      <c r="I28" s="4">
        <f t="shared" si="4"/>
        <v>0.76498086396090792</v>
      </c>
    </row>
    <row r="29" spans="2:9" ht="14.1" customHeight="1">
      <c r="B29" s="172" t="str">
        <f>IF(Indice_index!$Z$1=1,"Outros subsetores das Administrações Públicas","Other General Government subsectors")</f>
        <v>Outros subsetores das Administrações Públicas</v>
      </c>
      <c r="C29" s="4">
        <v>5.0007721000001766</v>
      </c>
      <c r="D29" s="4">
        <v>18.829494000000068</v>
      </c>
      <c r="E29" s="4">
        <v>4.2553472600002351</v>
      </c>
      <c r="F29" s="4">
        <v>4.3474012299998321</v>
      </c>
      <c r="G29" s="4">
        <f t="shared" si="3"/>
        <v>23.088253088478194</v>
      </c>
      <c r="H29" s="4">
        <f t="shared" si="1"/>
        <v>2.1632540043181328</v>
      </c>
      <c r="I29" s="4">
        <f t="shared" si="4"/>
        <v>2.8038816239060862E-4</v>
      </c>
    </row>
    <row r="30" spans="2:9" ht="14.1" customHeight="1">
      <c r="B30" s="172" t="str">
        <f>IF(Indice_index!$Z$1=1,"União Europeia","European Union")</f>
        <v>União Europeia</v>
      </c>
      <c r="C30" s="4">
        <v>1919.0081530900009</v>
      </c>
      <c r="D30" s="4">
        <v>4423.3964939999996</v>
      </c>
      <c r="E30" s="4">
        <v>1468.90834374</v>
      </c>
      <c r="F30" s="4">
        <v>1448.0211355599999</v>
      </c>
      <c r="G30" s="4">
        <f t="shared" si="3"/>
        <v>32.735503984870682</v>
      </c>
      <c r="H30" s="4">
        <f t="shared" si="1"/>
        <v>-1.4219544921924072</v>
      </c>
      <c r="I30" s="4">
        <f t="shared" si="4"/>
        <v>-6.3620568662991178E-2</v>
      </c>
    </row>
    <row r="31" spans="2:9" ht="14.1" customHeight="1">
      <c r="B31" s="172" t="str">
        <f>IF(Indice_index!$Z$1=1,"Outras transferências","Other transfers")</f>
        <v>Outras transferências</v>
      </c>
      <c r="C31" s="4">
        <v>162.69540255000015</v>
      </c>
      <c r="D31" s="4">
        <v>71.713623000000553</v>
      </c>
      <c r="E31" s="4">
        <v>55.363306729999977</v>
      </c>
      <c r="F31" s="4">
        <v>68.616368729999976</v>
      </c>
      <c r="G31" s="4">
        <f t="shared" si="3"/>
        <v>95.68107963252595</v>
      </c>
      <c r="H31" s="4">
        <f t="shared" si="1"/>
        <v>23.938349753264468</v>
      </c>
      <c r="I31" s="4">
        <f t="shared" si="4"/>
        <v>4.0367641941407538E-2</v>
      </c>
    </row>
    <row r="32" spans="2:9" ht="14.1" customHeight="1">
      <c r="B32" s="125" t="str">
        <f>IF(Indice_index!$Z$1=1,"Outras receitas de capital","Other capital revenue")</f>
        <v>Outras receitas de capital</v>
      </c>
      <c r="C32" s="4">
        <v>19.36571953</v>
      </c>
      <c r="D32" s="4">
        <v>7.7168200000000002</v>
      </c>
      <c r="E32" s="4">
        <v>17.219846839999995</v>
      </c>
      <c r="F32" s="4">
        <v>118.98375919000001</v>
      </c>
      <c r="G32" s="4" t="str">
        <f t="shared" si="3"/>
        <v>-</v>
      </c>
      <c r="H32" s="4" t="str">
        <f>IF(IFERROR((F32-E32)/E32*100,"")&gt;500,"-",IFERROR((F32-E32)/E32*100,""))</f>
        <v>-</v>
      </c>
      <c r="I32" s="4">
        <f t="shared" si="4"/>
        <v>0.30996377865745905</v>
      </c>
    </row>
    <row r="33" spans="2:9" ht="13.5" customHeight="1">
      <c r="B33" s="125" t="str">
        <f>IF(Indice_index!$Z$1=1,"Diferenças de consolidação","Consolidation differences")</f>
        <v>Diferenças de consolidação</v>
      </c>
      <c r="C33" s="4">
        <v>0</v>
      </c>
      <c r="D33" s="4">
        <v>39.38728100000003</v>
      </c>
      <c r="E33" s="4">
        <v>0</v>
      </c>
      <c r="F33" s="4">
        <v>0</v>
      </c>
      <c r="G33" s="4"/>
      <c r="H33" s="4"/>
      <c r="I33" s="4"/>
    </row>
    <row r="34" spans="2:9" ht="14.1" customHeight="1">
      <c r="B34" s="30" t="str">
        <f>IF(Indice_index!$Z$1=1,"Receita efetiva","Effective revenue")</f>
        <v>Receita efetiva</v>
      </c>
      <c r="C34" s="18">
        <f>C12+C25</f>
        <v>46231.581806900023</v>
      </c>
      <c r="D34" s="18">
        <f>D12+D25</f>
        <v>54017.971339000011</v>
      </c>
      <c r="E34" s="18">
        <f>E12+E25</f>
        <v>32830.904562709991</v>
      </c>
      <c r="F34" s="18">
        <f>F12+F25</f>
        <v>33979.243289719991</v>
      </c>
      <c r="G34" s="18">
        <f>IFERROR(IF(F34/D34*100&lt;-500,"-",IF(F34/D34*100&gt;500,"-",F34/D34*100)),"-")</f>
        <v>62.903590133877508</v>
      </c>
      <c r="H34" s="18">
        <f>IFERROR(IF(E34=0,"-",(F34-E34)/E34*100),"-")</f>
        <v>3.4977370934649961</v>
      </c>
      <c r="I34" s="18"/>
    </row>
    <row r="35" spans="2:9" ht="14.1" customHeight="1">
      <c r="B35" s="174" t="str">
        <f>IF(Indice_index!$Z$1=1,"Despesa corrente","Current Expenditure")</f>
        <v>Despesa corrente</v>
      </c>
      <c r="C35" s="134">
        <f>SUM(C36:C49)-C36-C42</f>
        <v>41009.257416070002</v>
      </c>
      <c r="D35" s="134">
        <f>SUM(D36:D49)-D36-D42</f>
        <v>44474.669685999994</v>
      </c>
      <c r="E35" s="134">
        <f>SUM(E36:E49)-E36-E42</f>
        <v>27448.049710659998</v>
      </c>
      <c r="F35" s="134">
        <f>SUM(F36:F49)-F36-F42</f>
        <v>28567.789168970015</v>
      </c>
      <c r="G35" s="134">
        <f t="shared" ref="G35:G48" si="5">IFERROR(IF(F35/D35*100&lt;-500,"-",IF(F35/D35*100&gt;500,"-",F35/D35*100)),"-")</f>
        <v>64.233842253723935</v>
      </c>
      <c r="H35" s="134">
        <f t="shared" ref="H35:H57" si="6">IF(IFERROR((F35-E35)/E35*100,"")&gt;500,"-",IFERROR((F35-E35)/E35*100,""))</f>
        <v>4.0794864120168963</v>
      </c>
      <c r="I35" s="134">
        <f t="shared" ref="I35:I48" si="7">IFERROR((F35-E35)/$E$59*100,"-")</f>
        <v>3.6181703890900896</v>
      </c>
    </row>
    <row r="36" spans="2:9" ht="14.1" customHeight="1">
      <c r="B36" s="125" t="str">
        <f>IF(Indice_index!$Z$1=1,"Despesas com pessoal","Employees")</f>
        <v>Despesas com pessoal</v>
      </c>
      <c r="C36" s="4">
        <f>SUM(C37:C39)</f>
        <v>10614.955925639999</v>
      </c>
      <c r="D36" s="4">
        <f>SUM(D37:D39)</f>
        <v>11518.50438</v>
      </c>
      <c r="E36" s="4">
        <f>SUM(E37:E39)</f>
        <v>7559.659322890001</v>
      </c>
      <c r="F36" s="4">
        <f>SUM(F37:F39)</f>
        <v>8348.4500309800005</v>
      </c>
      <c r="G36" s="4">
        <f t="shared" si="5"/>
        <v>72.478594056670403</v>
      </c>
      <c r="H36" s="4">
        <f t="shared" si="6"/>
        <v>10.434209722938292</v>
      </c>
      <c r="I36" s="4">
        <f t="shared" si="7"/>
        <v>2.5487886150837706</v>
      </c>
    </row>
    <row r="37" spans="2:9" ht="14.1" customHeight="1">
      <c r="B37" s="172" t="str">
        <f>IF(Indice_index!$Z$1=1,"Remunerações certas e permanentes","Certain and permanent wages")</f>
        <v>Remunerações certas e permanentes</v>
      </c>
      <c r="C37" s="4">
        <v>7381.8549356099975</v>
      </c>
      <c r="D37" s="4">
        <v>8077.174309</v>
      </c>
      <c r="E37" s="4">
        <v>5265.5516774300004</v>
      </c>
      <c r="F37" s="4">
        <v>5805.72651735</v>
      </c>
      <c r="G37" s="4">
        <f t="shared" si="5"/>
        <v>71.878187782588313</v>
      </c>
      <c r="H37" s="4">
        <f t="shared" si="6"/>
        <v>10.258656129715302</v>
      </c>
      <c r="I37" s="4">
        <f t="shared" si="7"/>
        <v>1.7454458679877147</v>
      </c>
    </row>
    <row r="38" spans="2:9" ht="14.1" customHeight="1">
      <c r="B38" s="172" t="str">
        <f>IF(Indice_index!$Z$1=1,"Abonos variáveis ou eventuais","Variable or contingent bonuses")</f>
        <v>Abonos variáveis ou eventuais</v>
      </c>
      <c r="C38" s="4">
        <v>1223.8869367899999</v>
      </c>
      <c r="D38" s="4">
        <v>1255.8693450000001</v>
      </c>
      <c r="E38" s="4">
        <v>892.05609520999985</v>
      </c>
      <c r="F38" s="4">
        <v>987.33509790000005</v>
      </c>
      <c r="G38" s="4">
        <f t="shared" si="5"/>
        <v>78.617660493974398</v>
      </c>
      <c r="H38" s="4">
        <f t="shared" si="6"/>
        <v>10.68083085823997</v>
      </c>
      <c r="I38" s="4">
        <f t="shared" si="7"/>
        <v>0.30787132102613479</v>
      </c>
    </row>
    <row r="39" spans="2:9" ht="14.1" customHeight="1">
      <c r="B39" s="172" t="str">
        <f>IF(Indice_index!$Z$1=1,"Segurança Social","Social security")</f>
        <v>Segurança Social</v>
      </c>
      <c r="C39" s="4">
        <v>2009.2140532400008</v>
      </c>
      <c r="D39" s="4">
        <v>2185.4607259999998</v>
      </c>
      <c r="E39" s="4">
        <v>1402.0515502500009</v>
      </c>
      <c r="F39" s="4">
        <v>1555.3884157300008</v>
      </c>
      <c r="G39" s="4">
        <f t="shared" si="5"/>
        <v>71.169817751737568</v>
      </c>
      <c r="H39" s="4">
        <f t="shared" si="6"/>
        <v>10.936606821101428</v>
      </c>
      <c r="I39" s="4">
        <f t="shared" si="7"/>
        <v>0.49547142606992173</v>
      </c>
    </row>
    <row r="40" spans="2:9" ht="14.1" customHeight="1">
      <c r="B40" s="125" t="str">
        <f>IF(Indice_index!$Z$1=1,"Aquisição de bens e serviços","Purchase of goods and services")</f>
        <v>Aquisição de bens e serviços</v>
      </c>
      <c r="C40" s="4">
        <v>11885.123646250002</v>
      </c>
      <c r="D40" s="4">
        <v>12993.992391</v>
      </c>
      <c r="E40" s="4">
        <v>7512.6315743500018</v>
      </c>
      <c r="F40" s="4">
        <v>7730.125713150006</v>
      </c>
      <c r="G40" s="4">
        <f t="shared" si="5"/>
        <v>59.489997227519588</v>
      </c>
      <c r="H40" s="4">
        <f t="shared" si="6"/>
        <v>2.8950459855183572</v>
      </c>
      <c r="I40" s="4">
        <f t="shared" si="7"/>
        <v>0.70278031819519149</v>
      </c>
    </row>
    <row r="41" spans="2:9" ht="14.1" customHeight="1">
      <c r="B41" s="125" t="str">
        <f>IF(Indice_index!$Z$1=1,"Juros e outros encargos","Interests")</f>
        <v>Juros e outros encargos</v>
      </c>
      <c r="C41" s="4">
        <v>294.29877177999998</v>
      </c>
      <c r="D41" s="4">
        <v>223.78935800000002</v>
      </c>
      <c r="E41" s="4">
        <v>167.21858562</v>
      </c>
      <c r="F41" s="4">
        <v>105.84841913</v>
      </c>
      <c r="G41" s="4">
        <f t="shared" si="5"/>
        <v>47.29823619673639</v>
      </c>
      <c r="H41" s="4">
        <f t="shared" si="6"/>
        <v>-36.700565467921223</v>
      </c>
      <c r="I41" s="4">
        <f t="shared" si="7"/>
        <v>-0.19830302265383729</v>
      </c>
    </row>
    <row r="42" spans="2:9" ht="14.1" customHeight="1">
      <c r="B42" s="125" t="str">
        <f>IF(Indice_index!$Z$1=1,"Transferências correntes","Current transfers")</f>
        <v>Transferências correntes</v>
      </c>
      <c r="C42" s="4">
        <f>SUM(C43:C46)</f>
        <v>16865.354570039999</v>
      </c>
      <c r="D42" s="312">
        <v>17651.017356</v>
      </c>
      <c r="E42" s="4">
        <f>SUM(E43:E46)</f>
        <v>11352.450873319995</v>
      </c>
      <c r="F42" s="4">
        <f>SUM(F43:F46)</f>
        <v>11663.672421799998</v>
      </c>
      <c r="G42" s="4">
        <f t="shared" si="5"/>
        <v>66.079321019052983</v>
      </c>
      <c r="H42" s="4">
        <f t="shared" si="6"/>
        <v>2.7414480974449495</v>
      </c>
      <c r="I42" s="4">
        <f t="shared" si="7"/>
        <v>1.0056380373132741</v>
      </c>
    </row>
    <row r="43" spans="2:9" ht="14.1" customHeight="1">
      <c r="B43" s="172" t="str">
        <f>IF(Indice_index!$Z$1=1,"Administração Central","Central Administration")</f>
        <v>Administração Central</v>
      </c>
      <c r="C43" s="4">
        <v>668.88442459999999</v>
      </c>
      <c r="D43" s="4">
        <v>564.79004799999996</v>
      </c>
      <c r="E43" s="4">
        <v>388.86311601000006</v>
      </c>
      <c r="F43" s="4">
        <v>405.28864174</v>
      </c>
      <c r="G43" s="4">
        <f t="shared" si="5"/>
        <v>71.759168415800417</v>
      </c>
      <c r="H43" s="4">
        <f t="shared" si="6"/>
        <v>4.2239865530413399</v>
      </c>
      <c r="I43" s="4">
        <f t="shared" si="7"/>
        <v>5.3075159922665649E-2</v>
      </c>
    </row>
    <row r="44" spans="2:9" ht="14.1" customHeight="1">
      <c r="B44" s="172" t="str">
        <f>IF(Indice_index!$Z$1=1,"Outros subsetores das Administrações Públicas","Other General Government subsectors")</f>
        <v>Outros subsetores das Administrações Públicas</v>
      </c>
      <c r="C44" s="4">
        <v>1316.5443960799998</v>
      </c>
      <c r="D44" s="4">
        <v>1312.7454160000002</v>
      </c>
      <c r="E44" s="4">
        <v>812.67145443000004</v>
      </c>
      <c r="F44" s="4">
        <v>838.43783974999997</v>
      </c>
      <c r="G44" s="4">
        <f t="shared" si="5"/>
        <v>63.869035803207083</v>
      </c>
      <c r="H44" s="4">
        <f t="shared" si="6"/>
        <v>3.1705783658996887</v>
      </c>
      <c r="I44" s="4">
        <f t="shared" si="7"/>
        <v>8.3257914782617126E-2</v>
      </c>
    </row>
    <row r="45" spans="2:9" ht="14.1" customHeight="1">
      <c r="B45" s="172" t="str">
        <f>IF(Indice_index!$Z$1=1,"União Europeia","European Union")</f>
        <v>União Europeia</v>
      </c>
      <c r="C45" s="4">
        <v>48.890873840000005</v>
      </c>
      <c r="D45" s="4">
        <v>29.703375000000001</v>
      </c>
      <c r="E45" s="4">
        <v>27.174440449999999</v>
      </c>
      <c r="F45" s="4">
        <v>34.200714839999996</v>
      </c>
      <c r="G45" s="4">
        <f t="shared" si="5"/>
        <v>115.14083783408449</v>
      </c>
      <c r="H45" s="4">
        <f t="shared" si="6"/>
        <v>25.856187923825303</v>
      </c>
      <c r="I45" s="4">
        <f t="shared" si="7"/>
        <v>2.2703726080966123E-2</v>
      </c>
    </row>
    <row r="46" spans="2:9" ht="14.1" customHeight="1">
      <c r="B46" s="172" t="str">
        <f>IF(Indice_index!$Z$1=1,"Outras transferências","Other transfers")</f>
        <v>Outras transferências</v>
      </c>
      <c r="C46" s="4">
        <v>14831.034875519999</v>
      </c>
      <c r="D46" s="4">
        <v>15743.778517000001</v>
      </c>
      <c r="E46" s="4">
        <v>10123.741862429995</v>
      </c>
      <c r="F46" s="4">
        <v>10385.745225469998</v>
      </c>
      <c r="G46" s="4">
        <f t="shared" si="5"/>
        <v>65.967297585236977</v>
      </c>
      <c r="H46" s="4">
        <f t="shared" si="6"/>
        <v>2.5880091235071707</v>
      </c>
      <c r="I46" s="4">
        <f t="shared" si="7"/>
        <v>0.8466012365270229</v>
      </c>
    </row>
    <row r="47" spans="2:9" ht="14.1" customHeight="1">
      <c r="B47" s="125" t="str">
        <f>IF(Indice_index!$Z$1=1,"Subsídios","Subsidies")</f>
        <v>Subsídios</v>
      </c>
      <c r="C47" s="4">
        <v>747.01723293000009</v>
      </c>
      <c r="D47" s="4">
        <v>911.07138199999997</v>
      </c>
      <c r="E47" s="4">
        <v>518.06512657999997</v>
      </c>
      <c r="F47" s="4">
        <v>480.96979030999995</v>
      </c>
      <c r="G47" s="4">
        <f t="shared" si="5"/>
        <v>52.791669216320528</v>
      </c>
      <c r="H47" s="4">
        <f t="shared" si="6"/>
        <v>-7.1603615774882181</v>
      </c>
      <c r="I47" s="4">
        <f t="shared" si="7"/>
        <v>-0.11986471162499081</v>
      </c>
    </row>
    <row r="48" spans="2:9" ht="14.1" customHeight="1">
      <c r="B48" s="125" t="str">
        <f>IF(Indice_index!$Z$1=1,"Outras despesas correntes","Other current expenditure")</f>
        <v>Outras despesas correntes</v>
      </c>
      <c r="C48" s="4">
        <v>598.32831404000012</v>
      </c>
      <c r="D48" s="4">
        <v>1176.2656469999999</v>
      </c>
      <c r="E48" s="4">
        <v>338.02422790000003</v>
      </c>
      <c r="F48" s="4">
        <v>225.34544223999995</v>
      </c>
      <c r="G48" s="4">
        <f t="shared" si="5"/>
        <v>19.157699862673962</v>
      </c>
      <c r="H48" s="4">
        <f t="shared" si="6"/>
        <v>-33.33452940933411</v>
      </c>
      <c r="I48" s="4">
        <f t="shared" si="7"/>
        <v>-0.36409456032651977</v>
      </c>
    </row>
    <row r="49" spans="2:10" ht="14.1" customHeight="1">
      <c r="B49" s="125" t="str">
        <f>IF(Indice_index!$Z$1=1,"Diferenças de consolidação","Consolidation differences")</f>
        <v>Diferenças de consolidação</v>
      </c>
      <c r="C49" s="4">
        <v>4.1789553900008549</v>
      </c>
      <c r="D49" s="4">
        <v>2.9171999998652609E-2</v>
      </c>
      <c r="E49" s="4">
        <v>0</v>
      </c>
      <c r="F49" s="4">
        <v>13.377351359999855</v>
      </c>
      <c r="G49" s="4"/>
      <c r="H49" s="4"/>
      <c r="I49" s="4"/>
    </row>
    <row r="50" spans="2:10" ht="14.1" customHeight="1">
      <c r="B50" s="174" t="str">
        <f>IF(Indice_index!$Z$1=1,"Despesa de capital","Capital expenditure")</f>
        <v>Despesa de capital</v>
      </c>
      <c r="C50" s="134">
        <f>SUM(C51:C58)-C52</f>
        <v>5703.5535646500002</v>
      </c>
      <c r="D50" s="134">
        <f>SUM(D51:D58)-D52</f>
        <v>10448.961960999999</v>
      </c>
      <c r="E50" s="134">
        <f>SUM(E51:E58)-E52</f>
        <v>3499.6210150299994</v>
      </c>
      <c r="F50" s="134">
        <f>SUM(F51:F58)-F52</f>
        <v>3850.6859268699991</v>
      </c>
      <c r="G50" s="134">
        <f t="shared" ref="G50:G57" si="8">IFERROR(IF(F50/D50*100&lt;-500,"-",IF(F50/D50*100&gt;500,"-",F50/D50*100)),"-")</f>
        <v>36.852329841398678</v>
      </c>
      <c r="H50" s="134">
        <f t="shared" si="6"/>
        <v>10.031512278965735</v>
      </c>
      <c r="I50" s="134">
        <f t="shared" ref="I50:I57" si="9">IFERROR((F50-E50)/$E$59*100,"-")</f>
        <v>1.1343823415717582</v>
      </c>
    </row>
    <row r="51" spans="2:10" ht="14.1" customHeight="1">
      <c r="B51" s="125" t="str">
        <f>IF(Indice_index!$Z$1=1,"Investimento","Investment")</f>
        <v>Investimento</v>
      </c>
      <c r="C51" s="4">
        <v>3524.8519545200002</v>
      </c>
      <c r="D51" s="4">
        <v>6646.1403879999998</v>
      </c>
      <c r="E51" s="4">
        <v>2198.9208369399998</v>
      </c>
      <c r="F51" s="4">
        <v>2254.0482908099993</v>
      </c>
      <c r="G51" s="4">
        <f t="shared" si="8"/>
        <v>33.915147126290272</v>
      </c>
      <c r="H51" s="4">
        <f t="shared" si="6"/>
        <v>2.5070231244301824</v>
      </c>
      <c r="I51" s="4">
        <f t="shared" si="9"/>
        <v>0.17813118912447778</v>
      </c>
    </row>
    <row r="52" spans="2:10" ht="14.1" customHeight="1">
      <c r="B52" s="125" t="str">
        <f>IF(Indice_index!$Z$1=1,"Transferências de capital","Capital transfers")</f>
        <v>Transferências de capital</v>
      </c>
      <c r="C52" s="4">
        <f>SUM(C53:C56)</f>
        <v>1843.6548075500002</v>
      </c>
      <c r="D52" s="4">
        <f>SUM(D53:D56)</f>
        <v>3550.7731269999999</v>
      </c>
      <c r="E52" s="4">
        <f>SUM(E53:E56)</f>
        <v>1123.7951069199999</v>
      </c>
      <c r="F52" s="4">
        <f>SUM(F53:F56)</f>
        <v>1469.2721346099997</v>
      </c>
      <c r="G52" s="4">
        <f t="shared" si="8"/>
        <v>41.378935855903805</v>
      </c>
      <c r="H52" s="4">
        <f t="shared" si="6"/>
        <v>30.741994297951102</v>
      </c>
      <c r="I52" s="4">
        <f t="shared" si="9"/>
        <v>1.1163264297083775</v>
      </c>
    </row>
    <row r="53" spans="2:10" ht="14.1" customHeight="1">
      <c r="B53" s="172" t="str">
        <f>IF(Indice_index!$Z$1=1,"Administração Central","Central Administration")</f>
        <v>Administração Central</v>
      </c>
      <c r="C53" s="4">
        <v>74.196512630000001</v>
      </c>
      <c r="D53" s="4">
        <v>38.902315999999999</v>
      </c>
      <c r="E53" s="4">
        <v>68.405498819999991</v>
      </c>
      <c r="F53" s="4">
        <v>82.551662719999982</v>
      </c>
      <c r="G53" s="4">
        <f t="shared" si="8"/>
        <v>212.20243730476093</v>
      </c>
      <c r="H53" s="4">
        <f t="shared" si="6"/>
        <v>20.6798636718135</v>
      </c>
      <c r="I53" s="4">
        <f t="shared" si="9"/>
        <v>4.5709947043791915E-2</v>
      </c>
    </row>
    <row r="54" spans="2:10" ht="14.1" customHeight="1">
      <c r="B54" s="172" t="str">
        <f>IF(Indice_index!$Z$1=1,"Outros subsetores das Administrações Públicas","Other General Government subsectors")</f>
        <v>Outros subsetores das Administrações Públicas</v>
      </c>
      <c r="C54" s="4">
        <v>457.44581746000006</v>
      </c>
      <c r="D54" s="4">
        <v>781.26575899999989</v>
      </c>
      <c r="E54" s="4">
        <v>195.02000461999995</v>
      </c>
      <c r="F54" s="4">
        <v>474.24231231999988</v>
      </c>
      <c r="G54" s="4">
        <f t="shared" si="8"/>
        <v>60.701791529558122</v>
      </c>
      <c r="H54" s="4">
        <f t="shared" si="6"/>
        <v>143.17623889101517</v>
      </c>
      <c r="I54" s="4">
        <f t="shared" si="9"/>
        <v>0.90224014005750186</v>
      </c>
    </row>
    <row r="55" spans="2:10" ht="14.1" customHeight="1">
      <c r="B55" s="172" t="str">
        <f>IF(Indice_index!$Z$1=1,"União Europeia","European Union")</f>
        <v>União Europeia</v>
      </c>
      <c r="C55" s="4">
        <v>27.213382290000002</v>
      </c>
      <c r="D55" s="4">
        <v>1.7293229999999999</v>
      </c>
      <c r="E55" s="4">
        <v>22.192110050000004</v>
      </c>
      <c r="F55" s="4">
        <v>5.4940019999999999E-2</v>
      </c>
      <c r="G55" s="4">
        <f t="shared" si="8"/>
        <v>3.1769669402419329</v>
      </c>
      <c r="H55" s="4">
        <f t="shared" si="6"/>
        <v>-99.752434446854238</v>
      </c>
      <c r="I55" s="4">
        <f t="shared" si="9"/>
        <v>-7.153097312627052E-2</v>
      </c>
    </row>
    <row r="56" spans="2:10" ht="14.1" customHeight="1">
      <c r="B56" s="172" t="str">
        <f>IF(Indice_index!$Z$1=1,"Outras transferências","Other transfers")</f>
        <v>Outras transferências</v>
      </c>
      <c r="C56" s="4">
        <v>1284.7990951700001</v>
      </c>
      <c r="D56" s="4">
        <v>2728.8757289999999</v>
      </c>
      <c r="E56" s="4">
        <v>838.17749342999991</v>
      </c>
      <c r="F56" s="4">
        <v>912.42321954999989</v>
      </c>
      <c r="G56" s="4">
        <f t="shared" si="8"/>
        <v>33.435865541754026</v>
      </c>
      <c r="H56" s="4">
        <f t="shared" si="6"/>
        <v>8.8579956753754789</v>
      </c>
      <c r="I56" s="4">
        <f t="shared" si="9"/>
        <v>0.2399073157333543</v>
      </c>
    </row>
    <row r="57" spans="2:10" ht="14.1" customHeight="1">
      <c r="B57" s="125" t="str">
        <f>IF(Indice_index!$Z$1=1,"Outras despesas de capital","Other capital expenditure")</f>
        <v>Outras despesas de capital</v>
      </c>
      <c r="C57" s="4">
        <v>313.02560989000006</v>
      </c>
      <c r="D57" s="4">
        <v>252.04844600000001</v>
      </c>
      <c r="E57" s="4">
        <v>134.26415324000001</v>
      </c>
      <c r="F57" s="4">
        <v>82.947538340000008</v>
      </c>
      <c r="G57" s="4">
        <f t="shared" si="8"/>
        <v>32.909363122992637</v>
      </c>
      <c r="H57" s="4">
        <f t="shared" si="6"/>
        <v>-38.220637200363136</v>
      </c>
      <c r="I57" s="4">
        <f t="shared" si="9"/>
        <v>-0.16581737396282145</v>
      </c>
    </row>
    <row r="58" spans="2:10" ht="14.1" customHeight="1">
      <c r="B58" s="125" t="str">
        <f>IF(Indice_index!$Z$1=1,"Diferenças de consolidação","Consolidation differences")</f>
        <v>Diferenças de consolidação</v>
      </c>
      <c r="C58" s="4">
        <v>22.021192690000021</v>
      </c>
      <c r="D58" s="4">
        <v>0</v>
      </c>
      <c r="E58" s="4">
        <v>42.640917930000057</v>
      </c>
      <c r="F58" s="4">
        <v>44.417963110000017</v>
      </c>
      <c r="G58" s="4"/>
      <c r="H58" s="4"/>
      <c r="I58" s="4"/>
    </row>
    <row r="59" spans="2:10" ht="14.1" customHeight="1">
      <c r="B59" s="30" t="str">
        <f>IF(Indice_index!$Z$1=1,"Despesa efetiva","Effective Expenditure")</f>
        <v>Despesa efetiva</v>
      </c>
      <c r="C59" s="18">
        <f>+C35+C50</f>
        <v>46712.810980720002</v>
      </c>
      <c r="D59" s="18">
        <f>+D35+D50</f>
        <v>54923.631646999995</v>
      </c>
      <c r="E59" s="18">
        <f>+E35+E50</f>
        <v>30947.670725689997</v>
      </c>
      <c r="F59" s="18">
        <f>+F35+F50</f>
        <v>32418.475095840015</v>
      </c>
      <c r="G59" s="18">
        <f>IFERROR(IF(F59/D59*100&lt;-500,"-",IF(F59/D59*100&gt;500,"-",F59/D59*100)),"-")</f>
        <v>59.024638618576773</v>
      </c>
      <c r="H59" s="18">
        <f>IFERROR(IF(E59=0,"-",(F59-E59)/E59*100),"-")</f>
        <v>4.752552730661848</v>
      </c>
      <c r="I59" s="18"/>
    </row>
    <row r="60" spans="2:10" ht="14.1" customHeight="1">
      <c r="B60" s="30" t="str">
        <f>IF(Indice_index!$Z$1=1,"Saldo global","Overall Balance")</f>
        <v>Saldo global</v>
      </c>
      <c r="C60" s="18">
        <f>+(C12+C25)-(C35+C50)</f>
        <v>-481.22917381997831</v>
      </c>
      <c r="D60" s="18">
        <f>+(D12+D25)-(D35+D50)</f>
        <v>-905.66030799998407</v>
      </c>
      <c r="E60" s="18">
        <f>+(E12+E25)-(E35+E50)</f>
        <v>1883.2338370199941</v>
      </c>
      <c r="F60" s="18">
        <f>+(F12+F25)-(F35+F50)</f>
        <v>1560.768193879976</v>
      </c>
      <c r="G60" s="18"/>
      <c r="H60" s="18"/>
      <c r="I60" s="18"/>
    </row>
    <row r="61" spans="2:10" ht="14.1" customHeight="1">
      <c r="B61" s="125" t="str">
        <f>IF(Indice_index!$Z$1=1,"Despesa primária","Primary Expenditure")</f>
        <v>Despesa primária</v>
      </c>
      <c r="C61" s="4">
        <f>C59-C41</f>
        <v>46418.512208940003</v>
      </c>
      <c r="D61" s="4">
        <f>D59-D41</f>
        <v>54699.842288999993</v>
      </c>
      <c r="E61" s="4">
        <f>E59-E41</f>
        <v>30780.452140069996</v>
      </c>
      <c r="F61" s="4">
        <f>F59-F41</f>
        <v>32312.626676710013</v>
      </c>
      <c r="G61" s="4">
        <f>IFERROR(IF(F61/D61*100&lt;-500,"-",IF(F61/D61*100&gt;500,"-",F61/D61*100)),"-")</f>
        <v>59.072613968409939</v>
      </c>
      <c r="H61" s="4">
        <f>IFERROR(IF(E61=0,"-",(F61-E61)/E61*100),"-")</f>
        <v>4.9777518850849898</v>
      </c>
      <c r="I61" s="4"/>
      <c r="J61" s="210"/>
    </row>
    <row r="62" spans="2:10" ht="14.1" customHeight="1">
      <c r="B62" s="125" t="str">
        <f>IF(Indice_index!$Z$1=1,"Saldo corrente","Current balance")</f>
        <v>Saldo corrente</v>
      </c>
      <c r="C62" s="4">
        <f>+C12-C35</f>
        <v>538.33151956001529</v>
      </c>
      <c r="D62" s="4">
        <f>+D12-D35</f>
        <v>1400.4146180000171</v>
      </c>
      <c r="E62" s="4">
        <f>+E12-E35</f>
        <v>2510.8458539399944</v>
      </c>
      <c r="F62" s="4">
        <f>+F12-F35</f>
        <v>2220.4526557399768</v>
      </c>
      <c r="G62" s="4"/>
      <c r="H62" s="4"/>
      <c r="I62" s="4"/>
    </row>
    <row r="63" spans="2:10" ht="14.1" customHeight="1">
      <c r="B63" s="125" t="str">
        <f>IF(Indice_index!$Z$1=1,"Saldo de capital","Capital balance")</f>
        <v>Saldo de capital</v>
      </c>
      <c r="C63" s="4">
        <f>C25-C50</f>
        <v>-1019.5606933799972</v>
      </c>
      <c r="D63" s="4">
        <f>D25-D50</f>
        <v>-2306.0749260000002</v>
      </c>
      <c r="E63" s="4">
        <f>E25-E50</f>
        <v>-627.61201691999941</v>
      </c>
      <c r="F63" s="4">
        <f>F25-F50</f>
        <v>-659.68446185999937</v>
      </c>
      <c r="G63" s="4"/>
      <c r="H63" s="4"/>
      <c r="I63" s="4"/>
    </row>
    <row r="64" spans="2:10" ht="14.1" customHeight="1">
      <c r="B64" s="125" t="str">
        <f>IF(Indice_index!$Z$1=1,"Saldo primário","Primary balance")</f>
        <v>Saldo primário</v>
      </c>
      <c r="C64" s="4">
        <f>C60+C41</f>
        <v>-186.93040203997833</v>
      </c>
      <c r="D64" s="4">
        <f>D60+D41</f>
        <v>-681.87094999998408</v>
      </c>
      <c r="E64" s="4">
        <f>E60+E41</f>
        <v>2050.452422639994</v>
      </c>
      <c r="F64" s="4">
        <f>F60+F41</f>
        <v>1666.6166130099759</v>
      </c>
      <c r="G64" s="4"/>
      <c r="H64" s="4"/>
      <c r="I64" s="4"/>
    </row>
    <row r="65" spans="2:10" ht="14.1" customHeight="1">
      <c r="B65" s="125" t="str">
        <f>IF(Indice_index!$Z$1=1,"Ativos financeiros líquidos de reembolsos","Financial assets net of reimbursements")</f>
        <v>Ativos financeiros líquidos de reembolsos</v>
      </c>
      <c r="C65" s="4">
        <v>2302.0158354600026</v>
      </c>
      <c r="D65" s="4">
        <v>1634.5279599999994</v>
      </c>
      <c r="E65" s="4">
        <v>-2397.1437305799964</v>
      </c>
      <c r="F65" s="4">
        <v>-4625.982410450003</v>
      </c>
      <c r="G65" s="4"/>
      <c r="H65" s="4"/>
      <c r="I65" s="4"/>
    </row>
    <row r="66" spans="2:10" ht="14.1" customHeight="1">
      <c r="B66" s="287" t="str">
        <f>IF(Indice_index!$Z$1=1,"dos quais Receitas de:","of which revenue from:")</f>
        <v>dos quais Receitas de:</v>
      </c>
      <c r="C66" s="4"/>
      <c r="D66" s="4"/>
      <c r="E66" s="4"/>
      <c r="F66" s="4"/>
      <c r="G66" s="4"/>
      <c r="H66" s="4"/>
      <c r="I66" s="4"/>
    </row>
    <row r="67" spans="2:10" ht="15.75" customHeight="1">
      <c r="B67" s="172" t="str">
        <f>IF(Indice_index!$Z$1=1,"Alienação de partes de Capital","Disposal of Capital Shares")</f>
        <v>Alienação de partes de Capital</v>
      </c>
      <c r="C67" s="4"/>
      <c r="D67" s="4"/>
      <c r="E67" s="4">
        <v>0</v>
      </c>
      <c r="F67" s="4">
        <v>0</v>
      </c>
      <c r="G67" s="4"/>
      <c r="H67" s="4"/>
      <c r="I67" s="4"/>
    </row>
    <row r="68" spans="2:10" ht="12.75" customHeight="1">
      <c r="B68" s="172" t="str">
        <f>IF(Indice_index!$Z$1=1,"Outros ativos","Other Assets")</f>
        <v>Outros ativos</v>
      </c>
      <c r="C68" s="4">
        <v>9489.843074659997</v>
      </c>
      <c r="D68" s="4">
        <v>11890.610206000001</v>
      </c>
      <c r="E68" s="4">
        <v>7614.539602619996</v>
      </c>
      <c r="F68" s="4">
        <v>8808.2825616400023</v>
      </c>
      <c r="G68" s="4"/>
      <c r="H68" s="4">
        <f>IF(IFERROR((F68-E68)/E68*100,"")&gt;500,"-",IFERROR((F68-E68)/E68*100,""))</f>
        <v>15.677152149937806</v>
      </c>
      <c r="I68" s="4"/>
    </row>
    <row r="69" spans="2:10" ht="13.5" customHeight="1">
      <c r="B69" s="125" t="str">
        <f>IF(Indice_index!$Z$1=1,"Passivos financeiros líquidos de amortizações","Financial liabilities net of amortizations")</f>
        <v>Passivos financeiros líquidos de amortizações</v>
      </c>
      <c r="C69" s="4">
        <v>2852.2861815299998</v>
      </c>
      <c r="D69" s="4">
        <v>3012.0363579999994</v>
      </c>
      <c r="E69" s="4">
        <v>1470.677713829999</v>
      </c>
      <c r="F69" s="4">
        <v>1485.6556959300001</v>
      </c>
      <c r="G69" s="4"/>
      <c r="H69" s="4"/>
      <c r="I69" s="4"/>
    </row>
    <row r="70" spans="2:10" ht="13.5" customHeight="1">
      <c r="B70" s="173" t="str">
        <f>IF(Indice_index!$Z$1=1,"Poupança (+) / Utilização (-) de saldo da gerência anterior","Saving (+) / Usage (-) of balance from previous management")</f>
        <v>Poupança (+) / Utilização (-) de saldo da gerência anterior</v>
      </c>
      <c r="C70" s="19">
        <f>C60-C65+C69</f>
        <v>69.041172250018917</v>
      </c>
      <c r="D70" s="19">
        <f>D60-D65+D69</f>
        <v>471.84809000001587</v>
      </c>
      <c r="E70" s="19">
        <f>E60-E65+E69</f>
        <v>5751.0552814299899</v>
      </c>
      <c r="F70" s="19">
        <f>F60-F65+F69</f>
        <v>7672.4063002599796</v>
      </c>
      <c r="G70" s="19"/>
      <c r="H70" s="19"/>
      <c r="I70" s="19"/>
    </row>
    <row r="71" spans="2:10" ht="15">
      <c r="B71" s="9" t="str">
        <f>IF(Indice_index!$Z$1=1,"Notas:","Notes:")</f>
        <v>Notas:</v>
      </c>
      <c r="C71" s="9"/>
      <c r="D71" s="9"/>
      <c r="E71" s="9"/>
      <c r="F71" s="9"/>
      <c r="G71" s="9"/>
      <c r="H71" s="9"/>
      <c r="I71" s="9"/>
    </row>
    <row r="72" spans="2:10" ht="15">
      <c r="B72" s="392" t="str">
        <f>+'3 - Conta AC + SS'!$B$61</f>
        <v>Os dados de 2024 são mensalmente revistos e atualizados face ao publicado nas Sínteses de Execução Orçamental de 2024.</v>
      </c>
      <c r="C72" s="392"/>
      <c r="D72" s="392"/>
      <c r="E72" s="392"/>
      <c r="F72" s="392"/>
      <c r="G72" s="392"/>
      <c r="H72" s="392"/>
      <c r="I72" s="392"/>
    </row>
    <row r="73" spans="2:10" ht="15">
      <c r="B73" s="396" t="str">
        <f>IF(Indice_index!$Z$1=1,"Entidades em incumprimento no reporte da execução orçamental no mês em análise:","Non reporting entities are identified below:")</f>
        <v>Entidades em incumprimento no reporte da execução orçamental no mês em análise:</v>
      </c>
      <c r="C73" s="396"/>
      <c r="D73" s="396"/>
      <c r="E73" s="396"/>
      <c r="F73" s="396"/>
      <c r="G73" s="396"/>
      <c r="H73" s="396"/>
      <c r="I73" s="396"/>
    </row>
    <row r="74" spans="2:10" ht="15">
      <c r="B74" s="261" t="s">
        <v>417</v>
      </c>
      <c r="C74" s="262"/>
      <c r="D74" s="262"/>
      <c r="E74" s="263"/>
      <c r="F74" s="263"/>
      <c r="G74" s="263"/>
      <c r="H74" s="263"/>
      <c r="I74" s="263"/>
    </row>
    <row r="75" spans="2:10" ht="24.75" customHeight="1">
      <c r="B75" s="400" t="s">
        <v>473</v>
      </c>
      <c r="C75" s="400"/>
      <c r="D75" s="400"/>
      <c r="E75" s="400"/>
      <c r="F75" s="400"/>
      <c r="G75" s="400"/>
      <c r="H75" s="400"/>
      <c r="I75" s="400"/>
    </row>
    <row r="76" spans="2:10" ht="24.75" customHeight="1">
      <c r="B76" s="399"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399"/>
      <c r="D76" s="399"/>
      <c r="E76" s="399"/>
      <c r="F76" s="399"/>
      <c r="G76" s="399"/>
      <c r="H76" s="399"/>
      <c r="I76" s="399"/>
    </row>
    <row r="77" spans="2:10" ht="15">
      <c r="B77" s="399" t="str">
        <f>+'8 - EPR'!B77:I77</f>
        <v>Esta estimativa apenas é utilizada para os meses em que haja falta de reporte. Nos restantes meses, é utilizada a informação efetivamente reportada pelas entidades.</v>
      </c>
      <c r="C77" s="399"/>
      <c r="D77" s="399"/>
      <c r="E77" s="399"/>
      <c r="F77" s="399"/>
      <c r="G77" s="399"/>
      <c r="H77" s="399"/>
      <c r="I77" s="399"/>
    </row>
    <row r="78" spans="2:10" ht="15">
      <c r="B78" s="147" t="str">
        <f>IF(Indice_index!$Z$1=1,"Fonte: Entidade Orçamental.","Source: Budgetary Entity.")</f>
        <v>Fonte: Entidade Orçamental.</v>
      </c>
      <c r="C78" s="148"/>
      <c r="D78" s="148"/>
      <c r="E78" s="59"/>
      <c r="F78" s="149"/>
      <c r="G78" s="60"/>
      <c r="H78" s="52"/>
      <c r="I78" s="52"/>
    </row>
    <row r="79" spans="2:10" ht="14.85" customHeight="1"/>
    <row r="80" spans="2:10" ht="15" hidden="1">
      <c r="B80" s="397"/>
      <c r="C80" s="397"/>
      <c r="D80" s="397"/>
      <c r="E80" s="397"/>
      <c r="F80" s="397"/>
      <c r="G80" s="397"/>
      <c r="H80" s="397"/>
      <c r="I80" s="397"/>
      <c r="J80" s="397"/>
    </row>
    <row r="81" spans="2:10" ht="15" hidden="1">
      <c r="B81" s="397"/>
      <c r="C81" s="397"/>
      <c r="D81" s="397"/>
      <c r="E81" s="397"/>
      <c r="F81" s="397"/>
      <c r="G81" s="397"/>
      <c r="H81" s="397"/>
      <c r="I81" s="397"/>
      <c r="J81" s="397"/>
    </row>
    <row r="82" spans="2:10" ht="15" hidden="1">
      <c r="B82" s="398"/>
      <c r="C82" s="398"/>
      <c r="D82" s="398"/>
      <c r="E82" s="398"/>
      <c r="F82" s="398"/>
      <c r="G82" s="398"/>
      <c r="H82" s="398"/>
      <c r="I82" s="398"/>
      <c r="J82" s="398"/>
    </row>
    <row r="83" spans="2:10" ht="15" hidden="1">
      <c r="B83" s="398"/>
      <c r="C83" s="398"/>
      <c r="D83" s="398"/>
      <c r="E83" s="398"/>
      <c r="F83" s="398"/>
      <c r="G83" s="398"/>
      <c r="H83" s="398"/>
      <c r="I83" s="398"/>
      <c r="J83" s="398"/>
    </row>
    <row r="84" spans="2:10" ht="15" hidden="1">
      <c r="B84" s="397"/>
      <c r="C84" s="397"/>
      <c r="D84" s="397"/>
      <c r="E84" s="397"/>
      <c r="F84" s="397"/>
      <c r="G84" s="397"/>
      <c r="H84" s="397"/>
      <c r="I84" s="397"/>
      <c r="J84" s="397"/>
    </row>
    <row r="85" spans="2:10" ht="15" hidden="1">
      <c r="B85" s="397"/>
      <c r="C85" s="397"/>
      <c r="D85" s="397"/>
      <c r="E85" s="397"/>
      <c r="F85" s="397"/>
      <c r="G85" s="397"/>
      <c r="H85" s="397"/>
      <c r="I85" s="397"/>
      <c r="J85" s="397"/>
    </row>
    <row r="86" spans="2:10" ht="15" hidden="1">
      <c r="B86" s="398"/>
      <c r="C86" s="398"/>
      <c r="D86" s="398"/>
      <c r="E86" s="398"/>
      <c r="F86" s="398"/>
      <c r="G86" s="398"/>
      <c r="H86" s="398"/>
      <c r="I86" s="398"/>
      <c r="J86" s="398"/>
    </row>
  </sheetData>
  <mergeCells count="16">
    <mergeCell ref="B8:I8"/>
    <mergeCell ref="B10:B11"/>
    <mergeCell ref="E10:F10"/>
    <mergeCell ref="H10:I10"/>
    <mergeCell ref="B72:I72"/>
    <mergeCell ref="B73:I73"/>
    <mergeCell ref="B84:J84"/>
    <mergeCell ref="B85:J85"/>
    <mergeCell ref="B86:J86"/>
    <mergeCell ref="B76:I76"/>
    <mergeCell ref="B77:I77"/>
    <mergeCell ref="B80:J80"/>
    <mergeCell ref="B81:J81"/>
    <mergeCell ref="B82:J82"/>
    <mergeCell ref="B83:J83"/>
    <mergeCell ref="B75:I75"/>
  </mergeCells>
  <conditionalFormatting sqref="C12:D33 G12:I33">
    <cfRule type="cellIs" dxfId="61" priority="8" operator="equal">
      <formula>0</formula>
    </cfRule>
  </conditionalFormatting>
  <conditionalFormatting sqref="C35:D58 G35:I58">
    <cfRule type="cellIs" dxfId="60" priority="9" operator="equal">
      <formula>0</formula>
    </cfRule>
  </conditionalFormatting>
  <conditionalFormatting sqref="C61:D70 G61:I70">
    <cfRule type="cellIs" dxfId="59" priority="7" operator="equal">
      <formula>0</formula>
    </cfRule>
  </conditionalFormatting>
  <conditionalFormatting sqref="E12:F33">
    <cfRule type="cellIs" dxfId="58" priority="2" operator="equal">
      <formula>0</formula>
    </cfRule>
  </conditionalFormatting>
  <conditionalFormatting sqref="E35:F58">
    <cfRule type="cellIs" dxfId="57" priority="3" operator="equal">
      <formula>0</formula>
    </cfRule>
  </conditionalFormatting>
  <conditionalFormatting sqref="E61:F70">
    <cfRule type="cellIs" dxfId="56"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85" customHeight="1" zeroHeight="1"/>
  <cols>
    <col min="1" max="1" width="8.5703125" style="64" customWidth="1"/>
    <col min="2" max="2" width="44.5703125" style="31" customWidth="1"/>
    <col min="3" max="4" width="10.42578125" style="31" customWidth="1"/>
    <col min="5" max="5" width="10.42578125" style="65" customWidth="1"/>
    <col min="6" max="6" width="10.42578125" style="31" customWidth="1"/>
    <col min="7" max="9" width="10.42578125" style="50" customWidth="1"/>
    <col min="10" max="10" width="8.5703125" style="64" customWidth="1"/>
    <col min="11" max="15" width="0" hidden="1" customWidth="1"/>
    <col min="16" max="16384" width="9.42578125" hidden="1"/>
  </cols>
  <sheetData>
    <row r="1" spans="1:10" ht="14.85" customHeight="1"/>
    <row r="2" spans="1:10" ht="15"/>
    <row r="3" spans="1:10" ht="15"/>
    <row r="4" spans="1:10" ht="15"/>
    <row r="5" spans="1:10" ht="18" customHeight="1">
      <c r="A5"/>
      <c r="B5" s="269" t="str">
        <f>IF(Indice_index!$Z$1=1,"ANEXOS ESTATÍSTICOS","STATISTICAL ANNEXES")</f>
        <v>ANEXOS ESTATÍSTICOS</v>
      </c>
      <c r="C5"/>
      <c r="D5"/>
      <c r="E5"/>
      <c r="F5"/>
      <c r="G5"/>
      <c r="H5"/>
      <c r="I5"/>
      <c r="J5"/>
    </row>
    <row r="6" spans="1:10" ht="18" customHeight="1">
      <c r="A6"/>
      <c r="B6" s="270" t="str">
        <f>IF(Indice_index!$Z$1=1,"Setembro de 2025","September 2025")</f>
        <v>Setembro de 2025</v>
      </c>
      <c r="C6"/>
      <c r="D6"/>
      <c r="E6"/>
      <c r="F6"/>
      <c r="G6"/>
      <c r="H6"/>
      <c r="I6"/>
      <c r="J6"/>
    </row>
    <row r="7" spans="1:10" ht="50.1" customHeight="1">
      <c r="B7" s="12"/>
      <c r="C7" s="13"/>
      <c r="D7" s="11"/>
      <c r="E7" s="11"/>
      <c r="F7" s="11"/>
      <c r="G7" s="11"/>
      <c r="H7" s="11"/>
      <c r="I7" s="11"/>
      <c r="J7" s="11"/>
    </row>
    <row r="8" spans="1: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1:10" ht="15">
      <c r="B9" s="3" t="str">
        <f>+'3 - Conta AC + SS'!B9</f>
        <v>Período: janeiro a setembro</v>
      </c>
      <c r="C9" s="3"/>
      <c r="D9" s="3"/>
      <c r="E9" s="3"/>
      <c r="F9" s="3"/>
      <c r="G9" s="3"/>
      <c r="H9" s="3"/>
      <c r="I9" s="3" t="str">
        <f>IF(Indice_index!$Z$1=1,"€ Milhões","€ Millions")</f>
        <v>€ Milhões</v>
      </c>
      <c r="J9" s="3"/>
    </row>
    <row r="10" spans="1:10"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22" t="str">
        <f>IF(Indice_index!$Z$1=1,"Grau de Execução (%)","Execution Rate (%)")</f>
        <v>Grau de Execução (%)</v>
      </c>
      <c r="H10" s="391" t="str">
        <f>IF(Indice_index!$Z$1=1,"Variação Homóloga Acumulada","YOY Change Rate")</f>
        <v>Variação Homóloga Acumulada</v>
      </c>
      <c r="I10" s="388"/>
    </row>
    <row r="11" spans="1:10" ht="26.85" customHeight="1">
      <c r="B11" s="389"/>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SUM(C13:C24)-C13-C18</f>
        <v>15705.271392779994</v>
      </c>
      <c r="D12" s="134">
        <f>SUM(D13:D24)-D13-D18</f>
        <v>18484.217224999997</v>
      </c>
      <c r="E12" s="134">
        <f>SUM(E13:E24)-E13-E18</f>
        <v>11298.798038640003</v>
      </c>
      <c r="F12" s="134">
        <f>SUM(F13:F24)-F13-F18</f>
        <v>12806.569941339996</v>
      </c>
      <c r="G12" s="134">
        <f t="shared" ref="G12:G23" si="0">IFERROR(IF(F12/D12*100&lt;-500,"-",IF(F12/D12*100&gt;500,"-",F12/D12*100)),"-")</f>
        <v>69.283809995583951</v>
      </c>
      <c r="H12" s="134">
        <f>IF(IFERROR((F12-E12)/E12*100,"")&gt;500,"-",IFERROR((F12-E12)/E12*100,""))</f>
        <v>13.344533618033216</v>
      </c>
      <c r="I12" s="134">
        <f t="shared" ref="I12:I23" si="1">IFERROR((F12-E12)/$E$34*100,"-")</f>
        <v>12.104868510699525</v>
      </c>
      <c r="J12" s="57"/>
    </row>
    <row r="13" spans="1:10" ht="14.1" customHeight="1">
      <c r="B13" s="125" t="str">
        <f>IF(Indice_index!$Z$1=1,"Receita fiscal","Tax")</f>
        <v>Receita fiscal</v>
      </c>
      <c r="C13" s="4">
        <f>C14+C15</f>
        <v>193.32896718000001</v>
      </c>
      <c r="D13" s="4">
        <f>D14+D15</f>
        <v>200.68767199999999</v>
      </c>
      <c r="E13" s="4">
        <f>E14+E15</f>
        <v>161.58913103999998</v>
      </c>
      <c r="F13" s="4">
        <f>F14+F15</f>
        <v>155.438029</v>
      </c>
      <c r="G13" s="4">
        <f t="shared" si="0"/>
        <v>77.452704219918402</v>
      </c>
      <c r="H13" s="4">
        <f t="shared" ref="H13:H32" si="2">IF(IFERROR((F13-E13)/E13*100,"")&gt;500,"-",IFERROR((F13-E13)/E13*100,""))</f>
        <v>-3.8066310527267651</v>
      </c>
      <c r="I13" s="4">
        <f t="shared" si="1"/>
        <v>-4.9382987742881863E-2</v>
      </c>
      <c r="J13" s="50"/>
    </row>
    <row r="14" spans="1:10" ht="13.5" customHeight="1">
      <c r="B14" s="172" t="str">
        <f>IF(Indice_index!$Z$1=1,"Impostos diretos","Direct taxes")</f>
        <v>Impostos diretos</v>
      </c>
      <c r="C14" s="4">
        <v>0</v>
      </c>
      <c r="D14" s="4">
        <v>0</v>
      </c>
      <c r="E14" s="4">
        <v>0</v>
      </c>
      <c r="F14" s="4">
        <v>0</v>
      </c>
      <c r="G14" s="4" t="str">
        <f t="shared" si="0"/>
        <v>-</v>
      </c>
      <c r="H14" s="4" t="str">
        <f t="shared" si="2"/>
        <v>-</v>
      </c>
      <c r="I14" s="4">
        <f t="shared" si="1"/>
        <v>0</v>
      </c>
      <c r="J14" s="50"/>
    </row>
    <row r="15" spans="1:10" ht="14.1" customHeight="1">
      <c r="B15" s="172" t="str">
        <f>IF(Indice_index!$Z$1=1,"Impostos indiretos","Indirect taxes")</f>
        <v>Impostos indiretos</v>
      </c>
      <c r="C15" s="4">
        <v>193.32896718000001</v>
      </c>
      <c r="D15" s="4">
        <v>200.68767199999999</v>
      </c>
      <c r="E15" s="4">
        <v>161.58913103999998</v>
      </c>
      <c r="F15" s="4">
        <v>155.438029</v>
      </c>
      <c r="G15" s="4">
        <f t="shared" si="0"/>
        <v>77.452704219918402</v>
      </c>
      <c r="H15" s="4">
        <f t="shared" si="2"/>
        <v>-3.8066310527267651</v>
      </c>
      <c r="I15" s="4">
        <f t="shared" si="1"/>
        <v>-4.9382987742881863E-2</v>
      </c>
      <c r="J15" s="50"/>
    </row>
    <row r="16" spans="1:10" ht="15">
      <c r="B16" s="125"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0"/>
    </row>
    <row r="17" spans="2:10" ht="14.1" customHeight="1">
      <c r="B17" s="125" t="str">
        <f>IF(Indice_index!$Z$1=1,"Taxas, multas e outras penalidades","Taxes, fines and other penalties")</f>
        <v>Taxas, multas e outras penalidades</v>
      </c>
      <c r="C17" s="4">
        <v>520.56976257999997</v>
      </c>
      <c r="D17" s="4">
        <v>426.40778899999998</v>
      </c>
      <c r="E17" s="4">
        <v>380.68054081000002</v>
      </c>
      <c r="F17" s="4">
        <v>292.78239155</v>
      </c>
      <c r="G17" s="4">
        <f t="shared" si="0"/>
        <v>68.662533636316851</v>
      </c>
      <c r="H17" s="4">
        <f t="shared" si="2"/>
        <v>-23.089740566453205</v>
      </c>
      <c r="I17" s="4">
        <f t="shared" si="1"/>
        <v>-0.70567407259733783</v>
      </c>
      <c r="J17" s="50"/>
    </row>
    <row r="18" spans="2:10" ht="14.1" customHeight="1">
      <c r="B18" s="125" t="str">
        <f>IF(Indice_index!$Z$1=1,"Transferências correntes","Current transfers")</f>
        <v>Transferências correntes</v>
      </c>
      <c r="C18" s="4">
        <f>SUM(C19:C22)</f>
        <v>1379.9041263300003</v>
      </c>
      <c r="D18" s="4">
        <f>SUM(D19:D22)</f>
        <v>1751.2871660000003</v>
      </c>
      <c r="E18" s="4">
        <f>SUM(E19:E22)</f>
        <v>956.92549958999984</v>
      </c>
      <c r="F18" s="4">
        <f>SUM(F19:F22)</f>
        <v>1161.2721764299999</v>
      </c>
      <c r="G18" s="4">
        <f t="shared" si="0"/>
        <v>66.309637789579938</v>
      </c>
      <c r="H18" s="4">
        <f t="shared" si="2"/>
        <v>21.354502197668847</v>
      </c>
      <c r="I18" s="4">
        <f t="shared" si="1"/>
        <v>1.6405595894956722</v>
      </c>
      <c r="J18" s="50"/>
    </row>
    <row r="19" spans="2:10" ht="14.1" customHeight="1">
      <c r="B19" s="172" t="str">
        <f>IF(Indice_index!$Z$1=1,"Administração Central","Central Administration")</f>
        <v>Administração Central</v>
      </c>
      <c r="C19" s="4">
        <v>1095.5423711200001</v>
      </c>
      <c r="D19" s="4">
        <v>1344.4497140000001</v>
      </c>
      <c r="E19" s="4">
        <v>755.22913573999995</v>
      </c>
      <c r="F19" s="4">
        <v>943.17220811999982</v>
      </c>
      <c r="G19" s="4">
        <f t="shared" si="0"/>
        <v>70.153029771108251</v>
      </c>
      <c r="H19" s="4">
        <f t="shared" si="2"/>
        <v>24.885569621972632</v>
      </c>
      <c r="I19" s="4">
        <f t="shared" si="1"/>
        <v>1.5088662778387458</v>
      </c>
      <c r="J19" s="50"/>
    </row>
    <row r="20" spans="2:10" ht="14.1" customHeight="1">
      <c r="B20" s="172" t="str">
        <f>IF(Indice_index!$Z$1=1,"Outros subsetores das Administrações Públicas","Other General Government subsectors")</f>
        <v>Outros subsetores das Administrações Públicas</v>
      </c>
      <c r="C20" s="4">
        <v>90.353841010000281</v>
      </c>
      <c r="D20" s="4">
        <v>101.25224300000013</v>
      </c>
      <c r="E20" s="4">
        <v>51.89198945999982</v>
      </c>
      <c r="F20" s="4">
        <v>71.84575128000003</v>
      </c>
      <c r="G20" s="4">
        <f t="shared" si="0"/>
        <v>70.957194775428263</v>
      </c>
      <c r="H20" s="4">
        <f t="shared" si="2"/>
        <v>38.452489541533716</v>
      </c>
      <c r="I20" s="4">
        <f t="shared" si="1"/>
        <v>0.16019509495593687</v>
      </c>
      <c r="J20" s="50"/>
    </row>
    <row r="21" spans="2:10" ht="14.1" customHeight="1">
      <c r="B21" s="172" t="str">
        <f>IF(Indice_index!$Z$1=1,"União Europeia","European Union")</f>
        <v>União Europeia</v>
      </c>
      <c r="C21" s="4">
        <v>175.67104641</v>
      </c>
      <c r="D21" s="4">
        <v>285.28143399999999</v>
      </c>
      <c r="E21" s="4">
        <v>139.62514267000003</v>
      </c>
      <c r="F21" s="4">
        <v>132.92189818101721</v>
      </c>
      <c r="G21" s="4">
        <f t="shared" si="0"/>
        <v>46.593252255250938</v>
      </c>
      <c r="H21" s="4">
        <f t="shared" si="2"/>
        <v>-4.8008864025483877</v>
      </c>
      <c r="I21" s="4">
        <f t="shared" si="1"/>
        <v>-5.3815761514660186E-2</v>
      </c>
      <c r="J21" s="50"/>
    </row>
    <row r="22" spans="2:10" ht="14.1" customHeight="1">
      <c r="B22" s="172" t="str">
        <f>IF(Indice_index!$Z$1=1,"Outras transferências","Other transfers")</f>
        <v>Outras transferências</v>
      </c>
      <c r="C22" s="4">
        <v>18.336867789999985</v>
      </c>
      <c r="D22" s="4">
        <v>20.30377500000003</v>
      </c>
      <c r="E22" s="4">
        <v>10.17923171999999</v>
      </c>
      <c r="F22" s="4">
        <v>13.332318848982794</v>
      </c>
      <c r="G22" s="4">
        <f t="shared" si="0"/>
        <v>65.664236571685692</v>
      </c>
      <c r="H22" s="4">
        <f t="shared" si="2"/>
        <v>30.975688693555032</v>
      </c>
      <c r="I22" s="4">
        <f t="shared" si="1"/>
        <v>2.531397821564943E-2</v>
      </c>
      <c r="J22" s="50"/>
    </row>
    <row r="23" spans="2:10" ht="14.1" customHeight="1">
      <c r="B23" s="125" t="str">
        <f>IF(Indice_index!$Z$1=1,"Outras receitas correntes","Other current revenue")</f>
        <v>Outras receitas correntes</v>
      </c>
      <c r="C23" s="4">
        <v>13598.519475289995</v>
      </c>
      <c r="D23" s="4">
        <v>16105.819597999998</v>
      </c>
      <c r="E23" s="4">
        <v>9779.071506940003</v>
      </c>
      <c r="F23" s="4">
        <v>11176.568645549998</v>
      </c>
      <c r="G23" s="4">
        <f t="shared" si="0"/>
        <v>69.394597260594495</v>
      </c>
      <c r="H23" s="4">
        <f t="shared" si="2"/>
        <v>14.29069352461755</v>
      </c>
      <c r="I23" s="4">
        <f t="shared" si="1"/>
        <v>11.219547914813983</v>
      </c>
      <c r="J23" s="50"/>
    </row>
    <row r="24" spans="2:10" ht="14.1" customHeight="1">
      <c r="B24" s="125" t="str">
        <f>IF(Indice_index!$Z$1=1,"Diferenças de consolidação","Consolidation differences")</f>
        <v>Diferenças de consolidação</v>
      </c>
      <c r="C24" s="4">
        <v>12.949061399999882</v>
      </c>
      <c r="D24" s="4">
        <v>1.499999999999968E-2</v>
      </c>
      <c r="E24" s="4">
        <v>20.531360260000017</v>
      </c>
      <c r="F24" s="4">
        <v>20.508698809999963</v>
      </c>
      <c r="G24" s="4"/>
      <c r="H24" s="4"/>
      <c r="I24" s="4"/>
      <c r="J24" s="50"/>
    </row>
    <row r="25" spans="2:10" ht="14.1" customHeight="1">
      <c r="B25" s="174" t="str">
        <f>IF(Indice_index!$Z$1=1,"Receita de capital","Capital revenue")</f>
        <v>Receita de capital</v>
      </c>
      <c r="C25" s="134">
        <f>SUM(C26:C33)-C27</f>
        <v>2023.9979217899997</v>
      </c>
      <c r="D25" s="134">
        <f>SUM(D26:D33)-D27</f>
        <v>3793.4674240000008</v>
      </c>
      <c r="E25" s="134">
        <f>SUM(E26:E33)-E27</f>
        <v>1157.1150625000005</v>
      </c>
      <c r="F25" s="134">
        <f>SUM(F26:F33)-F27</f>
        <v>1414.6247896699999</v>
      </c>
      <c r="G25" s="134">
        <f>IFERROR(IF(F25/D25*100&lt;-500,"-",IF(F25/D25*100&gt;500,"-",F25/D25*100)),"-")</f>
        <v>37.291075197328482</v>
      </c>
      <c r="H25" s="134">
        <f>IF(IFERROR((F25-E25)/E25*100,"")&gt;500,"-",IFERROR((F25-E25)/E25*100,""))</f>
        <v>22.254461592923853</v>
      </c>
      <c r="I25" s="134">
        <f>IFERROR((F25-E25)/$E$34*100,"-")</f>
        <v>2.0673693295630917</v>
      </c>
      <c r="J25" s="57"/>
    </row>
    <row r="26" spans="2:10" ht="14.1" customHeight="1">
      <c r="B26" s="125" t="str">
        <f>IF(Indice_index!$Z$1=1,"Venda de bens de investimento","Sale of investment goods")</f>
        <v>Venda de bens de investimento</v>
      </c>
      <c r="C26" s="4">
        <v>78.332085839999991</v>
      </c>
      <c r="D26" s="4">
        <v>462.378108</v>
      </c>
      <c r="E26" s="4">
        <v>55.325196820000002</v>
      </c>
      <c r="F26" s="4">
        <v>27.222517359999998</v>
      </c>
      <c r="G26" s="4">
        <f t="shared" ref="G26:G32" si="3">IFERROR(IF(F26/D26*100&lt;-500,"-",IF(F26/D26*100&gt;500,"-",F26/D26*100)),"-")</f>
        <v>5.887501352032003</v>
      </c>
      <c r="H26" s="4">
        <f t="shared" si="2"/>
        <v>-50.795444165217887</v>
      </c>
      <c r="I26" s="4">
        <f t="shared" ref="I26:I32" si="4">IFERROR((F26-E26)/$E$34*100,"-")</f>
        <v>-0.22561717661170869</v>
      </c>
      <c r="J26" s="50"/>
    </row>
    <row r="27" spans="2:10" ht="14.1" customHeight="1">
      <c r="B27" s="125" t="str">
        <f>IF(Indice_index!$Z$1=1,"Transferências de capital","Capital transfers")</f>
        <v>Transferências de capital</v>
      </c>
      <c r="C27" s="4">
        <f>SUM(C28:C31)</f>
        <v>1926.7467597699999</v>
      </c>
      <c r="D27" s="4">
        <f>SUM(D28:D31)</f>
        <v>3326.548843</v>
      </c>
      <c r="E27" s="4">
        <f>SUM(E28:E31)</f>
        <v>1086.8474219300001</v>
      </c>
      <c r="F27" s="4">
        <f>SUM(F28:F31)</f>
        <v>1270.16022133</v>
      </c>
      <c r="G27" s="4">
        <f>IFERROR(IF(F27/D27*100&lt;-500,"-",IF(F27/D27*100&gt;500,"-",F27/D27*100)),"-")</f>
        <v>38.182521323947384</v>
      </c>
      <c r="H27" s="4">
        <f>IF(IFERROR((F27-E27)/E27*100,"")&gt;500,"-",IFERROR((F27-E27)/E27*100,""))</f>
        <v>16.866470463211574</v>
      </c>
      <c r="I27" s="4">
        <f>IFERROR((F27-E27)/$E$34*100,"-")</f>
        <v>1.4716929855846743</v>
      </c>
      <c r="J27" s="50"/>
    </row>
    <row r="28" spans="2:10" ht="14.1" customHeight="1">
      <c r="B28" s="172" t="str">
        <f>IF(Indice_index!$Z$1=1,"Administração Central","Central Administration")</f>
        <v>Administração Central</v>
      </c>
      <c r="C28" s="4">
        <v>1171.0546768500001</v>
      </c>
      <c r="D28" s="4">
        <v>2084.21965</v>
      </c>
      <c r="E28" s="4">
        <v>803.30365644999995</v>
      </c>
      <c r="F28" s="4">
        <v>877.64052887999992</v>
      </c>
      <c r="G28" s="4">
        <f>IFERROR(IF(F28/D28*100&lt;-500,"-",IF(F28/D28*100&gt;500,"-",F28/D28*100)),"-")</f>
        <v>42.108830942074647</v>
      </c>
      <c r="H28" s="4">
        <f>IF(IFERROR((F28-E28)/E28*100,"")&gt;500,"-",IFERROR((F28-E28)/E28*100,""))</f>
        <v>9.2538944436669475</v>
      </c>
      <c r="I28" s="4">
        <f>IFERROR((F28-E28)/$E$34*100,"-")</f>
        <v>0.59679986385900863</v>
      </c>
      <c r="J28" s="50"/>
    </row>
    <row r="29" spans="2:10" ht="14.1" customHeight="1">
      <c r="B29" s="172" t="str">
        <f>IF(Indice_index!$Z$1=1,"Outros subsetores das Administrações Públicas","Other General Government subsectors")</f>
        <v>Outros subsetores das Administrações Públicas</v>
      </c>
      <c r="C29" s="4">
        <v>0.28476540000002615</v>
      </c>
      <c r="D29" s="4">
        <v>0.90900000000021919</v>
      </c>
      <c r="E29" s="4">
        <v>0.17002305000004014</v>
      </c>
      <c r="F29" s="4">
        <v>1.0999999999370402E-3</v>
      </c>
      <c r="G29" s="4">
        <f t="shared" si="3"/>
        <v>0.12101210120316556</v>
      </c>
      <c r="H29" s="4">
        <f t="shared" si="2"/>
        <v>-99.353028898177755</v>
      </c>
      <c r="I29" s="4">
        <f t="shared" si="4"/>
        <v>-1.3561675376865204E-3</v>
      </c>
      <c r="J29" s="50"/>
    </row>
    <row r="30" spans="2:10" ht="14.1" customHeight="1">
      <c r="B30" s="172" t="str">
        <f>IF(Indice_index!$Z$1=1,"União Europeia","European Union")</f>
        <v>União Europeia</v>
      </c>
      <c r="C30" s="4">
        <v>616.96646063000003</v>
      </c>
      <c r="D30" s="4">
        <v>1170.9199189999999</v>
      </c>
      <c r="E30" s="4">
        <v>238.37565217999997</v>
      </c>
      <c r="F30" s="4">
        <v>329.93185381000006</v>
      </c>
      <c r="G30" s="4">
        <f t="shared" si="3"/>
        <v>28.177149304264255</v>
      </c>
      <c r="H30" s="4">
        <f t="shared" si="2"/>
        <v>38.408369643752472</v>
      </c>
      <c r="I30" s="4">
        <f t="shared" si="4"/>
        <v>0.73504207107562891</v>
      </c>
      <c r="J30" s="50"/>
    </row>
    <row r="31" spans="2:10" ht="14.1" customHeight="1">
      <c r="B31" s="172" t="str">
        <f>IF(Indice_index!$Z$1=1,"Outras transferências","Other transfers")</f>
        <v>Outras transferências</v>
      </c>
      <c r="C31" s="4">
        <v>138.44085688999985</v>
      </c>
      <c r="D31" s="4">
        <v>70.50027399999999</v>
      </c>
      <c r="E31" s="4">
        <v>44.998090250000018</v>
      </c>
      <c r="F31" s="4">
        <v>62.586738639999965</v>
      </c>
      <c r="G31" s="4">
        <f t="shared" si="3"/>
        <v>88.775170774513541</v>
      </c>
      <c r="H31" s="4">
        <f t="shared" si="2"/>
        <v>39.087544143053805</v>
      </c>
      <c r="I31" s="4">
        <f t="shared" si="4"/>
        <v>0.14120721818772305</v>
      </c>
      <c r="J31" s="50"/>
    </row>
    <row r="32" spans="2:10" ht="14.1" customHeight="1">
      <c r="B32" s="125" t="str">
        <f>IF(Indice_index!$Z$1=1,"Outras receitas de capital","Other capital revenue")</f>
        <v>Outras receitas de capital</v>
      </c>
      <c r="C32" s="4">
        <v>18.693992909999999</v>
      </c>
      <c r="D32" s="4">
        <v>4.5404730000000004</v>
      </c>
      <c r="E32" s="4">
        <v>14.665695739999997</v>
      </c>
      <c r="F32" s="4">
        <v>117.24205098</v>
      </c>
      <c r="G32" s="4" t="str">
        <f t="shared" si="3"/>
        <v>-</v>
      </c>
      <c r="H32" s="4" t="str">
        <f t="shared" si="2"/>
        <v>-</v>
      </c>
      <c r="I32" s="4">
        <f t="shared" si="4"/>
        <v>0.82351534092359635</v>
      </c>
      <c r="J32" s="50"/>
    </row>
    <row r="33" spans="2:10" ht="14.1" customHeight="1">
      <c r="B33" s="125" t="str">
        <f>IF(Indice_index!$Z$1=1,"Diferenças de consolidação","Consolidation differences")</f>
        <v>Diferenças de consolidação</v>
      </c>
      <c r="C33" s="4">
        <v>0.22508326999999997</v>
      </c>
      <c r="D33" s="4">
        <v>0</v>
      </c>
      <c r="E33" s="4">
        <v>0.27674801000000004</v>
      </c>
      <c r="F33" s="4">
        <v>0</v>
      </c>
      <c r="G33" s="4"/>
      <c r="H33" s="4"/>
      <c r="I33" s="4"/>
      <c r="J33" s="50"/>
    </row>
    <row r="34" spans="2:10" ht="14.1" customHeight="1">
      <c r="B34" s="30" t="str">
        <f>IF(Indice_index!$Z$1=1,"Receita efetiva","Effective revenue")</f>
        <v>Receita efetiva</v>
      </c>
      <c r="C34" s="18">
        <f>+C12+C25</f>
        <v>17729.269314569992</v>
      </c>
      <c r="D34" s="18">
        <f>+D12+D25</f>
        <v>22277.684648999999</v>
      </c>
      <c r="E34" s="18">
        <f>+E12+E25</f>
        <v>12455.913101140004</v>
      </c>
      <c r="F34" s="18">
        <f>+F12+F25</f>
        <v>14221.194731009997</v>
      </c>
      <c r="G34" s="18">
        <f>IFERROR(IF(F34/D34*100&lt;-500,"-",IF(F34/D34*100&gt;500,"-",F34/D34*100)),"-")</f>
        <v>63.836053679161665</v>
      </c>
      <c r="H34" s="18">
        <f>IFERROR(IF(E34=0,"-",(F34-E34)/E34*100),"-")</f>
        <v>14.172237840262619</v>
      </c>
      <c r="I34" s="18"/>
      <c r="J34" s="57"/>
    </row>
    <row r="35" spans="2:10" ht="14.1" customHeight="1">
      <c r="B35" s="174" t="str">
        <f>IF(Indice_index!$Z$1=1,"Despesa corrente","Current Expenditure")</f>
        <v>Despesa corrente</v>
      </c>
      <c r="C35" s="134">
        <f>SUM(C36:C49)-C36-C42</f>
        <v>16283.951001599997</v>
      </c>
      <c r="D35" s="134">
        <f>SUM(D36:D49)-D36-D42</f>
        <v>17746.855754</v>
      </c>
      <c r="E35" s="134">
        <f>SUM(E36:E49)-E36-E42</f>
        <v>10476.157515479999</v>
      </c>
      <c r="F35" s="134">
        <f>SUM(F36:F49)-F36-F42</f>
        <v>12220.466940670003</v>
      </c>
      <c r="G35" s="134">
        <f t="shared" ref="G35:G48" si="5">IFERROR(IF(F35/D35*100&lt;-500,"-",IF(F35/D35*100&gt;500,"-",F35/D35*100)),"-")</f>
        <v>68.8598989593726</v>
      </c>
      <c r="H35" s="134">
        <f t="shared" ref="H35:H57" si="6">IF(IFERROR((F35-E35)/E35*100,"")&gt;500,"-",IFERROR((F35-E35)/E35*100,""))</f>
        <v>16.650278717292487</v>
      </c>
      <c r="I35" s="134">
        <f t="shared" ref="I35:I48" si="7">IFERROR((F35-E35)/$E$59*100,"-")</f>
        <v>14.029222048544449</v>
      </c>
      <c r="J35" s="50"/>
    </row>
    <row r="36" spans="2:10" ht="14.1" customHeight="1">
      <c r="B36" s="125" t="str">
        <f>IF(Indice_index!$Z$1=1,"Despesas com o pessoal","Employees")</f>
        <v>Despesas com o pessoal</v>
      </c>
      <c r="C36" s="4">
        <f>SUM(C37:C39)</f>
        <v>7650.1389235300012</v>
      </c>
      <c r="D36" s="4">
        <f>SUM(D37:D39)</f>
        <v>8216.7487560000009</v>
      </c>
      <c r="E36" s="4">
        <f>SUM(E37:E39)</f>
        <v>5455.554801979999</v>
      </c>
      <c r="F36" s="4">
        <f>SUM(F37:F39)</f>
        <v>6164.7069919700007</v>
      </c>
      <c r="G36" s="4">
        <f t="shared" si="5"/>
        <v>75.02611038786398</v>
      </c>
      <c r="H36" s="4">
        <f t="shared" si="6"/>
        <v>12.998718108974494</v>
      </c>
      <c r="I36" s="4">
        <f t="shared" si="7"/>
        <v>5.7036059061009805</v>
      </c>
      <c r="J36" s="50"/>
    </row>
    <row r="37" spans="2:10" ht="14.1" customHeight="1">
      <c r="B37" s="172" t="str">
        <f>IF(Indice_index!$Z$1=1,"Remunerações certas e permanentes","Certain and permanent wages")</f>
        <v>Remunerações certas e permanentes</v>
      </c>
      <c r="C37" s="4">
        <v>5085.8111847200007</v>
      </c>
      <c r="D37" s="4">
        <v>5487.8003840000001</v>
      </c>
      <c r="E37" s="4">
        <v>3632.4402254499992</v>
      </c>
      <c r="F37" s="4">
        <v>4101.7867518900002</v>
      </c>
      <c r="G37" s="4">
        <f t="shared" si="5"/>
        <v>74.743730909910582</v>
      </c>
      <c r="H37" s="4">
        <f t="shared" si="6"/>
        <v>12.920970403080942</v>
      </c>
      <c r="I37" s="4">
        <f t="shared" si="7"/>
        <v>3.7748845142097256</v>
      </c>
      <c r="J37" s="50"/>
    </row>
    <row r="38" spans="2:10" ht="14.1" customHeight="1">
      <c r="B38" s="172" t="str">
        <f>IF(Indice_index!$Z$1=1,"Abonos variáveis ou eventuais","Variable or contingent bonuses")</f>
        <v>Abonos variáveis ou eventuais</v>
      </c>
      <c r="C38" s="4">
        <v>1126.11837373</v>
      </c>
      <c r="D38" s="4">
        <v>1161.6132680000001</v>
      </c>
      <c r="E38" s="4">
        <v>821.17252469000005</v>
      </c>
      <c r="F38" s="4">
        <v>914.78772170000013</v>
      </c>
      <c r="G38" s="4">
        <f t="shared" si="5"/>
        <v>78.751486996617189</v>
      </c>
      <c r="H38" s="4">
        <f t="shared" si="6"/>
        <v>11.400186220957728</v>
      </c>
      <c r="I38" s="4">
        <f t="shared" si="7"/>
        <v>0.75293314764292196</v>
      </c>
      <c r="J38" s="50"/>
    </row>
    <row r="39" spans="2:10" ht="14.1" customHeight="1">
      <c r="B39" s="172" t="str">
        <f>IF(Indice_index!$Z$1=1,"Segurança Social","Social security")</f>
        <v>Segurança Social</v>
      </c>
      <c r="C39" s="4">
        <v>1438.2093650800005</v>
      </c>
      <c r="D39" s="4">
        <v>1567.335104</v>
      </c>
      <c r="E39" s="4">
        <v>1001.9420518399997</v>
      </c>
      <c r="F39" s="4">
        <v>1148.1325183800002</v>
      </c>
      <c r="G39" s="4">
        <f t="shared" si="5"/>
        <v>73.253799742623528</v>
      </c>
      <c r="H39" s="4">
        <f t="shared" si="6"/>
        <v>14.590710737365638</v>
      </c>
      <c r="I39" s="4">
        <f t="shared" si="7"/>
        <v>1.1757882442483329</v>
      </c>
      <c r="J39" s="50"/>
    </row>
    <row r="40" spans="2:10" ht="14.1" customHeight="1">
      <c r="B40" s="125" t="str">
        <f>IF(Indice_index!$Z$1=1,"Aquisição de bens e serviços","Purchase of goods and services")</f>
        <v>Aquisição de bens e serviços</v>
      </c>
      <c r="C40" s="4">
        <v>8003.3961069199986</v>
      </c>
      <c r="D40" s="4">
        <v>8865.0997850000003</v>
      </c>
      <c r="E40" s="4">
        <v>4709.1838095899993</v>
      </c>
      <c r="F40" s="4">
        <v>5801.2922019100006</v>
      </c>
      <c r="G40" s="4">
        <f t="shared" si="5"/>
        <v>65.439671775899825</v>
      </c>
      <c r="H40" s="4">
        <f t="shared" si="6"/>
        <v>23.191033446092746</v>
      </c>
      <c r="I40" s="4">
        <f t="shared" si="7"/>
        <v>8.7836658540483779</v>
      </c>
      <c r="J40" s="50"/>
    </row>
    <row r="41" spans="2:10" ht="14.1" customHeight="1">
      <c r="B41" s="125" t="str">
        <f>IF(Indice_index!$Z$1=1,"Juros e outros encargos","Interests")</f>
        <v>Juros e outros encargos</v>
      </c>
      <c r="C41" s="4">
        <v>212.29954878000001</v>
      </c>
      <c r="D41" s="4">
        <v>149.92348000000001</v>
      </c>
      <c r="E41" s="4">
        <v>94.33154721999999</v>
      </c>
      <c r="F41" s="4">
        <v>51.116629830000001</v>
      </c>
      <c r="G41" s="4">
        <f t="shared" si="5"/>
        <v>34.095146290627724</v>
      </c>
      <c r="H41" s="4">
        <f t="shared" si="6"/>
        <v>-45.811733893449428</v>
      </c>
      <c r="I41" s="4">
        <f t="shared" si="7"/>
        <v>-0.34757117236110496</v>
      </c>
      <c r="J41" s="50"/>
    </row>
    <row r="42" spans="2:10" ht="14.1" customHeight="1">
      <c r="B42" s="125" t="str">
        <f>IF(Indice_index!$Z$1=1,"Transferências correntes","Current transfers")</f>
        <v>Transferências correntes</v>
      </c>
      <c r="C42" s="4">
        <f>SUM(C43:C46)</f>
        <v>70.301309139999987</v>
      </c>
      <c r="D42" s="4">
        <f>SUM(D43:D46)</f>
        <v>77.832114000000004</v>
      </c>
      <c r="E42" s="4">
        <f>SUM(E43:E46)</f>
        <v>48.123670440000026</v>
      </c>
      <c r="F42" s="4">
        <f>SUM(F43:F46)</f>
        <v>51.890523989999991</v>
      </c>
      <c r="G42" s="4">
        <f t="shared" si="5"/>
        <v>66.66981188510438</v>
      </c>
      <c r="H42" s="4">
        <f t="shared" si="6"/>
        <v>7.8274444063788309</v>
      </c>
      <c r="I42" s="4">
        <f t="shared" si="7"/>
        <v>3.0296244527567712E-2</v>
      </c>
      <c r="J42" s="50"/>
    </row>
    <row r="43" spans="2:10" ht="14.1" customHeight="1">
      <c r="B43" s="172" t="str">
        <f>IF(Indice_index!$Z$1=1,"Administração Central","Central Administration")</f>
        <v>Administração Central</v>
      </c>
      <c r="C43" s="4">
        <v>3.0534874099999998</v>
      </c>
      <c r="D43" s="4">
        <v>1.3981149999999998</v>
      </c>
      <c r="E43" s="4">
        <v>1.8831763899999998</v>
      </c>
      <c r="F43" s="4">
        <v>1.0763728599999998</v>
      </c>
      <c r="G43" s="4">
        <f t="shared" si="5"/>
        <v>76.987433794787975</v>
      </c>
      <c r="H43" s="4">
        <f t="shared" si="6"/>
        <v>-42.842695686090252</v>
      </c>
      <c r="I43" s="4">
        <f t="shared" si="7"/>
        <v>-6.4890011533857064E-3</v>
      </c>
      <c r="J43" s="50"/>
    </row>
    <row r="44" spans="2:10" ht="14.1" customHeight="1">
      <c r="B44" s="172" t="str">
        <f>IF(Indice_index!$Z$1=1,"Outros subsetores das Administrações Públicas","Other General Government subsectors")</f>
        <v>Outros subsetores das Administrações Públicas</v>
      </c>
      <c r="C44" s="4">
        <v>0.1138606499999999</v>
      </c>
      <c r="D44" s="4">
        <v>3.6767999999999912E-2</v>
      </c>
      <c r="E44" s="4">
        <v>0.2067761699999997</v>
      </c>
      <c r="F44" s="4">
        <v>0.56053392000000013</v>
      </c>
      <c r="G44" s="4" t="str">
        <f t="shared" si="5"/>
        <v>-</v>
      </c>
      <c r="H44" s="4">
        <f t="shared" si="6"/>
        <v>171.08245597159524</v>
      </c>
      <c r="I44" s="4">
        <f t="shared" si="7"/>
        <v>2.8452211256055544E-3</v>
      </c>
      <c r="J44" s="50"/>
    </row>
    <row r="45" spans="2:10" ht="14.1" customHeight="1">
      <c r="B45" s="172" t="str">
        <f>IF(Indice_index!$Z$1=1,"União Europeia","European Union")</f>
        <v>União Europeia</v>
      </c>
      <c r="C45" s="4">
        <v>4.0636322999999992</v>
      </c>
      <c r="D45" s="4">
        <v>2.2775650000000001</v>
      </c>
      <c r="E45" s="4">
        <v>1.9438522199999999</v>
      </c>
      <c r="F45" s="4">
        <v>2.9299563500000003</v>
      </c>
      <c r="G45" s="4">
        <f t="shared" si="5"/>
        <v>128.64424725529238</v>
      </c>
      <c r="H45" s="4">
        <f t="shared" si="6"/>
        <v>50.72937746265508</v>
      </c>
      <c r="I45" s="4">
        <f t="shared" si="7"/>
        <v>7.9310892912533605E-3</v>
      </c>
      <c r="J45" s="50"/>
    </row>
    <row r="46" spans="2:10" ht="14.1" customHeight="1">
      <c r="B46" s="172" t="str">
        <f>IF(Indice_index!$Z$1=1,"Outras transferências","Other transfers")</f>
        <v>Outras transferências</v>
      </c>
      <c r="C46" s="4">
        <v>63.07032877999999</v>
      </c>
      <c r="D46" s="4">
        <v>74.119666000000009</v>
      </c>
      <c r="E46" s="4">
        <v>44.089865660000029</v>
      </c>
      <c r="F46" s="4">
        <v>47.32366085999999</v>
      </c>
      <c r="G46" s="4">
        <f t="shared" si="5"/>
        <v>63.847644510432609</v>
      </c>
      <c r="H46" s="4">
        <f t="shared" si="6"/>
        <v>7.3345544414615436</v>
      </c>
      <c r="I46" s="4">
        <f t="shared" si="7"/>
        <v>2.6008935264094469E-2</v>
      </c>
      <c r="J46" s="50"/>
    </row>
    <row r="47" spans="2:10" ht="14.1" customHeight="1">
      <c r="B47" s="125" t="str">
        <f>IF(Indice_index!$Z$1=1,"Subsídios","Subsidies")</f>
        <v>Subsídios</v>
      </c>
      <c r="C47" s="4">
        <v>63.420847200000004</v>
      </c>
      <c r="D47" s="4">
        <v>76.80753</v>
      </c>
      <c r="E47" s="4">
        <v>27.649272100000001</v>
      </c>
      <c r="F47" s="4">
        <v>52.536724</v>
      </c>
      <c r="G47" s="4">
        <f t="shared" si="5"/>
        <v>68.40048625440761</v>
      </c>
      <c r="H47" s="4">
        <f t="shared" si="6"/>
        <v>90.011237221684397</v>
      </c>
      <c r="I47" s="4">
        <f t="shared" si="7"/>
        <v>0.20016608514830278</v>
      </c>
      <c r="J47" s="50"/>
    </row>
    <row r="48" spans="2:10" ht="14.1" customHeight="1">
      <c r="B48" s="125" t="str">
        <f>IF(Indice_index!$Z$1=1,"Outras despesas correntes","Other current expenditure")</f>
        <v>Outras despesas correntes</v>
      </c>
      <c r="C48" s="4">
        <v>284.39426603000004</v>
      </c>
      <c r="D48" s="4">
        <v>360.44408900000002</v>
      </c>
      <c r="E48" s="4">
        <v>141.31441414999995</v>
      </c>
      <c r="F48" s="4">
        <v>98.923868970000029</v>
      </c>
      <c r="G48" s="4">
        <f t="shared" si="5"/>
        <v>27.444996877171711</v>
      </c>
      <c r="H48" s="4">
        <f t="shared" si="6"/>
        <v>-29.997325775277211</v>
      </c>
      <c r="I48" s="4">
        <f t="shared" si="7"/>
        <v>-0.340940868919684</v>
      </c>
      <c r="J48" s="57"/>
    </row>
    <row r="49" spans="2:10" ht="14.1" customHeight="1">
      <c r="B49" s="125" t="str">
        <f>IF(Indice_index!$Z$1=1,"Diferenças de consolidação","Consolidation differences")</f>
        <v>Diferenças de consolidação</v>
      </c>
      <c r="C49" s="4">
        <v>0</v>
      </c>
      <c r="D49" s="4">
        <v>0</v>
      </c>
      <c r="E49" s="4">
        <v>0</v>
      </c>
      <c r="F49" s="4">
        <v>0</v>
      </c>
      <c r="G49" s="4"/>
      <c r="H49" s="4"/>
      <c r="I49" s="4"/>
      <c r="J49" s="50"/>
    </row>
    <row r="50" spans="2:10" ht="14.1" customHeight="1">
      <c r="B50" s="174" t="str">
        <f>IF(Indice_index!$Z$1=1,"Despesa de capital","Capital expenditure")</f>
        <v>Despesa de capital</v>
      </c>
      <c r="C50" s="134">
        <f>SUM(C51:C58)-C52</f>
        <v>3023.6927962800009</v>
      </c>
      <c r="D50" s="134">
        <f>SUM(D51:D58)-D52</f>
        <v>5259.2271979999996</v>
      </c>
      <c r="E50" s="134">
        <f>SUM(E51:E58)-E52</f>
        <v>1957.2434183300004</v>
      </c>
      <c r="F50" s="134">
        <f>SUM(F51:F58)-F52</f>
        <v>1924.1994798000001</v>
      </c>
      <c r="G50" s="134">
        <f t="shared" ref="G50:G57" si="8">IFERROR(IF(F50/D50*100&lt;-500,"-",IF(F50/D50*100&gt;500,"-",F50/D50*100)),"-")</f>
        <v>36.587114558042721</v>
      </c>
      <c r="H50" s="134">
        <f t="shared" si="6"/>
        <v>-1.6882896741681097</v>
      </c>
      <c r="I50" s="134">
        <f t="shared" ref="I50:I57" si="9">IFERROR((F50-E50)/$E$59*100,"-")</f>
        <v>-0.26576749761317792</v>
      </c>
      <c r="J50" s="50"/>
    </row>
    <row r="51" spans="2:10" ht="14.1" customHeight="1">
      <c r="B51" s="125" t="str">
        <f>IF(Indice_index!$Z$1=1,"Investimento","Investment")</f>
        <v>Investimento</v>
      </c>
      <c r="C51" s="4">
        <v>2952.7401478000006</v>
      </c>
      <c r="D51" s="4">
        <v>5113.9629809999997</v>
      </c>
      <c r="E51" s="4">
        <v>1900.7682443400004</v>
      </c>
      <c r="F51" s="4">
        <v>1874.8647889900003</v>
      </c>
      <c r="G51" s="4">
        <f t="shared" si="8"/>
        <v>36.661680891232884</v>
      </c>
      <c r="H51" s="4">
        <f t="shared" si="6"/>
        <v>-1.3627887264601508</v>
      </c>
      <c r="I51" s="4">
        <f t="shared" si="9"/>
        <v>-0.20833765023663878</v>
      </c>
      <c r="J51" s="50"/>
    </row>
    <row r="52" spans="2:10" ht="14.1" customHeight="1">
      <c r="B52" s="125" t="str">
        <f>IF(Indice_index!$Z$1=1,"Transferências de capital","Capital transfers")</f>
        <v>Transferências de capital</v>
      </c>
      <c r="C52" s="4">
        <f>SUM(C53:C56)</f>
        <v>65.840648819999998</v>
      </c>
      <c r="D52" s="4">
        <f>SUM(D53:D56)</f>
        <v>133.96786599999999</v>
      </c>
      <c r="E52" s="4">
        <f>SUM(E53:E56)</f>
        <v>51.366912210000002</v>
      </c>
      <c r="F52" s="4">
        <f>SUM(F53:F56)</f>
        <v>48.577045410000004</v>
      </c>
      <c r="G52" s="4">
        <f t="shared" si="8"/>
        <v>36.26022184305004</v>
      </c>
      <c r="H52" s="4">
        <f t="shared" si="6"/>
        <v>-5.4312526877114351</v>
      </c>
      <c r="I52" s="4">
        <f t="shared" si="9"/>
        <v>-2.2438484971666495E-2</v>
      </c>
      <c r="J52" s="50"/>
    </row>
    <row r="53" spans="2:10" ht="14.1" customHeight="1">
      <c r="B53" s="172" t="str">
        <f>IF(Indice_index!$Z$1=1,"Administração Central","Central Administration")</f>
        <v>Administração Central</v>
      </c>
      <c r="C53" s="4">
        <v>0.60865527999999991</v>
      </c>
      <c r="D53" s="4">
        <v>0.42316100000000006</v>
      </c>
      <c r="E53" s="4">
        <v>0.32303137999999998</v>
      </c>
      <c r="F53" s="4">
        <v>0.73371290999999994</v>
      </c>
      <c r="G53" s="4">
        <f t="shared" si="8"/>
        <v>173.38859441205591</v>
      </c>
      <c r="H53" s="4">
        <f t="shared" si="6"/>
        <v>127.13363327117013</v>
      </c>
      <c r="I53" s="4">
        <f t="shared" si="9"/>
        <v>3.3030506470939787E-3</v>
      </c>
      <c r="J53" s="50"/>
    </row>
    <row r="54" spans="2:10" ht="14.1" customHeight="1">
      <c r="B54" s="172"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0"/>
    </row>
    <row r="55" spans="2:10" ht="14.1" customHeight="1">
      <c r="B55" s="172" t="str">
        <f>IF(Indice_index!$Z$1=1,"União Europeia","European Union")</f>
        <v>União Europeia</v>
      </c>
      <c r="C55" s="4">
        <v>12.335237269999999</v>
      </c>
      <c r="D55" s="4">
        <v>1.7193229999999999</v>
      </c>
      <c r="E55" s="4">
        <v>12.331237269999999</v>
      </c>
      <c r="F55" s="4">
        <v>5.1990019999999998E-2</v>
      </c>
      <c r="G55" s="4">
        <f t="shared" si="8"/>
        <v>3.0238657890344047</v>
      </c>
      <c r="H55" s="4">
        <f t="shared" si="6"/>
        <v>-99.578387643821571</v>
      </c>
      <c r="I55" s="4">
        <f t="shared" si="9"/>
        <v>-9.8760164780089962E-2</v>
      </c>
      <c r="J55" s="50"/>
    </row>
    <row r="56" spans="2:10" ht="14.1" customHeight="1">
      <c r="B56" s="172" t="str">
        <f>IF(Indice_index!$Z$1=1,"Outras transferências","Other transfers")</f>
        <v>Outras transferências</v>
      </c>
      <c r="C56" s="4">
        <v>52.896756270000004</v>
      </c>
      <c r="D56" s="4">
        <v>131.725382</v>
      </c>
      <c r="E56" s="4">
        <v>38.712643560000004</v>
      </c>
      <c r="F56" s="4">
        <v>47.791342480000004</v>
      </c>
      <c r="G56" s="4">
        <f t="shared" si="8"/>
        <v>36.281042995950472</v>
      </c>
      <c r="H56" s="4">
        <f t="shared" si="6"/>
        <v>23.45150856445413</v>
      </c>
      <c r="I56" s="4">
        <f t="shared" si="9"/>
        <v>7.3018629161329479E-2</v>
      </c>
      <c r="J56" s="50"/>
    </row>
    <row r="57" spans="2:10" ht="15">
      <c r="B57" s="125" t="str">
        <f>IF(Indice_index!$Z$1=1,"Outras despesas de capital","Other capital expenditure")</f>
        <v>Outras despesas de capital</v>
      </c>
      <c r="C57" s="4">
        <v>5.1119996600000004</v>
      </c>
      <c r="D57" s="4">
        <v>11.249406</v>
      </c>
      <c r="E57" s="4">
        <v>5.1082617800000003</v>
      </c>
      <c r="F57" s="4">
        <v>0.62781849999999995</v>
      </c>
      <c r="G57" s="4">
        <f t="shared" si="8"/>
        <v>5.5809035605968882</v>
      </c>
      <c r="H57" s="4">
        <f t="shared" si="6"/>
        <v>-87.709743019473834</v>
      </c>
      <c r="I57" s="4">
        <f t="shared" si="9"/>
        <v>-3.6035540909940288E-2</v>
      </c>
      <c r="J57" s="57"/>
    </row>
    <row r="58" spans="2:10" ht="14.1" customHeight="1">
      <c r="B58" s="125" t="str">
        <f>IF(Indice_index!$Z$1=1,"Diferenças de consolidação","Consolidation differences")</f>
        <v>Diferenças de consolidação</v>
      </c>
      <c r="C58" s="4">
        <v>0</v>
      </c>
      <c r="D58" s="4">
        <v>4.6944999999999959E-2</v>
      </c>
      <c r="E58" s="4">
        <v>0</v>
      </c>
      <c r="F58" s="4">
        <v>0.1298269</v>
      </c>
      <c r="G58" s="4"/>
      <c r="H58" s="4"/>
      <c r="I58" s="4"/>
      <c r="J58" s="57"/>
    </row>
    <row r="59" spans="2:10" ht="14.1" customHeight="1">
      <c r="B59" s="30" t="str">
        <f>IF(Indice_index!$Z$1=1,"Despesa efetiva","Effective Expenditure")</f>
        <v>Despesa efetiva</v>
      </c>
      <c r="C59" s="18">
        <f>+C35+C50</f>
        <v>19307.643797879999</v>
      </c>
      <c r="D59" s="18">
        <f>+D35+D50</f>
        <v>23006.082952000001</v>
      </c>
      <c r="E59" s="18">
        <f>+E35+E50</f>
        <v>12433.40093381</v>
      </c>
      <c r="F59" s="18">
        <f>+F35+F50</f>
        <v>14144.666420470003</v>
      </c>
      <c r="G59" s="18">
        <f>IFERROR(IF(F59/D59*100&lt;-500,"-",IF(F59/D59*100&gt;500,"-",F59/D59*100)),"-")</f>
        <v>61.482289053645076</v>
      </c>
      <c r="H59" s="18">
        <f>IF(E59=0,"-",(F59-E59)/E59*100)</f>
        <v>13.763454550931261</v>
      </c>
      <c r="I59" s="18"/>
      <c r="J59" s="50"/>
    </row>
    <row r="60" spans="2:10" ht="14.1" customHeight="1">
      <c r="B60" s="30" t="str">
        <f>IF(Indice_index!$Z$1=1,"Saldo global","Overall Balance")</f>
        <v>Saldo global</v>
      </c>
      <c r="C60" s="18">
        <f>+(C12+C25)-(C35+C50)</f>
        <v>-1578.3744833100063</v>
      </c>
      <c r="D60" s="18">
        <f>+(D12+D25)-(D35+D50)</f>
        <v>-728.39830300000176</v>
      </c>
      <c r="E60" s="18">
        <f>+(E12+E25)-(E35+E50)</f>
        <v>22.512167330003649</v>
      </c>
      <c r="F60" s="18">
        <f>+(F12+F25)-(F35+F50)</f>
        <v>76.528310539993981</v>
      </c>
      <c r="G60" s="18"/>
      <c r="H60" s="18"/>
      <c r="I60" s="18"/>
      <c r="J60" s="50"/>
    </row>
    <row r="61" spans="2:10" ht="14.1" customHeight="1">
      <c r="B61" s="125" t="str">
        <f>IF(Indice_index!$Z$1=1,"Despesa primária","Primary Expenditure")</f>
        <v>Despesa primária</v>
      </c>
      <c r="C61" s="4">
        <f>C59-C41</f>
        <v>19095.344249099999</v>
      </c>
      <c r="D61" s="4">
        <f>D59-D41</f>
        <v>22856.159471999999</v>
      </c>
      <c r="E61" s="4">
        <f>E59-E41</f>
        <v>12339.069386590001</v>
      </c>
      <c r="F61" s="4">
        <f>F59-F41</f>
        <v>14093.549790640003</v>
      </c>
      <c r="G61" s="4">
        <f>IFERROR(IF(F61/D61*100&lt;-500,"-",IF(F61/D61*100&gt;500,"-",F61/D61*100)),"-")</f>
        <v>61.6619332215692</v>
      </c>
      <c r="H61" s="4">
        <f>IF(E61=0,"-",(F61-E61)/E61*100)</f>
        <v>14.218903785051706</v>
      </c>
      <c r="I61" s="4"/>
      <c r="J61" s="210"/>
    </row>
    <row r="62" spans="2:10" ht="14.1" customHeight="1">
      <c r="B62" s="125" t="str">
        <f>IF(Indice_index!$Z$1=1,"Saldo corrente","Current balance")</f>
        <v>Saldo corrente</v>
      </c>
      <c r="C62" s="4">
        <f>+C12-C35</f>
        <v>-578.67960882000261</v>
      </c>
      <c r="D62" s="4">
        <f>+D12-D35</f>
        <v>737.36147099999653</v>
      </c>
      <c r="E62" s="4">
        <f>+E12-E35</f>
        <v>822.6405231600038</v>
      </c>
      <c r="F62" s="4">
        <f>+F12-F35</f>
        <v>586.10300066999298</v>
      </c>
      <c r="G62" s="4"/>
      <c r="H62" s="4"/>
      <c r="I62" s="4"/>
      <c r="J62" s="50"/>
    </row>
    <row r="63" spans="2:10" ht="14.1" customHeight="1">
      <c r="B63" s="125" t="str">
        <f>IF(Indice_index!$Z$1=1,"Saldo de capital","Capital balance")</f>
        <v>Saldo de capital</v>
      </c>
      <c r="C63" s="4">
        <f>C25-C50</f>
        <v>-999.69487449000121</v>
      </c>
      <c r="D63" s="4">
        <f>D25-D50</f>
        <v>-1465.7597739999987</v>
      </c>
      <c r="E63" s="4">
        <f>E25-E50</f>
        <v>-800.12835582999992</v>
      </c>
      <c r="F63" s="4">
        <f>F25-F50</f>
        <v>-509.57469013000014</v>
      </c>
      <c r="G63" s="4"/>
      <c r="H63" s="4"/>
      <c r="I63" s="4"/>
      <c r="J63" s="50"/>
    </row>
    <row r="64" spans="2:10" ht="14.1" customHeight="1">
      <c r="B64" s="125" t="str">
        <f>IF(Indice_index!$Z$1=1,"Saldo primário","Primary balance")</f>
        <v>Saldo primário</v>
      </c>
      <c r="C64" s="4">
        <f>C60+C41</f>
        <v>-1366.0749345300064</v>
      </c>
      <c r="D64" s="4">
        <f>D60+D41</f>
        <v>-578.47482300000172</v>
      </c>
      <c r="E64" s="4">
        <f>E60+E41</f>
        <v>116.84371455000364</v>
      </c>
      <c r="F64" s="4">
        <f>F60+F41</f>
        <v>127.64494036999398</v>
      </c>
      <c r="G64" s="4"/>
      <c r="H64" s="4"/>
      <c r="I64" s="4"/>
      <c r="J64" s="50"/>
    </row>
    <row r="65" spans="2:10" ht="14.1" customHeight="1">
      <c r="B65" s="125" t="str">
        <f>IF(Indice_index!$Z$1=1,"Ativos financeiros líquidos de reembolsos","Financial assets net of reimbursements")</f>
        <v>Ativos financeiros líquidos de reembolsos</v>
      </c>
      <c r="C65" s="4">
        <v>507.88613789999999</v>
      </c>
      <c r="D65" s="4">
        <v>862.50967200000014</v>
      </c>
      <c r="E65" s="314">
        <v>-454.82726625999931</v>
      </c>
      <c r="F65" s="314">
        <v>-903.83756497000013</v>
      </c>
      <c r="G65" s="4"/>
      <c r="H65" s="4"/>
      <c r="I65" s="4"/>
      <c r="J65" s="51"/>
    </row>
    <row r="66" spans="2:10" ht="14.1" customHeight="1">
      <c r="B66" s="287" t="str">
        <f>IF(Indice_index!$Z$1=1,"dos quais Receitas de:","of which revenue from:")</f>
        <v>dos quais Receitas de:</v>
      </c>
      <c r="C66" s="4"/>
      <c r="D66" s="4"/>
      <c r="E66" s="4"/>
      <c r="F66" s="4"/>
      <c r="G66" s="4"/>
      <c r="H66" s="4"/>
      <c r="I66" s="4"/>
      <c r="J66" s="28"/>
    </row>
    <row r="67" spans="2:10" ht="15">
      <c r="B67" s="307" t="str">
        <f>IF(Indice_index!$Z$1=1,"Alienação de partes de Capital","Disposal of Capital Shares")</f>
        <v>Alienação de partes de Capital</v>
      </c>
      <c r="C67" s="4"/>
      <c r="D67" s="4"/>
      <c r="E67" s="4"/>
      <c r="F67" s="4"/>
      <c r="G67" s="4"/>
      <c r="H67" s="4" t="str">
        <f>IF(IFERROR((F67-E67)/E67*100,"")&gt;500,"-",IFERROR((F67-E67)/E67*100,""))</f>
        <v>-</v>
      </c>
      <c r="I67" s="4"/>
      <c r="J67" s="51"/>
    </row>
    <row r="68" spans="2:10" ht="14.1" customHeight="1">
      <c r="B68" s="307" t="str">
        <f>IF(Indice_index!$Z$1=1,"Outros Ativos","Other Assets")</f>
        <v>Outros Ativos</v>
      </c>
      <c r="C68" s="4">
        <v>4992.3908381399997</v>
      </c>
      <c r="D68" s="4">
        <v>10385.595587</v>
      </c>
      <c r="E68" s="4">
        <v>3917.0816624399995</v>
      </c>
      <c r="F68" s="4">
        <v>4270.7593241100003</v>
      </c>
      <c r="G68" s="4"/>
      <c r="H68" s="4">
        <f>IF(IFERROR((F68-E68)/E68*100,"")&gt;500,"-",IFERROR((F68-E68)/E68*100,""))</f>
        <v>9.0291112656990293</v>
      </c>
      <c r="I68" s="4"/>
      <c r="J68" s="50"/>
    </row>
    <row r="69" spans="2:10" ht="14.1" customHeight="1">
      <c r="B69" s="125" t="str">
        <f>IF(Indice_index!$Z$1=1,"Passivos financeiros líquidos de amortizações","Financial liabilities net of amortizations")</f>
        <v>Passivos financeiros líquidos de amortizações</v>
      </c>
      <c r="C69" s="4">
        <v>2489.7090243500002</v>
      </c>
      <c r="D69" s="4">
        <v>1837.8950749999999</v>
      </c>
      <c r="E69" s="4">
        <v>1124.0878235299997</v>
      </c>
      <c r="F69" s="4">
        <v>1223.0706035499998</v>
      </c>
      <c r="G69" s="4"/>
      <c r="H69" s="4"/>
      <c r="I69" s="4"/>
      <c r="J69" s="58"/>
    </row>
    <row r="70" spans="2:10" ht="14.1" customHeight="1">
      <c r="B70" s="173" t="str">
        <f>IF(Indice_index!$Z$1=1,"Poupança (+) / Utilização (-) de saldo da gerência anterior","Saving (+) / Usage (-) of balance from previous management")</f>
        <v>Poupança (+) / Utilização (-) de saldo da gerência anterior</v>
      </c>
      <c r="C70" s="19">
        <f>C60-C65+C69</f>
        <v>403.44840313999384</v>
      </c>
      <c r="D70" s="19">
        <f>D60-D65+D69</f>
        <v>246.98709999999801</v>
      </c>
      <c r="E70" s="19">
        <f>E60-E65+E69</f>
        <v>1601.4272571200027</v>
      </c>
      <c r="F70" s="19">
        <f>F60-F65+F69</f>
        <v>2203.4364790599939</v>
      </c>
      <c r="G70" s="19"/>
      <c r="H70" s="19"/>
      <c r="I70" s="19"/>
      <c r="J70" s="50"/>
    </row>
    <row r="71" spans="2:10" ht="15">
      <c r="B71" s="9" t="str">
        <f>IF(Indice_index!$Z$1=1,"Notas:","Notes:")</f>
        <v>Notas:</v>
      </c>
      <c r="C71" s="9"/>
      <c r="D71" s="9"/>
      <c r="E71" s="9"/>
      <c r="F71" s="9"/>
      <c r="G71" s="9"/>
      <c r="H71" s="9"/>
      <c r="I71" s="9"/>
      <c r="J71" s="50"/>
    </row>
    <row r="72" spans="2:10" ht="15">
      <c r="B72" s="392" t="str">
        <f>+'3 - Conta AC + SS'!$B$61</f>
        <v>Os dados de 2024 são mensalmente revistos e atualizados face ao publicado nas Sínteses de Execução Orçamental de 2024.</v>
      </c>
      <c r="C72" s="392"/>
      <c r="D72" s="392"/>
      <c r="E72" s="392"/>
      <c r="F72" s="392"/>
      <c r="G72" s="392"/>
      <c r="H72" s="392"/>
      <c r="I72" s="392"/>
      <c r="J72" s="28"/>
    </row>
    <row r="73" spans="2:10" ht="15">
      <c r="B73" s="396" t="str">
        <f>IF(Indice_index!$Z$1=1,"Entidades em incumprimento no reporte da execução orçamental no mês em análise:","Non reporting entities are identified below ")</f>
        <v>Entidades em incumprimento no reporte da execução orçamental no mês em análise:</v>
      </c>
      <c r="C73" s="396"/>
      <c r="D73" s="396"/>
      <c r="E73" s="396"/>
      <c r="F73" s="396"/>
      <c r="G73" s="396"/>
      <c r="H73" s="396"/>
      <c r="I73" s="396"/>
      <c r="J73" s="50"/>
    </row>
    <row r="74" spans="2:10" ht="15">
      <c r="B74" s="261" t="s">
        <v>417</v>
      </c>
      <c r="C74" s="262"/>
      <c r="D74" s="262"/>
      <c r="E74" s="263"/>
      <c r="F74" s="263"/>
      <c r="G74" s="263"/>
      <c r="H74" s="263"/>
      <c r="I74" s="263"/>
      <c r="J74" s="50"/>
    </row>
    <row r="75" spans="2:10" ht="24.75" customHeight="1">
      <c r="B75" s="400" t="s">
        <v>474</v>
      </c>
      <c r="C75" s="400"/>
      <c r="D75" s="400"/>
      <c r="E75" s="400"/>
      <c r="F75" s="400"/>
      <c r="G75" s="400"/>
      <c r="H75" s="400"/>
      <c r="I75" s="400"/>
      <c r="J75" s="211"/>
    </row>
    <row r="76" spans="2:10" ht="24.75" customHeight="1">
      <c r="B76" s="404"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404"/>
      <c r="D76" s="404"/>
      <c r="E76" s="404"/>
      <c r="F76" s="404"/>
      <c r="G76" s="404"/>
      <c r="H76" s="404"/>
      <c r="I76" s="404"/>
      <c r="J76" s="50"/>
    </row>
    <row r="77" spans="2:10" ht="15">
      <c r="B77" s="404" t="str">
        <f>IF(Indice_index!$Z$1=1,B84,B85)</f>
        <v>Esta estimativa apenas é utilizada para os meses em que haja falta de reporte. Nos restantes meses, é utilizada a informação efetivamente reportada pelas entidades.</v>
      </c>
      <c r="C77" s="404"/>
      <c r="D77" s="404"/>
      <c r="E77" s="404"/>
      <c r="F77" s="404"/>
      <c r="G77" s="404"/>
      <c r="H77" s="404"/>
      <c r="I77" s="404"/>
      <c r="J77" s="50"/>
    </row>
    <row r="78" spans="2:10" ht="15">
      <c r="B78" s="147" t="str">
        <f>IF(Indice_index!$Z$1=1,"Fonte: Entidade Orçamental.","Source: Budgetary Entity.")</f>
        <v>Fonte: Entidade Orçamental.</v>
      </c>
      <c r="C78" s="147"/>
      <c r="D78" s="147"/>
      <c r="E78" s="50"/>
      <c r="F78" s="50"/>
      <c r="J78" s="66"/>
    </row>
    <row r="79" spans="2:10" ht="14.85" customHeight="1"/>
    <row r="81" spans="2:9" s="192" customFormat="1" ht="15" hidden="1">
      <c r="B81" s="402" t="s">
        <v>416</v>
      </c>
      <c r="C81" s="403"/>
      <c r="D81" s="403"/>
      <c r="E81" s="403"/>
      <c r="F81" s="403"/>
      <c r="G81" s="403"/>
      <c r="H81" s="70"/>
      <c r="I81" s="70"/>
    </row>
    <row r="82" spans="2:9" s="192" customFormat="1" ht="15" hidden="1">
      <c r="B82" s="397" t="s">
        <v>415</v>
      </c>
      <c r="C82" s="397"/>
      <c r="D82" s="397"/>
      <c r="E82" s="397"/>
      <c r="F82" s="397"/>
      <c r="G82" s="397"/>
      <c r="H82" s="70"/>
      <c r="I82" s="70"/>
    </row>
    <row r="83" spans="2:9" s="192" customFormat="1" ht="15" hidden="1">
      <c r="B83" s="397"/>
      <c r="C83" s="397"/>
      <c r="D83" s="397"/>
      <c r="E83" s="397"/>
      <c r="F83" s="397"/>
      <c r="G83" s="397"/>
      <c r="H83" s="397"/>
      <c r="I83" s="397"/>
    </row>
    <row r="84" spans="2:9" s="192" customFormat="1" ht="15" hidden="1">
      <c r="B84" s="397" t="s">
        <v>9</v>
      </c>
      <c r="C84" s="397"/>
      <c r="D84" s="397"/>
      <c r="E84" s="397"/>
      <c r="F84" s="397"/>
      <c r="G84" s="397"/>
      <c r="H84" s="397"/>
      <c r="I84" s="397"/>
    </row>
    <row r="85" spans="2:9" s="192" customFormat="1" ht="15" hidden="1">
      <c r="B85" s="397" t="s">
        <v>10</v>
      </c>
      <c r="C85" s="397"/>
      <c r="D85" s="397"/>
      <c r="E85" s="397"/>
      <c r="F85" s="397"/>
      <c r="G85" s="397"/>
      <c r="H85" s="397"/>
      <c r="I85" s="397"/>
    </row>
    <row r="86" spans="2:9" s="192" customFormat="1" ht="15" hidden="1">
      <c r="B86" s="53"/>
      <c r="C86" s="53"/>
      <c r="D86" s="53"/>
      <c r="E86" s="67"/>
      <c r="F86" s="53"/>
      <c r="G86" s="53"/>
      <c r="H86" s="54"/>
      <c r="I86" s="54"/>
    </row>
    <row r="87" spans="2:9" ht="15" hidden="1">
      <c r="B87" s="405"/>
      <c r="C87" s="405"/>
      <c r="D87" s="405"/>
      <c r="E87" s="405"/>
      <c r="F87" s="405"/>
      <c r="G87" s="405"/>
      <c r="H87" s="405"/>
      <c r="I87" s="405"/>
    </row>
    <row r="88" spans="2:9" ht="15" hidden="1">
      <c r="B88" s="406"/>
      <c r="C88" s="406"/>
      <c r="D88" s="407"/>
      <c r="E88" s="407"/>
      <c r="F88" s="407"/>
      <c r="G88" s="407"/>
      <c r="H88" s="407"/>
      <c r="I88" s="407"/>
    </row>
    <row r="98" spans="2:7" ht="15" hidden="1">
      <c r="B98" s="402" t="s">
        <v>11</v>
      </c>
      <c r="C98" s="403"/>
      <c r="D98" s="403"/>
      <c r="E98" s="403"/>
      <c r="F98" s="403"/>
      <c r="G98" s="403"/>
    </row>
    <row r="99" spans="2:7" ht="15" hidden="1">
      <c r="B99" s="397" t="s">
        <v>12</v>
      </c>
      <c r="C99" s="397"/>
      <c r="D99" s="397"/>
      <c r="E99" s="397"/>
      <c r="F99" s="397"/>
      <c r="G99" s="397"/>
    </row>
  </sheetData>
  <mergeCells count="17">
    <mergeCell ref="B76:I76"/>
    <mergeCell ref="B10:B11"/>
    <mergeCell ref="E10:F10"/>
    <mergeCell ref="H10:I10"/>
    <mergeCell ref="B72:I72"/>
    <mergeCell ref="B73:I73"/>
    <mergeCell ref="B75:I75"/>
    <mergeCell ref="B98:G98"/>
    <mergeCell ref="B77:I77"/>
    <mergeCell ref="B99:G99"/>
    <mergeCell ref="B81:G81"/>
    <mergeCell ref="B83:I83"/>
    <mergeCell ref="B82:G82"/>
    <mergeCell ref="B87:I87"/>
    <mergeCell ref="B88:I88"/>
    <mergeCell ref="B84:I84"/>
    <mergeCell ref="B85:I85"/>
  </mergeCells>
  <conditionalFormatting sqref="C61:D70 G61:I70">
    <cfRule type="cellIs" dxfId="55" priority="7" operator="equal">
      <formula>0</formula>
    </cfRule>
  </conditionalFormatting>
  <conditionalFormatting sqref="C12:I33">
    <cfRule type="cellIs" dxfId="54" priority="1" operator="equal">
      <formula>0</formula>
    </cfRule>
  </conditionalFormatting>
  <conditionalFormatting sqref="C35:I58">
    <cfRule type="cellIs" dxfId="53" priority="2" operator="equal">
      <formula>0</formula>
    </cfRule>
  </conditionalFormatting>
  <conditionalFormatting sqref="E61:F64 E66:F70">
    <cfRule type="cellIs" dxfId="52" priority="3"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18:F18 E27:F27 E36:F36 E42:F42 E52:F52"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68" customWidth="1"/>
    <col min="2" max="2" width="43" style="68" customWidth="1"/>
    <col min="3" max="9" width="10.42578125" style="68" customWidth="1"/>
    <col min="10" max="10" width="8.5703125" style="69" customWidth="1"/>
    <col min="11" max="16384" width="8.5703125" hidden="1"/>
  </cols>
  <sheetData>
    <row r="1" spans="1:10"/>
    <row r="2" spans="1:10"/>
    <row r="3" spans="1:10"/>
    <row r="4" spans="1:10"/>
    <row r="5" spans="1:10" ht="18" customHeight="1">
      <c r="A5"/>
      <c r="B5" s="269" t="str">
        <f>IF(Indice_index!$Z$1=1,"ANEXOS ESTATÍSTICOS","STATISTICAL ANNEXES")</f>
        <v>ANEXOS ESTATÍSTICOS</v>
      </c>
      <c r="C5"/>
      <c r="D5"/>
      <c r="E5"/>
      <c r="F5"/>
      <c r="G5"/>
      <c r="H5"/>
      <c r="I5"/>
      <c r="J5"/>
    </row>
    <row r="6" spans="1:10" ht="18" customHeight="1">
      <c r="A6"/>
      <c r="B6" s="270" t="str">
        <f>IF(Indice_index!$Z$1=1,"Setembro de 2025","September 2025")</f>
        <v>Setembro de 2025</v>
      </c>
      <c r="C6"/>
      <c r="D6"/>
      <c r="E6"/>
      <c r="F6"/>
      <c r="G6"/>
      <c r="H6"/>
      <c r="I6"/>
      <c r="J6"/>
    </row>
    <row r="7" spans="1:10" ht="48.75" customHeight="1">
      <c r="B7" s="12"/>
      <c r="C7" s="13"/>
      <c r="D7" s="11"/>
      <c r="E7" s="11"/>
      <c r="F7" s="11"/>
      <c r="G7" s="11"/>
      <c r="H7" s="11"/>
      <c r="I7" s="73"/>
    </row>
    <row r="8" spans="1:10"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1:10">
      <c r="B9" s="3" t="str">
        <f>+'3 - Conta AC + SS'!B9</f>
        <v>Período: janeiro a setembro</v>
      </c>
      <c r="C9" s="3"/>
      <c r="D9" s="3"/>
      <c r="E9" s="3"/>
      <c r="F9" s="3"/>
      <c r="G9" s="3"/>
      <c r="H9" s="3"/>
      <c r="I9" s="3" t="str">
        <f>IF(Indice_index!$Z$1=1,"€ Milhões","€ Millions")</f>
        <v>€ Milhões</v>
      </c>
    </row>
    <row r="10" spans="1:10"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22" t="str">
        <f>IF(Indice_index!$Z$1=1,"Grau de Execução (%)","Execution Rate (%)")</f>
        <v>Grau de Execução (%)</v>
      </c>
      <c r="H10" s="391" t="str">
        <f>IF(Indice_index!$Z$1=1,"Variação Homóloga Acumulada","YOY Change Rate")</f>
        <v>Variação Homóloga Acumulada</v>
      </c>
      <c r="I10" s="388"/>
    </row>
    <row r="11" spans="1:10" ht="26.85" customHeight="1">
      <c r="B11" s="389"/>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+C13+C18+C27</f>
        <v>12186.82365122</v>
      </c>
      <c r="D12" s="134">
        <f>+D13+D18+D27</f>
        <v>12868.901026000001</v>
      </c>
      <c r="E12" s="134">
        <v>8698.1448309499992</v>
      </c>
      <c r="F12" s="134">
        <v>9211.964653160001</v>
      </c>
      <c r="G12" s="134">
        <v>71.583149443362586</v>
      </c>
      <c r="H12" s="134">
        <v>5.9072346137731895</v>
      </c>
      <c r="I12" s="134">
        <v>5.9016566846471585</v>
      </c>
    </row>
    <row r="13" spans="1:10" ht="14.1" customHeight="1">
      <c r="B13" s="125"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v>3064.9505222500002</v>
      </c>
      <c r="F13" s="4">
        <v>3174.4695971400006</v>
      </c>
      <c r="G13" s="4">
        <v>73.914114472254468</v>
      </c>
      <c r="H13" s="4">
        <v>3.5732738292167192</v>
      </c>
      <c r="I13" s="4">
        <v>1.2579195127991352</v>
      </c>
    </row>
    <row r="14" spans="1:10" ht="14.1" customHeight="1">
      <c r="B14" s="172" t="str">
        <f>IF(Indice_index!$Z$1=1,"Quotas e contribuições para a CGA","Fees and contributions to the CGA")</f>
        <v>Quotas e contribuições para a CGA</v>
      </c>
      <c r="C14" s="4">
        <v>4268.958833990001</v>
      </c>
      <c r="D14" s="4">
        <v>4220.6319999999996</v>
      </c>
      <c r="E14" s="4">
        <v>3021.7049144000002</v>
      </c>
      <c r="F14" s="4">
        <v>3131.8131321800006</v>
      </c>
      <c r="G14" s="4">
        <v>74.202468544521309</v>
      </c>
      <c r="H14" s="4">
        <v>3.6439103386726233</v>
      </c>
      <c r="I14" s="4">
        <v>1.264686318836368</v>
      </c>
    </row>
    <row r="15" spans="1:10" ht="14.1" customHeight="1">
      <c r="B15" s="172" t="str">
        <f>IF(Indice_index!$Z$1=1,"Compensação por pagamento de pensões","Pension payment compensations")</f>
        <v>Compensação por pagamento de pensões</v>
      </c>
      <c r="C15" s="4">
        <f>+C16+C17</f>
        <v>60.160450469999994</v>
      </c>
      <c r="D15" s="4">
        <f>+D16+D17</f>
        <v>74.176400000000001</v>
      </c>
      <c r="E15" s="4">
        <v>43.245607850000006</v>
      </c>
      <c r="F15" s="4">
        <v>42.656464959999994</v>
      </c>
      <c r="G15" s="4">
        <v>57.506787819306403</v>
      </c>
      <c r="H15" s="4">
        <v>-1.3623184394667078</v>
      </c>
      <c r="I15" s="4">
        <v>-6.7668060372335663E-3</v>
      </c>
    </row>
    <row r="16" spans="1:10" ht="14.1" customHeight="1">
      <c r="B16" s="307" t="str">
        <f>IF(Indice_index!$Z$1=1,"Subsetores das Administrações Públicas","General Government subsectors")</f>
        <v>Subsetores das Administrações Públicas</v>
      </c>
      <c r="C16" s="4">
        <v>44.719331059999995</v>
      </c>
      <c r="D16" s="4">
        <v>54.530499999999996</v>
      </c>
      <c r="E16" s="4">
        <v>32.358779480000003</v>
      </c>
      <c r="F16" s="4">
        <v>31.300985829999998</v>
      </c>
      <c r="G16" s="4">
        <v>57.400878095744581</v>
      </c>
      <c r="H16" s="4">
        <v>-3.2689541045693487</v>
      </c>
      <c r="I16" s="4">
        <v>-1.2149657712014841E-2</v>
      </c>
    </row>
    <row r="17" spans="2:9" ht="14.1" customHeight="1">
      <c r="B17" s="307" t="str">
        <f>IF(Indice_index!$Z$1=1,"Outras entidades","Other entities")</f>
        <v>Outras entidades</v>
      </c>
      <c r="C17" s="4">
        <v>15.441119410000001</v>
      </c>
      <c r="D17" s="4">
        <v>19.645899999999997</v>
      </c>
      <c r="E17" s="4">
        <v>10.886828370000002</v>
      </c>
      <c r="F17" s="4">
        <v>11.355479129999999</v>
      </c>
      <c r="G17" s="4">
        <v>57.80075807165872</v>
      </c>
      <c r="H17" s="4">
        <v>4.3047501446006287</v>
      </c>
      <c r="I17" s="4">
        <v>5.3828516747813351E-3</v>
      </c>
    </row>
    <row r="18" spans="2:9" ht="14.1" customHeight="1">
      <c r="B18" s="125" t="str">
        <f>IF(Indice_index!$Z$1=1,"Transferências correntes","Current transfers")</f>
        <v>Transferências correntes</v>
      </c>
      <c r="C18" s="4">
        <f>+C19+C26</f>
        <v>7763.8363064799996</v>
      </c>
      <c r="D18" s="4">
        <f>+D19+D26</f>
        <v>8231.8818260000007</v>
      </c>
      <c r="E18" s="4">
        <v>5561.7517753099992</v>
      </c>
      <c r="F18" s="4">
        <v>5995.1231174300001</v>
      </c>
      <c r="G18" s="4">
        <v>72.828099870125612</v>
      </c>
      <c r="H18" s="4">
        <v>7.7919935953244837</v>
      </c>
      <c r="I18" s="4">
        <v>4.9776376223798184</v>
      </c>
    </row>
    <row r="19" spans="2:9" ht="14.1" customHeight="1">
      <c r="B19" s="172" t="str">
        <f>IF(Indice_index!$Z$1=1,"Orçamento do Estado","State Budget")</f>
        <v>Orçamento do Estado</v>
      </c>
      <c r="C19" s="4">
        <f>+C20+C21</f>
        <v>7126.1165639999999</v>
      </c>
      <c r="D19" s="4">
        <f>+D20+D21</f>
        <v>7567.6222260000004</v>
      </c>
      <c r="E19" s="4">
        <v>5106.2474999999995</v>
      </c>
      <c r="F19" s="4">
        <v>5520.9170009999998</v>
      </c>
      <c r="G19" s="4">
        <v>72.954447726418508</v>
      </c>
      <c r="H19" s="4">
        <v>8.120826516928533</v>
      </c>
      <c r="I19" s="4">
        <v>4.7628311067682993</v>
      </c>
    </row>
    <row r="20" spans="2:9" ht="14.1" customHeight="1">
      <c r="B20" s="307" t="str">
        <f>IF(Indice_index!$Z$1=1,"Comparticipação do Orçamento do Estado","State Budget contributions")</f>
        <v>Comparticipação do Orçamento do Estado</v>
      </c>
      <c r="C20" s="4">
        <v>6541.1455640000004</v>
      </c>
      <c r="D20" s="4">
        <v>6962.3395710000004</v>
      </c>
      <c r="E20" s="4">
        <v>4728.8999999999996</v>
      </c>
      <c r="F20" s="4">
        <v>5064.3502010000002</v>
      </c>
      <c r="G20" s="4">
        <v>72.739201375560143</v>
      </c>
      <c r="H20" s="4">
        <v>7.0936201019264651</v>
      </c>
      <c r="I20" s="4">
        <v>3.8529302209146068</v>
      </c>
    </row>
    <row r="21" spans="2:9" ht="14.1" customHeight="1">
      <c r="B21" s="307" t="str">
        <f>IF(Indice_index!$Z$1=1,"Compensação por pagamento de pensões","Pension payment compensations")</f>
        <v>Compensação por pagamento de pensões</v>
      </c>
      <c r="C21" s="4">
        <f>+C22+C23+C24+C25</f>
        <v>584.971</v>
      </c>
      <c r="D21" s="4">
        <f>+D22+D23+D24+D25</f>
        <v>605.28265499999998</v>
      </c>
      <c r="E21" s="4">
        <v>377.34749999999997</v>
      </c>
      <c r="F21" s="4">
        <v>456.56679999999994</v>
      </c>
      <c r="G21" s="4">
        <v>75.430345843959458</v>
      </c>
      <c r="H21" s="4">
        <v>20.993725942268064</v>
      </c>
      <c r="I21" s="4">
        <v>0.90990088585369466</v>
      </c>
    </row>
    <row r="22" spans="2:9" ht="14.1" customHeight="1">
      <c r="B22" s="325" t="str">
        <f>IF(Indice_index!$Z$1=1,"Deficientes das Forças Armadas / Invalidez","Armed Forces handicapped / disability")</f>
        <v>Deficientes das Forças Armadas / Invalidez</v>
      </c>
      <c r="C22" s="4">
        <v>198.1824</v>
      </c>
      <c r="D22" s="4">
        <v>198.1</v>
      </c>
      <c r="E22" s="4">
        <v>137.95240000000001</v>
      </c>
      <c r="F22" s="4">
        <v>149.7997</v>
      </c>
      <c r="G22" s="4">
        <v>75.618223119636554</v>
      </c>
      <c r="H22" s="4">
        <v>8.5879622246513936</v>
      </c>
      <c r="I22" s="4">
        <v>0.13607629409720196</v>
      </c>
    </row>
    <row r="23" spans="2:9" ht="14.1" customHeight="1">
      <c r="B23" s="325" t="str">
        <f>IF(Indice_index!$Z$1=1,"Subvenções vitalícias","Lifetime grants")</f>
        <v>Subvenções vitalícias</v>
      </c>
      <c r="C23" s="4">
        <v>8.3996999999999993</v>
      </c>
      <c r="D23" s="4">
        <v>8.9</v>
      </c>
      <c r="E23" s="4">
        <v>6.3097000000000003</v>
      </c>
      <c r="F23" s="4">
        <v>6.7301000000000002</v>
      </c>
      <c r="G23" s="4">
        <v>75.619101123595499</v>
      </c>
      <c r="H23" s="4">
        <v>6.6627573418704511</v>
      </c>
      <c r="I23" s="4">
        <v>4.8286507506743086E-3</v>
      </c>
    </row>
    <row r="24" spans="2:9" ht="14.1" customHeight="1">
      <c r="B24" s="325" t="str">
        <f>IF(Indice_index!$Z$1=1,"Pensões de preço de sangue","Blood price pensions")</f>
        <v>Pensões de preço de sangue</v>
      </c>
      <c r="C24" s="4">
        <v>33.460999999999999</v>
      </c>
      <c r="D24" s="4">
        <v>34.491</v>
      </c>
      <c r="E24" s="4">
        <v>23.626000000000001</v>
      </c>
      <c r="F24" s="4">
        <v>24.31</v>
      </c>
      <c r="G24" s="4">
        <v>70.48215476501116</v>
      </c>
      <c r="H24" s="4">
        <v>2.8951155506645114</v>
      </c>
      <c r="I24" s="4">
        <v>7.8563204411541774E-3</v>
      </c>
    </row>
    <row r="25" spans="2:9" ht="14.1" customHeight="1">
      <c r="B25" s="325" t="str">
        <f>IF(Indice_index!$Z$1=1,"Outras","Others")</f>
        <v>Outras</v>
      </c>
      <c r="C25" s="4">
        <v>344.92789999999997</v>
      </c>
      <c r="D25" s="4">
        <v>363.79165500000005</v>
      </c>
      <c r="E25" s="4">
        <v>209.45939999999999</v>
      </c>
      <c r="F25" s="4">
        <v>275.72699999999998</v>
      </c>
      <c r="G25" s="4">
        <v>75.792557693496278</v>
      </c>
      <c r="H25" s="4">
        <v>31.637443819661463</v>
      </c>
      <c r="I25" s="4">
        <v>0.76113962056466422</v>
      </c>
    </row>
    <row r="26" spans="2:9" ht="14.1" customHeight="1">
      <c r="B26" s="307" t="str">
        <f>IF(Indice_index!$Z$1=1,"Outras transferências correntes","Other current transfers")</f>
        <v>Outras transferências correntes</v>
      </c>
      <c r="C26" s="4">
        <v>637.71974248000004</v>
      </c>
      <c r="D26" s="4">
        <v>664.25959999999998</v>
      </c>
      <c r="E26" s="4">
        <v>455.50427530999997</v>
      </c>
      <c r="F26" s="4">
        <v>474.20611642999995</v>
      </c>
      <c r="G26" s="4">
        <v>71.388673408709479</v>
      </c>
      <c r="H26" s="4">
        <v>4.1057443659057151</v>
      </c>
      <c r="I26" s="4">
        <v>0.2148065156115119</v>
      </c>
    </row>
    <row r="27" spans="2:9" ht="14.1" customHeight="1">
      <c r="B27" s="172" t="str">
        <f>IF(Indice_index!$Z$1=1,"Outras receitas correntes","Other current revenue")</f>
        <v>Outras receitas correntes</v>
      </c>
      <c r="C27" s="4">
        <v>93.868060279999995</v>
      </c>
      <c r="D27" s="4">
        <v>342.21080000000001</v>
      </c>
      <c r="E27" s="4">
        <v>71.442533389999994</v>
      </c>
      <c r="F27" s="4">
        <v>42.371938589999992</v>
      </c>
      <c r="G27" s="4">
        <v>12.381823890420755</v>
      </c>
      <c r="H27" s="4">
        <v>-40.690878977241155</v>
      </c>
      <c r="I27" s="4">
        <v>-0.33390045053179995</v>
      </c>
    </row>
    <row r="28" spans="2:9" ht="14.1" customHeight="1">
      <c r="B28" s="174" t="str">
        <f>IF(Indice_index!$Z$1=1,"Receita de capital","Capital revenue")</f>
        <v>Receita de capital</v>
      </c>
      <c r="C28" s="134">
        <f>+C29</f>
        <v>8.2210378899999998</v>
      </c>
      <c r="D28" s="321">
        <f>+D29</f>
        <v>0</v>
      </c>
      <c r="E28" s="134">
        <v>8.2210196199999999</v>
      </c>
      <c r="F28" s="134">
        <v>0</v>
      </c>
      <c r="G28" s="134" t="s">
        <v>4</v>
      </c>
      <c r="H28" s="134">
        <v>-100</v>
      </c>
      <c r="I28" s="134">
        <v>-9.4425386677976286E-2</v>
      </c>
    </row>
    <row r="29" spans="2:9" ht="14.1" customHeight="1">
      <c r="B29" s="125" t="str">
        <f>IF(Indice_index!$Z$1=1,"Transferências de capital","Capital transfers")</f>
        <v>Transferências de capital</v>
      </c>
      <c r="C29" s="4">
        <v>8.2210378899999998</v>
      </c>
      <c r="D29" s="312">
        <v>0</v>
      </c>
      <c r="E29" s="4">
        <v>8.2210196199999999</v>
      </c>
      <c r="F29" s="4">
        <v>0</v>
      </c>
      <c r="G29" s="4" t="s">
        <v>4</v>
      </c>
      <c r="H29" s="4">
        <v>-100</v>
      </c>
      <c r="I29" s="4">
        <v>-9.4425386677976286E-2</v>
      </c>
    </row>
    <row r="30" spans="2:9" ht="14.1" customHeight="1">
      <c r="B30" s="30" t="str">
        <f>IF(Indice_index!$Z$1=1,"Receita efetiva","Effective revenue")</f>
        <v>Receita efetiva</v>
      </c>
      <c r="C30" s="18">
        <f>+C12+C28</f>
        <v>12195.04468911</v>
      </c>
      <c r="D30" s="18">
        <f>+D12+D28</f>
        <v>12868.901026000001</v>
      </c>
      <c r="E30" s="18">
        <v>8706.3658505699987</v>
      </c>
      <c r="F30" s="18">
        <v>9211.964653160001</v>
      </c>
      <c r="G30" s="18">
        <v>71.583149443362586</v>
      </c>
      <c r="H30" s="18">
        <v>5.8072312979691887</v>
      </c>
      <c r="I30" s="18"/>
    </row>
    <row r="31" spans="2:9" ht="14.1" customHeight="1">
      <c r="B31" s="174" t="str">
        <f>IF(Indice_index!$Z$1=1,"Despesa corrente","Current expenditure")</f>
        <v>Despesa corrente</v>
      </c>
      <c r="C31" s="134">
        <f>+C32+C36+C37+C38+C44</f>
        <v>12397.1963641</v>
      </c>
      <c r="D31" s="134">
        <f>+D32+D36+D37+D38+D44</f>
        <v>12976.313891</v>
      </c>
      <c r="E31" s="134">
        <v>8777.8655169199974</v>
      </c>
      <c r="F31" s="134">
        <v>9408.0533831099983</v>
      </c>
      <c r="G31" s="134">
        <v>72.501740187058473</v>
      </c>
      <c r="H31" s="134">
        <v>7.1792836763705976</v>
      </c>
      <c r="I31" s="134">
        <v>7.1792836763705976</v>
      </c>
    </row>
    <row r="32" spans="2:9" ht="14.1" customHeight="1">
      <c r="B32" s="125" t="str">
        <f>IF(Indice_index!$Z$1=1,"Despesas com pessoal","Employees")</f>
        <v>Despesas com pessoal</v>
      </c>
      <c r="C32" s="4">
        <f>+C33+C34+C35</f>
        <v>7.72704551</v>
      </c>
      <c r="D32" s="4">
        <f>+D33+D34+D35</f>
        <v>8.1458999999999993</v>
      </c>
      <c r="E32" s="4">
        <v>5.52513041</v>
      </c>
      <c r="F32" s="4">
        <v>5.5348998200000006</v>
      </c>
      <c r="G32" s="4">
        <v>67.947063185160644</v>
      </c>
      <c r="H32" s="4">
        <v>0.17681772691407902</v>
      </c>
      <c r="I32" s="4">
        <v>1.1129596347960969E-4</v>
      </c>
    </row>
    <row r="33" spans="2:9" ht="14.1" customHeight="1">
      <c r="B33" s="172" t="str">
        <f>IF(Indice_index!$Z$1=1,"Remunerações certas e permanentes","Certain and permanent wages")</f>
        <v>Remunerações certas e permanentes</v>
      </c>
      <c r="C33" s="4">
        <v>8.3490339999999996E-2</v>
      </c>
      <c r="D33" s="4">
        <v>8.4000000000000005E-2</v>
      </c>
      <c r="E33" s="4">
        <v>6.2617769999999989E-2</v>
      </c>
      <c r="F33" s="4">
        <v>5.0234319999999999E-2</v>
      </c>
      <c r="G33" s="4">
        <v>59.802761904761901</v>
      </c>
      <c r="H33" s="4">
        <v>-19.776255206788733</v>
      </c>
      <c r="I33" s="4">
        <v>-1.4107586834327727E-4</v>
      </c>
    </row>
    <row r="34" spans="2:9" ht="17.25" hidden="1" customHeight="1">
      <c r="B34" s="172" t="str">
        <f>IF(Indice_index!$Z$1=1,"Abonos variáveis ou eventuais","Variable or contingent bonuses")</f>
        <v>Abonos variáveis ou eventuais</v>
      </c>
      <c r="C34" s="4">
        <v>0</v>
      </c>
      <c r="D34" s="4">
        <v>0</v>
      </c>
      <c r="E34" s="312"/>
      <c r="F34" s="312"/>
      <c r="G34" s="4" t="s">
        <v>4</v>
      </c>
      <c r="H34" s="4" t="s">
        <v>4</v>
      </c>
      <c r="I34" s="4">
        <v>0</v>
      </c>
    </row>
    <row r="35" spans="2:9" ht="14.1" customHeight="1">
      <c r="B35" s="172" t="str">
        <f>IF(Indice_index!$Z$1=1,"Segurança Social","Social security")</f>
        <v>Segurança Social</v>
      </c>
      <c r="C35" s="4">
        <v>7.64355517</v>
      </c>
      <c r="D35" s="4">
        <v>8.0618999999999996</v>
      </c>
      <c r="E35" s="4">
        <v>5.4625126399999999</v>
      </c>
      <c r="F35" s="4">
        <v>5.4846655000000002</v>
      </c>
      <c r="G35" s="4">
        <v>68.031921755417471</v>
      </c>
      <c r="H35" s="4">
        <v>0.40554340941534689</v>
      </c>
      <c r="I35" s="4">
        <v>2.5237183182288416E-4</v>
      </c>
    </row>
    <row r="36" spans="2:9" ht="14.1" customHeight="1">
      <c r="B36" s="125" t="str">
        <f>IF(Indice_index!$Z$1=1,"Aquisição de bens e serviços","Purchase of goods and services")</f>
        <v>Aquisição de bens e serviços</v>
      </c>
      <c r="C36" s="4">
        <v>29.364440670000004</v>
      </c>
      <c r="D36" s="4">
        <v>42.734302</v>
      </c>
      <c r="E36" s="4">
        <v>21.467919410000004</v>
      </c>
      <c r="F36" s="4">
        <v>26.275741639999996</v>
      </c>
      <c r="G36" s="4">
        <v>61.486301191955818</v>
      </c>
      <c r="H36" s="4">
        <v>22.395380465982434</v>
      </c>
      <c r="I36" s="4">
        <v>5.4772110836427745E-2</v>
      </c>
    </row>
    <row r="37" spans="2:9" ht="14.1" customHeight="1">
      <c r="B37" s="125" t="str">
        <f>IF(Indice_index!$Z$1=1,"Juros e outros encargos","Interests and other charges")</f>
        <v>Juros e outros encargos</v>
      </c>
      <c r="C37" s="4">
        <v>0.18092076999999998</v>
      </c>
      <c r="D37" s="4">
        <v>2.2999999999999998</v>
      </c>
      <c r="E37" s="4">
        <v>0.16477628</v>
      </c>
      <c r="F37" s="4">
        <v>0.48778751000000004</v>
      </c>
      <c r="G37" s="4">
        <v>21.208152608695656</v>
      </c>
      <c r="H37" s="4">
        <v>196.03017497421357</v>
      </c>
      <c r="I37" s="4">
        <v>3.6798379899688777E-3</v>
      </c>
    </row>
    <row r="38" spans="2:9" ht="14.1" customHeight="1">
      <c r="B38" s="125" t="str">
        <f>IF(Indice_index!$Z$1=1,"Transferências","Transfers")</f>
        <v>Transferências</v>
      </c>
      <c r="C38" s="4">
        <f>+C40+C41+C42+C43</f>
        <v>12357.113320160001</v>
      </c>
      <c r="D38" s="4">
        <f>+D40+D41+D42+D43</f>
        <v>12914.033689</v>
      </c>
      <c r="E38" s="4">
        <v>8750.0169585199983</v>
      </c>
      <c r="F38" s="4">
        <v>9373.6255271099981</v>
      </c>
      <c r="G38" s="4">
        <v>72.584800015616551</v>
      </c>
      <c r="H38" s="4">
        <v>7.1269412567570454</v>
      </c>
      <c r="I38" s="4">
        <v>7.1043304022822777</v>
      </c>
    </row>
    <row r="39" spans="2:9" ht="14.1" customHeight="1">
      <c r="B39" s="172" t="str">
        <f>IF(Indice_index!$Z$1=1,"Pensões e abonos da responsabilidade de:","Liability for pensions and allowances from:")</f>
        <v>Pensões e abonos da responsabilidade de:</v>
      </c>
      <c r="C39" s="4"/>
      <c r="D39" s="4"/>
      <c r="E39" s="4"/>
      <c r="F39" s="4"/>
      <c r="G39" s="4"/>
      <c r="H39" s="4"/>
      <c r="I39" s="4">
        <v>0</v>
      </c>
    </row>
    <row r="40" spans="2:9" ht="14.1" customHeight="1">
      <c r="B40" s="307" t="str">
        <f>IF(Indice_index!$Z$1=1,"Caixa Geral de Aposentações","Public Servants Social Scheme")</f>
        <v>Caixa Geral de Aposentações</v>
      </c>
      <c r="C40" s="4">
        <v>10853.856201049999</v>
      </c>
      <c r="D40" s="4">
        <v>11330.734629</v>
      </c>
      <c r="E40" s="4">
        <v>7717.9808888499992</v>
      </c>
      <c r="F40" s="4">
        <v>8225.0424773099985</v>
      </c>
      <c r="G40" s="4">
        <v>72.590549038706982</v>
      </c>
      <c r="H40" s="4">
        <v>6.5698735946928837</v>
      </c>
      <c r="I40" s="4">
        <v>5.7765932672652571</v>
      </c>
    </row>
    <row r="41" spans="2:9" ht="14.1" customHeight="1">
      <c r="B41" s="307" t="str">
        <f>IF(Indice_index!$Z$1=1,"Orçamento do Estado","State Budget")</f>
        <v>Orçamento do Estado</v>
      </c>
      <c r="C41" s="4">
        <v>569.53926869999998</v>
      </c>
      <c r="D41" s="4">
        <v>587.346</v>
      </c>
      <c r="E41" s="4">
        <v>366.37530954999994</v>
      </c>
      <c r="F41" s="4">
        <v>449.60803274</v>
      </c>
      <c r="G41" s="4">
        <v>76.549092483817034</v>
      </c>
      <c r="H41" s="4">
        <v>22.717885463469294</v>
      </c>
      <c r="I41" s="4">
        <v>0.94821141916064577</v>
      </c>
    </row>
    <row r="42" spans="2:9" ht="14.1" customHeight="1">
      <c r="B42" s="307" t="str">
        <f>IF(Indice_index!$Z$1=1,"Outras entidades","Other entities")</f>
        <v>Outras entidades</v>
      </c>
      <c r="C42" s="4">
        <v>690.53990180000005</v>
      </c>
      <c r="D42" s="4">
        <v>729.38599999999997</v>
      </c>
      <c r="E42" s="4">
        <v>492.52747962000001</v>
      </c>
      <c r="F42" s="4">
        <v>514.16482211000005</v>
      </c>
      <c r="G42" s="4">
        <v>70.49282850370038</v>
      </c>
      <c r="H42" s="4">
        <v>4.3931239139578384</v>
      </c>
      <c r="I42" s="4">
        <v>0.24649890623514828</v>
      </c>
    </row>
    <row r="43" spans="2:9" ht="14.1" customHeight="1">
      <c r="B43" s="172" t="str">
        <f>IF(Indice_index!$Z$1=1,"Outras transferências correntes","Other current transfers")</f>
        <v>Outras transferências correntes</v>
      </c>
      <c r="C43" s="4">
        <v>243.17794860999999</v>
      </c>
      <c r="D43" s="4">
        <v>266.56705999999997</v>
      </c>
      <c r="E43" s="4">
        <v>173.13328050000001</v>
      </c>
      <c r="F43" s="4">
        <v>184.81019494999998</v>
      </c>
      <c r="G43" s="4">
        <v>69.329719489722393</v>
      </c>
      <c r="H43" s="4">
        <v>6.7444655448551787</v>
      </c>
      <c r="I43" s="4">
        <v>0.13302680962122099</v>
      </c>
    </row>
    <row r="44" spans="2:9" ht="14.1" customHeight="1">
      <c r="B44" s="125" t="str">
        <f>IF(Indice_index!$Z$1=1,"Outras despesas correntes","Other current expenditure")</f>
        <v>Outras despesas correntes</v>
      </c>
      <c r="C44" s="4">
        <v>2.8106369900000003</v>
      </c>
      <c r="D44" s="4">
        <v>9.1</v>
      </c>
      <c r="E44" s="4">
        <v>0.69073230000000008</v>
      </c>
      <c r="F44" s="4">
        <v>2.12942703</v>
      </c>
      <c r="G44" s="4">
        <v>23.400297032967035</v>
      </c>
      <c r="H44" s="4">
        <v>208.28542837796925</v>
      </c>
      <c r="I44" s="4">
        <v>1.6390029298430323E-2</v>
      </c>
    </row>
    <row r="45" spans="2:9" ht="14.1" customHeight="1">
      <c r="B45" s="174" t="str">
        <f>IF(Indice_index!$Z$1=1,"Despesa de capital","Capital expenditure")</f>
        <v>Despesa de capital</v>
      </c>
      <c r="C45" s="134">
        <v>0</v>
      </c>
      <c r="D45" s="134">
        <v>0</v>
      </c>
      <c r="E45" s="134"/>
      <c r="F45" s="134"/>
      <c r="G45" s="134" t="s">
        <v>4</v>
      </c>
      <c r="H45" s="134" t="s">
        <v>4</v>
      </c>
      <c r="I45" s="134">
        <v>0</v>
      </c>
    </row>
    <row r="46" spans="2:9" ht="14.1" customHeight="1">
      <c r="B46" s="30" t="str">
        <f>IF(Indice_index!$Z$1=1,"Despesa efetiva","Effective expenditure")</f>
        <v>Despesa efetiva</v>
      </c>
      <c r="C46" s="18">
        <f>+C31+C45</f>
        <v>12397.1963641</v>
      </c>
      <c r="D46" s="18">
        <f>+D31+D45</f>
        <v>12976.313891</v>
      </c>
      <c r="E46" s="18">
        <v>8777.8655169199974</v>
      </c>
      <c r="F46" s="18">
        <v>9408.0533831099983</v>
      </c>
      <c r="G46" s="18">
        <v>72.501740187058473</v>
      </c>
      <c r="H46" s="18">
        <v>7.1792836763705976</v>
      </c>
      <c r="I46" s="18"/>
    </row>
    <row r="47" spans="2:9" ht="14.1" customHeight="1">
      <c r="B47" s="30" t="str">
        <f>IF(Indice_index!$Z$1=1,"Saldo global","Overall balance")</f>
        <v>Saldo global</v>
      </c>
      <c r="C47" s="18">
        <f>+C30-C46</f>
        <v>-202.15167499000017</v>
      </c>
      <c r="D47" s="18">
        <f>+D30-D46</f>
        <v>-107.41286499999842</v>
      </c>
      <c r="E47" s="18">
        <v>-71.499666349998733</v>
      </c>
      <c r="F47" s="18">
        <v>-196.08872994999729</v>
      </c>
      <c r="G47" s="18"/>
      <c r="H47" s="18"/>
      <c r="I47" s="18"/>
    </row>
    <row r="48" spans="2:9" ht="14.1" customHeight="1">
      <c r="B48" s="125" t="str">
        <f>IF(Indice_index!$Z$1=1,"Ativos financeiros líquidos de reembolsos","Financial assets net of reimbursements")</f>
        <v>Ativos financeiros líquidos de reembolsos</v>
      </c>
      <c r="C48" s="4">
        <v>-222.32031388999999</v>
      </c>
      <c r="D48" s="4">
        <v>-107.412865</v>
      </c>
      <c r="E48" s="312">
        <v>-523.86992783999995</v>
      </c>
      <c r="F48" s="312">
        <v>-678.37432783999998</v>
      </c>
      <c r="G48" s="4"/>
      <c r="H48" s="4"/>
      <c r="I48" s="4"/>
    </row>
    <row r="49" spans="2:9" ht="13.5" customHeight="1">
      <c r="B49" s="125"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 customHeight="1">
      <c r="B50" s="173" t="str">
        <f>IF(Indice_index!$Z$1=1,"Poupança (+) / Utilização (-) de saldo da gerência anterior","Saving (+) / Usage (-) of balance from previous management")</f>
        <v>Poupança (+) / Utilização (-) de saldo da gerência anterior</v>
      </c>
      <c r="C50" s="19">
        <f>C47-C48+C49</f>
        <v>20.16863889999982</v>
      </c>
      <c r="D50" s="19">
        <f>D47-D48+D49</f>
        <v>1.5774048733874224E-12</v>
      </c>
      <c r="E50" s="19">
        <v>452.37026149000121</v>
      </c>
      <c r="F50" s="19">
        <v>482.28559789000269</v>
      </c>
      <c r="G50" s="19"/>
      <c r="H50" s="19"/>
      <c r="I50" s="19"/>
    </row>
    <row r="51" spans="2:9">
      <c r="B51" s="9" t="str">
        <f>IF(Indice_index!$Z$1=1,"Notas:","Notes:")</f>
        <v>Notas:</v>
      </c>
      <c r="C51" s="9"/>
      <c r="D51" s="9"/>
      <c r="E51" s="9"/>
      <c r="F51" s="9"/>
      <c r="G51" s="9"/>
      <c r="H51" s="9"/>
      <c r="I51" s="9"/>
    </row>
    <row r="52" spans="2:9">
      <c r="B52" s="392" t="str">
        <f>+'3 - Conta AC + SS'!$B$61</f>
        <v>Os dados de 2024 são mensalmente revistos e atualizados face ao publicado nas Sínteses de Execução Orçamental de 2024.</v>
      </c>
      <c r="C52" s="392"/>
      <c r="D52" s="392"/>
      <c r="E52" s="392"/>
      <c r="F52" s="392"/>
      <c r="G52" s="392"/>
      <c r="H52" s="392"/>
      <c r="I52" s="392"/>
    </row>
    <row r="53" spans="2:9">
      <c r="B53" s="147" t="str">
        <f>IF(Indice_index!$Z$1=1,"Fonte: Entidade Orçamental.","Source: Budgetary Entity.")</f>
        <v>Fonte: Entidade Orçamental.</v>
      </c>
      <c r="C53" s="147"/>
      <c r="D53" s="147"/>
      <c r="F53" s="160"/>
    </row>
    <row r="54" spans="2:9"/>
  </sheetData>
  <mergeCells count="4">
    <mergeCell ref="B10:B11"/>
    <mergeCell ref="E10:F10"/>
    <mergeCell ref="H10:I10"/>
    <mergeCell ref="B52:I52"/>
  </mergeCells>
  <conditionalFormatting sqref="C12:I29 C31:I45 C48:I50">
    <cfRule type="cellIs" dxfId="51"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85" customHeight="1" zeroHeight="1"/>
  <cols>
    <col min="1" max="1" width="8.5703125" style="68" customWidth="1"/>
    <col min="2" max="2" width="63" style="71" customWidth="1"/>
    <col min="3" max="4" width="10.42578125" style="71" customWidth="1"/>
    <col min="5" max="6" width="10.42578125" style="72" customWidth="1"/>
    <col min="7" max="8" width="10.42578125" style="71" customWidth="1"/>
    <col min="9" max="9" width="8.5703125" style="71" customWidth="1"/>
    <col min="10" max="15" width="0" hidden="1" customWidth="1"/>
    <col min="16" max="16384" width="9.42578125" hidden="1"/>
  </cols>
  <sheetData>
    <row r="1" spans="1:9" ht="14.85" customHeight="1"/>
    <row r="2" spans="1:9" ht="15"/>
    <row r="3" spans="1:9" ht="15"/>
    <row r="4" spans="1:9" ht="15"/>
    <row r="5" spans="1:9" ht="18" customHeight="1">
      <c r="A5"/>
      <c r="B5" s="269" t="str">
        <f>IF(Indice_index!$Z$1=1,"ANEXOS ESTATÍSTICOS","STATISTICAL ANNEXES")</f>
        <v>ANEXOS ESTATÍSTICOS</v>
      </c>
      <c r="C5"/>
      <c r="D5"/>
      <c r="E5"/>
      <c r="F5"/>
      <c r="G5"/>
      <c r="H5"/>
      <c r="I5"/>
    </row>
    <row r="6" spans="1:9" ht="18" customHeight="1">
      <c r="A6"/>
      <c r="B6" s="270" t="str">
        <f>IF(Indice_index!$Z$1=1,"Setembro de 2025","September 2025")</f>
        <v>Setembro de 2025</v>
      </c>
      <c r="C6"/>
      <c r="D6"/>
      <c r="E6"/>
      <c r="F6"/>
      <c r="G6"/>
      <c r="H6"/>
      <c r="I6"/>
    </row>
    <row r="7" spans="1:9" ht="50.1" customHeight="1">
      <c r="B7" s="12"/>
      <c r="C7" s="13"/>
      <c r="D7" s="11"/>
      <c r="E7" s="11"/>
      <c r="F7" s="11"/>
      <c r="G7" s="73"/>
      <c r="H7" s="11"/>
    </row>
    <row r="8" spans="1:9" ht="15.75">
      <c r="B8" s="1" t="str">
        <f>IF(Indice_index!$Z$1=1,"Quadro 10 - Execução Orçamental da Segurança Social","10 - Social Security Budget Execution")</f>
        <v>Quadro 10 - Execução Orçamental da Segurança Social</v>
      </c>
      <c r="C8" s="2"/>
      <c r="D8" s="2"/>
      <c r="E8" s="2"/>
      <c r="F8" s="2"/>
      <c r="G8" s="2"/>
      <c r="H8" s="2"/>
    </row>
    <row r="9" spans="1:9" ht="15">
      <c r="B9" s="3" t="str">
        <f>+'3 - Conta AC + SS'!B9</f>
        <v>Período: janeiro a setembro</v>
      </c>
      <c r="C9" s="3"/>
      <c r="D9" s="3"/>
      <c r="E9" s="3"/>
      <c r="F9" s="3"/>
      <c r="G9" s="3"/>
      <c r="H9" s="3" t="str">
        <f>IF(Indice_index!$Z$1=1,"€ Milhões","€ Millions")</f>
        <v>€ Milhões</v>
      </c>
    </row>
    <row r="10" spans="1:9"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391" t="str">
        <f>IF(Indice_index!$Z$1=1,"Variação Homóloga Acumulada","YOY Change Rate")</f>
        <v>Variação Homóloga Acumulada</v>
      </c>
      <c r="H10" s="387"/>
    </row>
    <row r="11" spans="1:9" ht="26.85" customHeight="1">
      <c r="B11" s="389"/>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+SUM(C13:C15)+SUM(C26:C29)</f>
        <v>42190.185021020006</v>
      </c>
      <c r="D12" s="134">
        <f>+SUM(D13:D15)+SUM(D26:D29)</f>
        <v>45038.829181999994</v>
      </c>
      <c r="E12" s="134">
        <f>+SUM(E13:E15)+SUM(E26:E29)</f>
        <v>30475.471298410001</v>
      </c>
      <c r="F12" s="134">
        <f>+SUM(F13:F15)+SUM(F26:F29)</f>
        <v>33434.303105480001</v>
      </c>
      <c r="G12" s="134">
        <f>IF(IFERROR((F12-E12)/E12*100,"")&gt;500,"-",IFERROR((F12-E12)/E12*100,""))</f>
        <v>9.7088959776788499</v>
      </c>
      <c r="H12" s="134">
        <f>IFERROR((F12-E12)/$E$34*100,"-")</f>
        <v>9.7086852418043978</v>
      </c>
    </row>
    <row r="13" spans="1:9" ht="14.1" customHeight="1">
      <c r="B13" s="125" t="str">
        <f>IF(Indice_index!$Z$1=1,"Impostos indiretos","Indirect taxes")</f>
        <v>Impostos indiretos</v>
      </c>
      <c r="C13" s="4">
        <v>232.90479740999999</v>
      </c>
      <c r="D13" s="4">
        <v>256.82781899999998</v>
      </c>
      <c r="E13" s="4">
        <v>169.91868922999998</v>
      </c>
      <c r="F13" s="4">
        <v>169.83279562000001</v>
      </c>
      <c r="G13" s="4">
        <f>IF(IFERROR((F13-E13)/E13*100,"")&gt;500,"-",IFERROR((F13-E13)/E13*100,""))</f>
        <v>-5.0549830856867296E-2</v>
      </c>
      <c r="H13" s="4">
        <f>IFERROR((F13-E13)/$E$34*100,"-")</f>
        <v>-2.8183894122654058E-4</v>
      </c>
    </row>
    <row r="14" spans="1:9" ht="14.1" customHeight="1">
      <c r="B14" s="125" t="str">
        <f>IF(Indice_index!$Z$1=1,"Contribuições e quotizações","Contributions and membership fees")</f>
        <v>Contribuições e quotizações</v>
      </c>
      <c r="C14" s="4">
        <v>27688.469554570001</v>
      </c>
      <c r="D14" s="4">
        <v>29460.531805999999</v>
      </c>
      <c r="E14" s="4">
        <v>20177.280456740002</v>
      </c>
      <c r="F14" s="4">
        <v>22000.791507209997</v>
      </c>
      <c r="G14" s="4">
        <f>IF(IFERROR((F14-E14)/E14*100,"")&gt;500,"-",IFERROR((F14-E14)/E14*100,""))</f>
        <v>9.0374471147367679</v>
      </c>
      <c r="H14" s="4">
        <f>IFERROR((F14-E14)/$E$34*100,"-")</f>
        <v>5.983406958672874</v>
      </c>
    </row>
    <row r="15" spans="1:9" ht="14.1" customHeight="1">
      <c r="B15" s="125" t="str">
        <f>IF(Indice_index!$Z$1=1,"Transferências correntes da Administração Central","Central Government current transfers")</f>
        <v>Transferências correntes da Administração Central</v>
      </c>
      <c r="C15" s="4">
        <v>12009.822730220005</v>
      </c>
      <c r="D15" s="4">
        <v>12309.906677999999</v>
      </c>
      <c r="E15" s="4">
        <v>8624.3724716300021</v>
      </c>
      <c r="F15" s="4">
        <v>9124.271794549999</v>
      </c>
      <c r="G15" s="4">
        <f t="shared" ref="G15:G61" si="0">IF(IFERROR((F15-E15)/E15*100,"")&gt;500,"-",IFERROR((F15-E15)/E15*100,""))</f>
        <v>5.7963559037416683</v>
      </c>
      <c r="H15" s="4">
        <f>IFERROR((F15-E15)/$E$34*100,"-")</f>
        <v>1.6402977577922739</v>
      </c>
    </row>
    <row r="16" spans="1:9" ht="14.1" customHeight="1">
      <c r="B16" s="287" t="str">
        <f>IF(Indice_index!$Z$1=1,"dos quais:","of which:")</f>
        <v>dos quais:</v>
      </c>
      <c r="C16" s="4"/>
      <c r="D16" s="4"/>
      <c r="E16" s="4"/>
      <c r="F16" s="4"/>
      <c r="G16" s="4"/>
      <c r="H16" s="4"/>
    </row>
    <row r="17" spans="2:8" ht="14.1" customHeight="1">
      <c r="B17" s="307" t="str">
        <f>IF(Indice_index!$Z$1=1,"Transferências do Orçamento do Estado","State Budget transfers")</f>
        <v>Transferências do Orçamento do Estado</v>
      </c>
      <c r="C17" s="4">
        <v>10881.410593150002</v>
      </c>
      <c r="D17" s="4">
        <v>11532.516492999999</v>
      </c>
      <c r="E17" s="4">
        <v>7695.4028294500004</v>
      </c>
      <c r="F17" s="4">
        <v>8245.1170896199983</v>
      </c>
      <c r="G17" s="4">
        <f t="shared" si="0"/>
        <v>7.1434111033962164</v>
      </c>
      <c r="H17" s="4">
        <f t="shared" ref="H17:H31" si="1">IFERROR((F17-E17)/$E$34*100,"-")</f>
        <v>1.8037533300031943</v>
      </c>
    </row>
    <row r="18" spans="2:8" ht="14.1" customHeight="1">
      <c r="B18" s="325" t="str">
        <f>IF(Indice_index!$Z$1=1,"Financiamento da Lei de Bases da Segurança Social","Social Security Framework Law financing")</f>
        <v>Financiamento da Lei de Bases da Segurança Social</v>
      </c>
      <c r="C18" s="4">
        <v>8768.8383623600002</v>
      </c>
      <c r="D18" s="4">
        <v>9346.5627999999997</v>
      </c>
      <c r="E18" s="4">
        <v>6521.4577376200004</v>
      </c>
      <c r="F18" s="4">
        <v>7032.5054332999989</v>
      </c>
      <c r="G18" s="4">
        <f t="shared" si="0"/>
        <v>7.8364027835669887</v>
      </c>
      <c r="H18" s="4">
        <f t="shared" si="1"/>
        <v>1.6768784251443476</v>
      </c>
    </row>
    <row r="19" spans="2:8" ht="14.1" hidden="1" customHeight="1">
      <c r="B19" s="325"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 customHeight="1">
      <c r="B20" s="325" t="str">
        <f>IF(Indice_index!$Z$1=1,"Restantes transferências","Other transfers")</f>
        <v>Restantes transferências</v>
      </c>
      <c r="C20" s="4">
        <v>14.16554283</v>
      </c>
      <c r="D20" s="4">
        <v>3</v>
      </c>
      <c r="E20" s="4">
        <v>5.9661000000000002E-4</v>
      </c>
      <c r="F20" s="4">
        <v>4.3370365899999994</v>
      </c>
      <c r="G20" s="4" t="str">
        <f t="shared" si="0"/>
        <v>-</v>
      </c>
      <c r="H20" s="4">
        <f t="shared" si="1"/>
        <v>1.4228970614415366E-2</v>
      </c>
    </row>
    <row r="21" spans="2:8" ht="14.1" customHeight="1">
      <c r="B21" s="325" t="str">
        <f>IF(Indice_index!$Z$1=1,"IVA Social","Social tax")</f>
        <v>IVA Social</v>
      </c>
      <c r="C21" s="4">
        <v>1085.0512839600001</v>
      </c>
      <c r="D21" s="4">
        <v>1142.559002</v>
      </c>
      <c r="E21" s="4">
        <v>813.78846297000018</v>
      </c>
      <c r="F21" s="4">
        <v>856.91925152999988</v>
      </c>
      <c r="G21" s="4">
        <f t="shared" si="0"/>
        <v>5.3000000027758674</v>
      </c>
      <c r="H21" s="4">
        <f t="shared" si="1"/>
        <v>0.14152316781213661</v>
      </c>
    </row>
    <row r="22" spans="2:8" ht="14.1" customHeight="1">
      <c r="B22" s="325" t="str">
        <f>IF(Indice_index!$Z$1=1,"Adicional ao IMI","Additional to the real estate municipal tax")</f>
        <v>Adicional ao IMI</v>
      </c>
      <c r="C22" s="4">
        <v>147.9</v>
      </c>
      <c r="D22" s="4">
        <v>155.73869999999999</v>
      </c>
      <c r="E22" s="4">
        <v>5.9946330000000003</v>
      </c>
      <c r="F22" s="4">
        <v>6.7705070000000003</v>
      </c>
      <c r="G22" s="4">
        <f t="shared" si="0"/>
        <v>12.942810677484342</v>
      </c>
      <c r="H22" s="4">
        <f t="shared" si="1"/>
        <v>2.5458413808113881E-3</v>
      </c>
    </row>
    <row r="23" spans="2:8" ht="14.1" customHeight="1">
      <c r="B23" s="325" t="str">
        <f>IF(Indice_index!$Z$1=1,"Consignação do IRC","Assignment of Corporate Income Tax")</f>
        <v>Consignação do IRC</v>
      </c>
      <c r="C23" s="4">
        <v>448.95970999999997</v>
      </c>
      <c r="D23" s="4">
        <v>472.75457499999999</v>
      </c>
      <c r="E23" s="4">
        <v>75.997765000000001</v>
      </c>
      <c r="F23" s="4">
        <v>75.997765000000001</v>
      </c>
      <c r="G23" s="4">
        <f t="shared" si="0"/>
        <v>0</v>
      </c>
      <c r="H23" s="4">
        <f t="shared" si="1"/>
        <v>0</v>
      </c>
    </row>
    <row r="24" spans="2:8" ht="14.1" customHeight="1">
      <c r="B24" s="325" t="str">
        <f>IF(Indice_index!$Z$1=1,"Adicional à contribuição do setor bancário","Additional contribution on the Banking sector")</f>
        <v>Adicional à contribuição do setor bancário</v>
      </c>
      <c r="C24" s="4">
        <v>34.381675999999999</v>
      </c>
      <c r="D24" s="4">
        <v>40.814279999999997</v>
      </c>
      <c r="E24" s="4">
        <v>3.8602910000000001</v>
      </c>
      <c r="F24" s="4">
        <v>3.8602910000000001</v>
      </c>
      <c r="G24" s="4">
        <f t="shared" si="0"/>
        <v>0</v>
      </c>
      <c r="H24" s="4">
        <f t="shared" si="1"/>
        <v>0</v>
      </c>
    </row>
    <row r="25" spans="2:8" ht="14.1" customHeight="1">
      <c r="B25" s="325" t="str">
        <f>IF(Indice_index!$Z$1=1,"Pensões bancários","Old age pension scheme from Banking regime")</f>
        <v>Pensões bancários</v>
      </c>
      <c r="C25" s="4">
        <v>382.11401799999999</v>
      </c>
      <c r="D25" s="4">
        <v>371.08713599999999</v>
      </c>
      <c r="E25" s="4">
        <v>274.30334325000001</v>
      </c>
      <c r="F25" s="4">
        <v>264.7268052</v>
      </c>
      <c r="G25" s="4">
        <f t="shared" si="0"/>
        <v>-3.4912217753292043</v>
      </c>
      <c r="H25" s="4">
        <f t="shared" si="1"/>
        <v>-3.14230749485159E-2</v>
      </c>
    </row>
    <row r="26" spans="2:8" ht="14.1" customHeight="1">
      <c r="B26" s="125" t="str">
        <f>IF(Indice_index!$Z$1=1,"Transferências da UE  - Programas Operacionais (PO)","Transferências da UE  - Programas Operacionais (PO)")</f>
        <v>Transferências da UE  - Programas Operacionais (PO)</v>
      </c>
      <c r="C26" s="4">
        <v>863.40406559000007</v>
      </c>
      <c r="D26" s="4">
        <v>1472.8356229999999</v>
      </c>
      <c r="E26" s="4">
        <v>550.14741176999996</v>
      </c>
      <c r="F26" s="4">
        <v>860.89944562000005</v>
      </c>
      <c r="G26" s="4">
        <f t="shared" si="0"/>
        <v>56.485230540340368</v>
      </c>
      <c r="H26" s="4">
        <f t="shared" si="1"/>
        <v>1.0196570408940517</v>
      </c>
    </row>
    <row r="27" spans="2:8" ht="14.1" customHeight="1">
      <c r="B27" s="125" t="str">
        <f>IF(Indice_index!$Z$1=1,"Transferências da União Europeia - Plano de Recuperação e Resiliência","Recovery and Resilience Plan")</f>
        <v>Transferências da União Europeia - Plano de Recuperação e Resiliência</v>
      </c>
      <c r="C27" s="4">
        <v>139.69755906</v>
      </c>
      <c r="D27" s="4">
        <v>574.89149599999996</v>
      </c>
      <c r="E27" s="4">
        <v>108.14051059000001</v>
      </c>
      <c r="F27" s="4">
        <v>163.43811882</v>
      </c>
      <c r="G27" s="4">
        <f t="shared" si="0"/>
        <v>51.134961290920231</v>
      </c>
      <c r="H27" s="4">
        <f t="shared" si="1"/>
        <v>0.18144562041237414</v>
      </c>
    </row>
    <row r="28" spans="2:8" ht="14.1" customHeight="1">
      <c r="B28" s="125" t="str">
        <f>IF(Indice_index!$Z$1=1,"Outras transferências","Other transfers")</f>
        <v>Outras transferências</v>
      </c>
      <c r="C28" s="4">
        <v>3.07504804</v>
      </c>
      <c r="D28" s="4">
        <v>2</v>
      </c>
      <c r="E28" s="4">
        <v>2.17694951</v>
      </c>
      <c r="F28" s="4">
        <v>2.0645536300000003</v>
      </c>
      <c r="G28" s="4">
        <f t="shared" si="0"/>
        <v>-5.162998934228832</v>
      </c>
      <c r="H28" s="4">
        <f t="shared" si="1"/>
        <v>-3.6879967924780384E-4</v>
      </c>
    </row>
    <row r="29" spans="2:8" ht="14.1" customHeight="1">
      <c r="B29" s="125" t="str">
        <f>IF(Indice_index!$Z$1=1,"Restantes receitas correntes","Other current revenue")</f>
        <v>Restantes receitas correntes</v>
      </c>
      <c r="C29" s="4">
        <v>1252.8112661300001</v>
      </c>
      <c r="D29" s="4">
        <v>961.83576000000005</v>
      </c>
      <c r="E29" s="4">
        <v>843.43480893999981</v>
      </c>
      <c r="F29" s="4">
        <v>1113.0048900300001</v>
      </c>
      <c r="G29" s="4">
        <f t="shared" si="0"/>
        <v>31.960985986431695</v>
      </c>
      <c r="H29" s="4">
        <f t="shared" si="1"/>
        <v>0.8845285026532711</v>
      </c>
    </row>
    <row r="30" spans="2:8" ht="14.1" customHeight="1">
      <c r="B30" s="174" t="str">
        <f>IF(Indice_index!$Z$1=1,"Receita de capital","Capital revenue")</f>
        <v>Receita de capital</v>
      </c>
      <c r="C30" s="134">
        <f>+C32+C33+C31</f>
        <v>1.88826775</v>
      </c>
      <c r="D30" s="134">
        <f>+D32+D33+D31</f>
        <v>6.9070759999999991</v>
      </c>
      <c r="E30" s="134">
        <f>+E32+E33+E31</f>
        <v>0.66149792000000029</v>
      </c>
      <c r="F30" s="134">
        <f>+F32+F33+F31</f>
        <v>0.24263508000000006</v>
      </c>
      <c r="G30" s="134">
        <f t="shared" si="0"/>
        <v>-63.320356320999473</v>
      </c>
      <c r="H30" s="134">
        <f t="shared" si="1"/>
        <v>-1.3743962949604965E-3</v>
      </c>
    </row>
    <row r="31" spans="2:8" ht="14.1" customHeight="1">
      <c r="B31" s="125"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si="1"/>
        <v>0</v>
      </c>
    </row>
    <row r="32" spans="2:8" ht="14.1" customHeight="1">
      <c r="B32" s="125" t="str">
        <f>IF(Indice_index!$Z$1=1,"Transferências do Orçamento do Estado","State Budget transfers")</f>
        <v>Transferências do Orçamento do Estado</v>
      </c>
      <c r="C32" s="4">
        <v>0.50710699999999997</v>
      </c>
      <c r="D32" s="4">
        <v>6.1252709999999997</v>
      </c>
      <c r="E32" s="4">
        <v>0</v>
      </c>
      <c r="F32" s="4">
        <v>0</v>
      </c>
      <c r="G32" s="4" t="str">
        <f t="shared" si="0"/>
        <v>-</v>
      </c>
      <c r="H32" s="4">
        <f>IFERROR((F32-E32)/$E$34*100,"-")</f>
        <v>0</v>
      </c>
    </row>
    <row r="33" spans="2:8" ht="14.1" customHeight="1">
      <c r="B33" s="125" t="str">
        <f>IF(Indice_index!$Z$1=1,"Restantes receitas de capital","Other capital revenue")</f>
        <v>Restantes receitas de capital</v>
      </c>
      <c r="C33" s="4">
        <v>1.38116075</v>
      </c>
      <c r="D33" s="4">
        <v>0.56330499999999994</v>
      </c>
      <c r="E33" s="4">
        <v>0.66149792000000029</v>
      </c>
      <c r="F33" s="4">
        <v>0.24263508000000006</v>
      </c>
      <c r="G33" s="4">
        <f t="shared" si="0"/>
        <v>-63.320356320999473</v>
      </c>
      <c r="H33" s="4">
        <f>IFERROR((F33-E33)/$E$34*100,"-")</f>
        <v>-1.3743962949604965E-3</v>
      </c>
    </row>
    <row r="34" spans="2:8" ht="14.1" customHeight="1">
      <c r="B34" s="30" t="str">
        <f>IF(Indice_index!$Z$1=1,"Receita efetiva","Effective revenue")</f>
        <v>Receita efetiva</v>
      </c>
      <c r="C34" s="18">
        <f>+C12+C30</f>
        <v>42192.073288770007</v>
      </c>
      <c r="D34" s="18">
        <f>+D12+D30</f>
        <v>45045.736257999997</v>
      </c>
      <c r="E34" s="18">
        <f>+E12+E30</f>
        <v>30476.132796329999</v>
      </c>
      <c r="F34" s="18">
        <f>+F12+F30</f>
        <v>33434.545740560003</v>
      </c>
      <c r="G34" s="18">
        <f t="shared" si="0"/>
        <v>9.707310845509447</v>
      </c>
      <c r="H34" s="18"/>
    </row>
    <row r="35" spans="2:8" ht="14.1" customHeight="1">
      <c r="B35" s="174" t="str">
        <f>IF(Indice_index!$Z$1=1,"Despesa corrente","Current expenditure")</f>
        <v>Despesa corrente</v>
      </c>
      <c r="C35" s="134">
        <f>+C36+C58+C59+C60+C61+C64</f>
        <v>36581.602640379991</v>
      </c>
      <c r="D35" s="134">
        <f>+D36+D58+D59+D60+D61+D64</f>
        <v>39221.394489000006</v>
      </c>
      <c r="E35" s="134">
        <f>+E36+E58+E59+E60+E61+E64</f>
        <v>26126.5030654</v>
      </c>
      <c r="F35" s="134">
        <f>+F36+F58+F59+F60+F61+F64</f>
        <v>28643.416009419998</v>
      </c>
      <c r="G35" s="134">
        <f t="shared" si="0"/>
        <v>9.6335622785783759</v>
      </c>
      <c r="H35" s="134">
        <f t="shared" ref="H35:H61" si="2">IFERROR((F35-E35)/$E$68*100,"-")</f>
        <v>9.6183600058058705</v>
      </c>
    </row>
    <row r="36" spans="2:8" ht="14.1" customHeight="1">
      <c r="B36" s="125" t="str">
        <f>IF(Indice_index!$Z$1=1,"Prestações sociais","Social Benefits")</f>
        <v>Prestações sociais</v>
      </c>
      <c r="C36" s="4">
        <f>+C37+SUM(C45:C57)</f>
        <v>33184.530860869992</v>
      </c>
      <c r="D36" s="4">
        <f>+D37+SUM(D45:D57)</f>
        <v>35079.536159000003</v>
      </c>
      <c r="E36" s="4">
        <f>+E37+SUM(E45:E57)</f>
        <v>23657.446156400005</v>
      </c>
      <c r="F36" s="4">
        <f>+F37+SUM(F45:F57)</f>
        <v>25806.9299895</v>
      </c>
      <c r="G36" s="4">
        <f t="shared" si="0"/>
        <v>9.0858658998511554</v>
      </c>
      <c r="H36" s="4">
        <f t="shared" si="2"/>
        <v>8.2142329882868736</v>
      </c>
    </row>
    <row r="37" spans="2:8" ht="14.1" customHeight="1">
      <c r="B37" s="172" t="str">
        <f>IF(Indice_index!$Z$1=1,"      Pensões","      Pensions")</f>
        <v xml:space="preserve">      Pensões</v>
      </c>
      <c r="C37" s="4">
        <f>(SUM(C38:C44))</f>
        <v>23182.250170459993</v>
      </c>
      <c r="D37" s="4">
        <f>(SUM(D38:D44))</f>
        <v>23947.362729</v>
      </c>
      <c r="E37" s="4">
        <f>(SUM(E38:E44))</f>
        <v>16284.243832240003</v>
      </c>
      <c r="F37" s="4">
        <f>(SUM(F38:F44))</f>
        <v>17664.425861749998</v>
      </c>
      <c r="G37" s="4">
        <f t="shared" si="0"/>
        <v>8.4755672030498097</v>
      </c>
      <c r="H37" s="4">
        <f t="shared" si="2"/>
        <v>5.2743531177395546</v>
      </c>
    </row>
    <row r="38" spans="2:8" ht="14.1" customHeight="1">
      <c r="B38" s="172" t="str">
        <f>IF(Indice_index!$Z$1=1,"            Sobrevivência","            Survival")</f>
        <v xml:space="preserve">            Sobrevivência</v>
      </c>
      <c r="C38" s="4">
        <v>3120.87523908</v>
      </c>
      <c r="D38" s="4">
        <v>3250.0649450000001</v>
      </c>
      <c r="E38" s="4">
        <v>2230.50442681</v>
      </c>
      <c r="F38" s="4">
        <v>2359.1587352200004</v>
      </c>
      <c r="G38" s="4">
        <f t="shared" si="0"/>
        <v>5.7679467865480918</v>
      </c>
      <c r="H38" s="4">
        <f t="shared" si="2"/>
        <v>0.4916512736467254</v>
      </c>
    </row>
    <row r="39" spans="2:8" ht="14.1" customHeight="1">
      <c r="B39" s="172" t="str">
        <f>IF(Indice_index!$Z$1=1,"            Invalidez","            Disability")</f>
        <v xml:space="preserve">            Invalidez</v>
      </c>
      <c r="C39" s="4">
        <v>1289.8318585100001</v>
      </c>
      <c r="D39" s="4">
        <v>1340.030528</v>
      </c>
      <c r="E39" s="4">
        <v>924.39229839999996</v>
      </c>
      <c r="F39" s="4">
        <v>986.33529481000005</v>
      </c>
      <c r="G39" s="4">
        <f t="shared" si="0"/>
        <v>6.7009425021406139</v>
      </c>
      <c r="H39" s="4">
        <f t="shared" si="2"/>
        <v>0.23671459941643011</v>
      </c>
    </row>
    <row r="40" spans="2:8" ht="14.1" customHeight="1">
      <c r="B40" s="172" t="str">
        <f>IF(Indice_index!$Z$1=1,"            Velhice","            Old-age")</f>
        <v xml:space="preserve">            Velhice</v>
      </c>
      <c r="C40" s="4">
        <v>17374.613347709994</v>
      </c>
      <c r="D40" s="4">
        <v>18271.130075000001</v>
      </c>
      <c r="E40" s="4">
        <v>12421.102167760004</v>
      </c>
      <c r="F40" s="4">
        <v>13247.594047949999</v>
      </c>
      <c r="G40" s="4">
        <f t="shared" si="0"/>
        <v>6.6539335159421089</v>
      </c>
      <c r="H40" s="4">
        <f t="shared" si="2"/>
        <v>3.1584312299836075</v>
      </c>
    </row>
    <row r="41" spans="2:8" ht="14.1" customHeight="1">
      <c r="B41" s="172" t="str">
        <f>IF(Indice_index!$Z$1=1,"            Beneficiários dos antigos combatentes","            War veteran beneficiaries")</f>
        <v xml:space="preserve">            Beneficiários dos antigos combatentes</v>
      </c>
      <c r="C41" s="4">
        <v>50.253030710000004</v>
      </c>
      <c r="D41" s="4">
        <v>52.337752999999999</v>
      </c>
      <c r="E41" s="4">
        <v>0.59818093000000006</v>
      </c>
      <c r="F41" s="4">
        <v>0.71736738</v>
      </c>
      <c r="G41" s="4">
        <f t="shared" si="0"/>
        <v>19.924816058579456</v>
      </c>
      <c r="H41" s="4">
        <f t="shared" si="2"/>
        <v>4.5546993853628982E-4</v>
      </c>
    </row>
    <row r="42" spans="2:8" ht="14.1" customHeight="1">
      <c r="B42" s="172" t="str">
        <f>IF(Indice_index!$Z$1=1,"            Parcela de atualização extraordinária de pensões","            Portion of extraordinary pensions update")</f>
        <v xml:space="preserve">            Parcela de atualização extraordinária de pensões</v>
      </c>
      <c r="C42" s="4">
        <v>986.11758557999997</v>
      </c>
      <c r="D42" s="4">
        <v>1033.1994279999999</v>
      </c>
      <c r="E42" s="4">
        <v>707.16081626999994</v>
      </c>
      <c r="F42" s="4">
        <v>717.60562231000006</v>
      </c>
      <c r="G42" s="4">
        <f t="shared" si="0"/>
        <v>1.4770057672443495</v>
      </c>
      <c r="H42" s="4">
        <f t="shared" si="2"/>
        <v>3.9914731624797313E-2</v>
      </c>
    </row>
    <row r="43" spans="2:8" ht="14.1" customHeight="1">
      <c r="B43" s="172" t="str">
        <f>IF(Indice_index!$Z$1=1,"            Complemento excecional de pensão","            Exceptional pension supplement")</f>
        <v xml:space="preserve">            Complemento excecional de pensão</v>
      </c>
      <c r="C43" s="4">
        <v>0.48594207</v>
      </c>
      <c r="D43" s="4">
        <v>0.6</v>
      </c>
      <c r="E43" s="4">
        <v>0.48594207</v>
      </c>
      <c r="F43" s="4">
        <v>0</v>
      </c>
      <c r="G43" s="4">
        <f t="shared" si="0"/>
        <v>-100</v>
      </c>
      <c r="H43" s="4">
        <f t="shared" si="2"/>
        <v>-1.8570232166080754E-3</v>
      </c>
    </row>
    <row r="44" spans="2:8" ht="14.1" customHeight="1">
      <c r="B44" s="172" t="str">
        <f>IF(Indice_index!$Z$1=1,"            Suplemento extraordinário de pensão","            Extraordinary pension supplement")</f>
        <v xml:space="preserve">            Suplemento extraordinário de pensão</v>
      </c>
      <c r="C44" s="4">
        <v>360.07316680000002</v>
      </c>
      <c r="D44" s="4">
        <v>0</v>
      </c>
      <c r="E44" s="4">
        <v>0</v>
      </c>
      <c r="F44" s="4">
        <v>353.01479408</v>
      </c>
      <c r="G44" s="4" t="str">
        <f t="shared" si="0"/>
        <v>-</v>
      </c>
      <c r="H44" s="4">
        <f t="shared" si="2"/>
        <v>1.3490428363460669</v>
      </c>
    </row>
    <row r="45" spans="2:8" ht="14.1" customHeight="1">
      <c r="B45" s="172" t="str">
        <f>IF(Indice_index!$Z$1=1,"Subsídio familiar a crianças e jovens","Family benefit")</f>
        <v>Subsídio familiar a crianças e jovens</v>
      </c>
      <c r="C45" s="4">
        <v>1359.1712037000002</v>
      </c>
      <c r="D45" s="4">
        <v>1403.203651</v>
      </c>
      <c r="E45" s="4">
        <v>1013.6207994499999</v>
      </c>
      <c r="F45" s="4">
        <v>1050.1005255099999</v>
      </c>
      <c r="G45" s="4">
        <f t="shared" si="0"/>
        <v>3.59895200254318</v>
      </c>
      <c r="H45" s="4">
        <f t="shared" si="2"/>
        <v>0.1394069425372505</v>
      </c>
    </row>
    <row r="46" spans="2:8" ht="14.1" customHeight="1">
      <c r="B46" s="172" t="str">
        <f>IF(Indice_index!$Z$1=1,"Subsídio por doença","Illness benefit")</f>
        <v>Subsídio por doença</v>
      </c>
      <c r="C46" s="4">
        <v>920.34261673000003</v>
      </c>
      <c r="D46" s="4">
        <v>986.28231300000004</v>
      </c>
      <c r="E46" s="4">
        <v>692.50590212999987</v>
      </c>
      <c r="F46" s="4">
        <v>748.77121127999999</v>
      </c>
      <c r="G46" s="4">
        <f t="shared" si="0"/>
        <v>8.1248851420529533</v>
      </c>
      <c r="H46" s="4">
        <f t="shared" si="2"/>
        <v>0.21501736900692917</v>
      </c>
    </row>
    <row r="47" spans="2:8" ht="14.1" customHeight="1">
      <c r="B47" s="172" t="str">
        <f>IF(Indice_index!$Z$1=1,"Prestações de desemprego","Unemployment benefits")</f>
        <v>Prestações de desemprego</v>
      </c>
      <c r="C47" s="4">
        <v>1591.1218670599999</v>
      </c>
      <c r="D47" s="4">
        <v>1604.8506170000001</v>
      </c>
      <c r="E47" s="4">
        <v>1187.11436583</v>
      </c>
      <c r="F47" s="4">
        <v>1267.5289359799999</v>
      </c>
      <c r="G47" s="4">
        <f t="shared" si="0"/>
        <v>6.7739530802304877</v>
      </c>
      <c r="H47" s="4">
        <f t="shared" si="2"/>
        <v>0.30730355106341906</v>
      </c>
    </row>
    <row r="48" spans="2:8" ht="14.1" customHeight="1">
      <c r="B48" s="172" t="str">
        <f>IF(Indice_index!$Z$1=1,"Complemento Solidário para Idosos","Elderly pension supplement")</f>
        <v>Complemento Solidário para Idosos</v>
      </c>
      <c r="C48" s="4">
        <v>398.66373706999997</v>
      </c>
      <c r="D48" s="4">
        <v>406.77725900000002</v>
      </c>
      <c r="E48" s="4">
        <v>278.11559388000001</v>
      </c>
      <c r="F48" s="4">
        <v>396.54933138000001</v>
      </c>
      <c r="G48" s="4">
        <f t="shared" si="0"/>
        <v>42.584357046552817</v>
      </c>
      <c r="H48" s="4">
        <f t="shared" si="2"/>
        <v>0.45259345453906974</v>
      </c>
    </row>
    <row r="49" spans="2:8" ht="14.1" customHeight="1">
      <c r="B49" s="172" t="str">
        <f>IF(Indice_index!$Z$1=1,"Prestação Social para a Inclusão","Social benefits for inclusion")</f>
        <v>Prestação Social para a Inclusão</v>
      </c>
      <c r="C49" s="4">
        <v>711.93368003</v>
      </c>
      <c r="D49" s="4">
        <v>788.10452399999997</v>
      </c>
      <c r="E49" s="4">
        <v>528.63660443999993</v>
      </c>
      <c r="F49" s="4">
        <v>595.95863229999998</v>
      </c>
      <c r="G49" s="4">
        <f t="shared" si="0"/>
        <v>12.735029563704961</v>
      </c>
      <c r="H49" s="4">
        <f t="shared" si="2"/>
        <v>0.25727051935461309</v>
      </c>
    </row>
    <row r="50" spans="2:8" ht="14.1" customHeight="1">
      <c r="B50" s="172" t="str">
        <f>IF(Indice_index!$Z$1=1,"Prestações de parentalidade","Parenthood benefits")</f>
        <v>Prestações de parentalidade</v>
      </c>
      <c r="C50" s="4">
        <v>890.91562321000015</v>
      </c>
      <c r="D50" s="4">
        <v>956.93889999999999</v>
      </c>
      <c r="E50" s="4">
        <v>660.84573883000019</v>
      </c>
      <c r="F50" s="4">
        <v>745.94992820000016</v>
      </c>
      <c r="G50" s="4">
        <f t="shared" si="0"/>
        <v>12.878071896275427</v>
      </c>
      <c r="H50" s="4">
        <f t="shared" si="2"/>
        <v>0.32522488841252234</v>
      </c>
    </row>
    <row r="51" spans="2:8" ht="14.1" customHeight="1">
      <c r="B51" s="172" t="str">
        <f>IF(Indice_index!$Z$1=1,"Medidas excecionais e temporárias (COVID-19)","Exceptional and temporary measures (COVID-19)")</f>
        <v>Medidas excecionais e temporárias (COVID-19)</v>
      </c>
      <c r="C51" s="4">
        <v>3.4792194700000008</v>
      </c>
      <c r="D51" s="4">
        <v>15</v>
      </c>
      <c r="E51" s="4">
        <v>1.6968548699999999</v>
      </c>
      <c r="F51" s="4">
        <v>0.43911947000000001</v>
      </c>
      <c r="G51" s="4">
        <f t="shared" si="0"/>
        <v>-74.121565859076682</v>
      </c>
      <c r="H51" s="4">
        <f t="shared" si="2"/>
        <v>-4.8064244327515084E-3</v>
      </c>
    </row>
    <row r="52" spans="2:8" ht="14.1" customHeight="1">
      <c r="B52" s="172" t="str">
        <f>IF(Indice_index!$Z$1=1,"Garantia Infância","European Child Guarantee")</f>
        <v>Garantia Infância</v>
      </c>
      <c r="C52" s="4">
        <v>83.087833860000003</v>
      </c>
      <c r="D52" s="4">
        <v>86.636215000000007</v>
      </c>
      <c r="E52" s="4">
        <v>60.933647390000012</v>
      </c>
      <c r="F52" s="4">
        <v>64.070669159999994</v>
      </c>
      <c r="G52" s="4">
        <f t="shared" si="0"/>
        <v>5.1482586458706026</v>
      </c>
      <c r="H52" s="4">
        <f t="shared" si="2"/>
        <v>1.198810026449228E-2</v>
      </c>
    </row>
    <row r="53" spans="2:8" ht="14.1" customHeight="1">
      <c r="B53" s="172" t="str">
        <f>IF(Indice_index!$Z$1=1,"Complemento ao apoio extraordinário para crianças e jovens","Complement to the extraordinary support for children and young people")</f>
        <v>Complemento ao apoio extraordinário para crianças e jovens</v>
      </c>
      <c r="C53" s="4">
        <v>2.0639139200000001</v>
      </c>
      <c r="D53" s="4">
        <v>5</v>
      </c>
      <c r="E53" s="4">
        <v>1.8659659899999999</v>
      </c>
      <c r="F53" s="4">
        <v>0.16094388999999998</v>
      </c>
      <c r="G53" s="4">
        <f>IF(IFERROR((F53-E53)/E53*100,"")&gt;500,"-",IFERROR((F53-E53)/E53*100,""))</f>
        <v>-91.374768304324775</v>
      </c>
      <c r="H53" s="4">
        <f t="shared" si="2"/>
        <v>-6.5157265032226063E-3</v>
      </c>
    </row>
    <row r="54" spans="2:8" ht="14.1" customHeight="1">
      <c r="B54" s="172" t="str">
        <f>IF(Indice_index!$Z$1=1,"Outras prestações","Other benefits")</f>
        <v>Outras prestações</v>
      </c>
      <c r="C54" s="4">
        <v>704.62334267999995</v>
      </c>
      <c r="D54" s="4">
        <v>780.22730100000001</v>
      </c>
      <c r="E54" s="4">
        <v>538.39724022000007</v>
      </c>
      <c r="F54" s="4">
        <v>480.39332013000018</v>
      </c>
      <c r="G54" s="4">
        <f>IF(IFERROR((F54-E54)/E54*100,"")&gt;500,"-",IFERROR((F54-E54)/E54*100,""))</f>
        <v>-10.773443055967061</v>
      </c>
      <c r="H54" s="4">
        <f t="shared" si="2"/>
        <v>-0.22166145495780878</v>
      </c>
    </row>
    <row r="55" spans="2:8" ht="14.1" customHeight="1">
      <c r="B55" s="172" t="str">
        <f>IF(Indice_index!$Z$1=1,"Ação social","Social assistance")</f>
        <v>Ação social</v>
      </c>
      <c r="C55" s="4">
        <v>2953.6711378800005</v>
      </c>
      <c r="D55" s="4">
        <v>3697.2694110000002</v>
      </c>
      <c r="E55" s="4">
        <v>2120.6684731600003</v>
      </c>
      <c r="F55" s="4">
        <v>2507.2434952799999</v>
      </c>
      <c r="G55" s="4">
        <f t="shared" si="0"/>
        <v>18.228922955786935</v>
      </c>
      <c r="H55" s="4">
        <f t="shared" si="2"/>
        <v>1.4772929436581186</v>
      </c>
    </row>
    <row r="56" spans="2:8" ht="14.1" customHeight="1">
      <c r="B56" s="172" t="str">
        <f>IF(Indice_index!$Z$1=1,"Rendimento Social de Inserção","Social Integration Income")</f>
        <v>Rendimento Social de Inserção</v>
      </c>
      <c r="C56" s="4">
        <v>357.62175327999989</v>
      </c>
      <c r="D56" s="4">
        <v>373.82532500000002</v>
      </c>
      <c r="E56" s="4">
        <v>270.07868539000003</v>
      </c>
      <c r="F56" s="4">
        <v>259.42158857999999</v>
      </c>
      <c r="G56" s="4">
        <f t="shared" si="0"/>
        <v>-3.9459229426457481</v>
      </c>
      <c r="H56" s="4">
        <f t="shared" si="2"/>
        <v>-4.0725998878446426E-2</v>
      </c>
    </row>
    <row r="57" spans="2:8" ht="14.1" customHeight="1">
      <c r="B57" s="172" t="str">
        <f>IF(Indice_index!$Z$1=1,"Subsídio de Apoio ao Cuidador Informal","Social Benefit for Informal Caregivers")</f>
        <v>Subsídio de Apoio ao Cuidador Informal</v>
      </c>
      <c r="C57" s="4">
        <v>25.584761520000001</v>
      </c>
      <c r="D57" s="4">
        <v>28.057914</v>
      </c>
      <c r="E57" s="4">
        <v>18.722452579999999</v>
      </c>
      <c r="F57" s="4">
        <v>25.916426589999997</v>
      </c>
      <c r="G57" s="4">
        <f t="shared" si="0"/>
        <v>38.424314225182556</v>
      </c>
      <c r="H57" s="4">
        <f t="shared" si="2"/>
        <v>2.7491706483130988E-2</v>
      </c>
    </row>
    <row r="58" spans="2:8" ht="14.1" customHeight="1">
      <c r="B58" s="125" t="str">
        <f>IF(Indice_index!$Z$1=1,"Pensão velhice do regime substitutivo dos bancários","Old age pension scheme from Banking regime")</f>
        <v>Pensão velhice do regime substitutivo dos bancários</v>
      </c>
      <c r="C58" s="4">
        <v>390.75305714000001</v>
      </c>
      <c r="D58" s="4">
        <v>382.18832900000001</v>
      </c>
      <c r="E58" s="4">
        <v>280.62095325000001</v>
      </c>
      <c r="F58" s="4">
        <v>271.30189044999997</v>
      </c>
      <c r="G58" s="4">
        <f t="shared" si="0"/>
        <v>-3.3208720489584604</v>
      </c>
      <c r="H58" s="4">
        <f t="shared" si="2"/>
        <v>-3.561271403529382E-2</v>
      </c>
    </row>
    <row r="59" spans="2:8" ht="14.1" customHeight="1">
      <c r="B59" s="125" t="str">
        <f>IF(Indice_index!$Z$1=1,"Administração","Administration")</f>
        <v>Administração</v>
      </c>
      <c r="C59" s="4">
        <v>388.86957275000015</v>
      </c>
      <c r="D59" s="4">
        <v>477.21807000000001</v>
      </c>
      <c r="E59" s="4">
        <v>274.96601549999991</v>
      </c>
      <c r="F59" s="4">
        <v>283.80830752999992</v>
      </c>
      <c r="G59" s="4">
        <f t="shared" si="0"/>
        <v>3.2157763256383269</v>
      </c>
      <c r="H59" s="4">
        <f t="shared" si="2"/>
        <v>3.3790738858519839E-2</v>
      </c>
    </row>
    <row r="60" spans="2:8" ht="14.1" customHeight="1">
      <c r="B60" s="125" t="str">
        <f>IF(Indice_index!$Z$1=1,"Transferências correntes","Current transfers")</f>
        <v>Transferências correntes</v>
      </c>
      <c r="C60" s="4">
        <v>1649.1780649300003</v>
      </c>
      <c r="D60" s="4">
        <v>1795.2067890000001</v>
      </c>
      <c r="E60" s="4">
        <v>1285.8547085199989</v>
      </c>
      <c r="F60" s="4">
        <v>1370.1729525199974</v>
      </c>
      <c r="G60" s="4">
        <f>IF(IFERROR((F60-E60)/E60*100,"")&gt;500,"-",IFERROR((F60-E60)/E60*100,""))</f>
        <v>6.5573694633857667</v>
      </c>
      <c r="H60" s="4">
        <f t="shared" si="2"/>
        <v>0.32222140530376736</v>
      </c>
    </row>
    <row r="61" spans="2:8" ht="14.1" customHeight="1">
      <c r="B61" s="125" t="str">
        <f>IF(Indice_index!$Z$1=1,"Ações de Formação Profissional","Vocational Training Programs")</f>
        <v>Ações de Formação Profissional</v>
      </c>
      <c r="C61" s="4">
        <v>895.04153439999993</v>
      </c>
      <c r="D61" s="4">
        <v>1201.165139</v>
      </c>
      <c r="E61" s="4">
        <v>573.67570636000005</v>
      </c>
      <c r="F61" s="4">
        <v>827.90948646000004</v>
      </c>
      <c r="G61" s="4">
        <f t="shared" si="0"/>
        <v>44.316636957337018</v>
      </c>
      <c r="H61" s="4">
        <f t="shared" si="2"/>
        <v>0.97155208663397274</v>
      </c>
    </row>
    <row r="62" spans="2:8" ht="14.1" customHeight="1">
      <c r="B62" s="287" t="str">
        <f>IF(Indice_index!$Z$1=1,"dos quais:","of which:")</f>
        <v>dos quais:</v>
      </c>
      <c r="C62" s="4">
        <v>0</v>
      </c>
      <c r="D62" s="4">
        <v>0</v>
      </c>
      <c r="E62" s="4">
        <v>0</v>
      </c>
      <c r="F62" s="4">
        <v>0</v>
      </c>
      <c r="G62" s="4"/>
      <c r="H62" s="4"/>
    </row>
    <row r="63" spans="2:8" ht="14.1" customHeight="1">
      <c r="B63" s="172" t="str">
        <f>IF(Indice_index!$Z$1=1,"Com suporte no Fundo Social Europeu","Supported by the European Social Fund")</f>
        <v>Com suporte no Fundo Social Europeu</v>
      </c>
      <c r="C63" s="4">
        <v>853.37224771000001</v>
      </c>
      <c r="D63" s="4">
        <v>1093.2182319999999</v>
      </c>
      <c r="E63" s="4">
        <v>547.72625829999993</v>
      </c>
      <c r="F63" s="4">
        <v>757.43184569999994</v>
      </c>
      <c r="G63" s="4">
        <f t="shared" ref="G63:G67" si="3">IF(IFERROR((F63-E63)/E63*100,"")&gt;500,"-",IFERROR((F63-E63)/E63*100,""))</f>
        <v>38.286568193913453</v>
      </c>
      <c r="H63" s="4">
        <f>IFERROR((F63-E63)/$E$68*100,"-")</f>
        <v>0.80138800177196823</v>
      </c>
    </row>
    <row r="64" spans="2:8" ht="14.1" customHeight="1">
      <c r="B64" s="125" t="str">
        <f>IF(Indice_index!$Z$1=1,"Subsídios Correntes - Programas Operacionais (PO)","Subsídios Correntes - Programas Operacionais (PO)")</f>
        <v>Subsídios Correntes - Programas Operacionais (PO)</v>
      </c>
      <c r="C64" s="4">
        <v>73.229550290000006</v>
      </c>
      <c r="D64" s="4">
        <v>286.08000299999998</v>
      </c>
      <c r="E64" s="4">
        <v>53.939525369999991</v>
      </c>
      <c r="F64" s="4">
        <v>83.293382959999988</v>
      </c>
      <c r="G64" s="4">
        <f t="shared" si="3"/>
        <v>54.419940458589913</v>
      </c>
      <c r="H64" s="4">
        <f>IFERROR((F64-E64)/$E$68*100,"-")</f>
        <v>0.11217550075801662</v>
      </c>
    </row>
    <row r="65" spans="2:8" ht="14.1" customHeight="1">
      <c r="B65" s="174" t="str">
        <f>IF(Indice_index!$Z$1=1,"Despesa de Capital","Capital expenditure")</f>
        <v>Despesa de Capital</v>
      </c>
      <c r="C65" s="134">
        <f>+C66+C67</f>
        <v>74.219772540000008</v>
      </c>
      <c r="D65" s="134">
        <f>+D66+D67</f>
        <v>165.36738199999999</v>
      </c>
      <c r="E65" s="134">
        <f>+E66+E67</f>
        <v>41.294173429999994</v>
      </c>
      <c r="F65" s="134">
        <f>+F66+F67</f>
        <v>45.702633889999994</v>
      </c>
      <c r="G65" s="134">
        <f t="shared" si="3"/>
        <v>10.675744527186195</v>
      </c>
      <c r="H65" s="134">
        <f>IFERROR((F65-E65)/$E$68*100,"-")</f>
        <v>1.6846891695791469E-2</v>
      </c>
    </row>
    <row r="66" spans="2:8" ht="14.1" customHeight="1">
      <c r="B66" s="125" t="str">
        <f>IF(Indice_index!$Z$1=1,"PIDDAC","PIDDAC - Central Admin. Invest. and Expend. Develop. Program")</f>
        <v>PIDDAC</v>
      </c>
      <c r="C66" s="4">
        <v>0.22939634999999997</v>
      </c>
      <c r="D66" s="4">
        <v>7.1252709999999997</v>
      </c>
      <c r="E66" s="4">
        <v>0.13553826999999999</v>
      </c>
      <c r="F66" s="4">
        <v>6.5937000000000005E-4</v>
      </c>
      <c r="G66" s="4">
        <f t="shared" si="3"/>
        <v>-99.513517473699494</v>
      </c>
      <c r="H66" s="4">
        <f>IFERROR((F66-E66)/$E$68*100,"-")</f>
        <v>-5.1543849399694687E-4</v>
      </c>
    </row>
    <row r="67" spans="2:8" ht="14.1" customHeight="1">
      <c r="B67" s="125" t="str">
        <f>IF(Indice_index!$Z$1=1,"Outras","Others")</f>
        <v>Outras</v>
      </c>
      <c r="C67" s="4">
        <v>73.990376190000006</v>
      </c>
      <c r="D67" s="4">
        <v>158.24211099999999</v>
      </c>
      <c r="E67" s="4">
        <v>41.158635159999996</v>
      </c>
      <c r="F67" s="4">
        <v>45.701974519999993</v>
      </c>
      <c r="G67" s="4">
        <f t="shared" si="3"/>
        <v>11.038605489074721</v>
      </c>
      <c r="H67" s="4">
        <f>IFERROR((F67-E67)/$E$68*100,"-")</f>
        <v>1.7362330189788402E-2</v>
      </c>
    </row>
    <row r="68" spans="2:8" ht="14.1" customHeight="1">
      <c r="B68" s="30" t="str">
        <f>IF(Indice_index!$Z$1=1,"Despesa efetiva","Effective expenditure")</f>
        <v>Despesa efetiva</v>
      </c>
      <c r="C68" s="18">
        <f>+C35+C65</f>
        <v>36655.822412919988</v>
      </c>
      <c r="D68" s="18">
        <f>+D35+D65</f>
        <v>39386.761871000002</v>
      </c>
      <c r="E68" s="18">
        <f>+E35+E65</f>
        <v>26167.79723883</v>
      </c>
      <c r="F68" s="18">
        <f>+F35+F65</f>
        <v>28689.118643309997</v>
      </c>
      <c r="G68" s="18">
        <f>IF(IFERROR((F68-E68)/E68*100,"")&gt;500,"-",IFERROR((F68-E68)/E68*100,""))</f>
        <v>9.6352068975016589</v>
      </c>
      <c r="H68" s="18"/>
    </row>
    <row r="69" spans="2:8" ht="14.1" customHeight="1">
      <c r="B69" s="30" t="str">
        <f>IF(Indice_index!$Z$1=1,"Saldo global","Overall balance")</f>
        <v>Saldo global</v>
      </c>
      <c r="C69" s="18">
        <f>+C34-C68</f>
        <v>5536.2508758500189</v>
      </c>
      <c r="D69" s="18">
        <f>+D34-D68</f>
        <v>5658.9743869999947</v>
      </c>
      <c r="E69" s="18">
        <f>+E34-E68</f>
        <v>4308.3355574999987</v>
      </c>
      <c r="F69" s="18">
        <f>+F34-F68</f>
        <v>4745.4270972500053</v>
      </c>
      <c r="G69" s="18"/>
      <c r="H69" s="18"/>
    </row>
    <row r="70" spans="2:8" ht="14.1" customHeight="1">
      <c r="B70" s="125" t="str">
        <f>IF(Indice_index!$Z$1=1,"Ativos financeiros líquidos de reembolsos","Financial assets net of reimbursements")</f>
        <v>Ativos financeiros líquidos de reembolsos</v>
      </c>
      <c r="C70" s="327">
        <v>3921.814486949997</v>
      </c>
      <c r="D70" s="4">
        <v>582.79303200000004</v>
      </c>
      <c r="E70" s="328">
        <v>-971.62021020999907</v>
      </c>
      <c r="F70" s="327">
        <v>1489.3196262299996</v>
      </c>
      <c r="G70" s="4"/>
      <c r="H70" s="4"/>
    </row>
    <row r="71" spans="2:8" ht="12.75" hidden="1" customHeight="1">
      <c r="B71" s="125" t="str">
        <f>IF(Indice_index!$Z$1=1,"Alienação de partes de capital","Disposal of Capital Shares")</f>
        <v>Alienação de partes de capital</v>
      </c>
      <c r="C71" s="292">
        <v>0</v>
      </c>
      <c r="D71" s="4">
        <v>0</v>
      </c>
      <c r="E71" s="4">
        <v>0</v>
      </c>
      <c r="F71" s="292">
        <v>0</v>
      </c>
      <c r="G71" s="4"/>
      <c r="H71" s="4"/>
    </row>
    <row r="72" spans="2:8" ht="14.1" customHeight="1">
      <c r="B72" s="125" t="str">
        <f>IF(Indice_index!$Z$1=1,"Passivos financeiros líquidos de amortizações","Financial liabilities net of amortizations")</f>
        <v>Passivos financeiros líquidos de amortizações</v>
      </c>
      <c r="C72" s="292">
        <v>-0.11339467</v>
      </c>
      <c r="D72" s="4">
        <v>-40</v>
      </c>
      <c r="E72" s="4">
        <v>0</v>
      </c>
      <c r="F72" s="292">
        <v>0</v>
      </c>
      <c r="G72" s="4"/>
      <c r="H72" s="4"/>
    </row>
    <row r="73" spans="2:8" ht="14.1" customHeight="1">
      <c r="B73" s="173" t="str">
        <f>IF(Indice_index!$Z$1=1,"Poupança (+) / Utilização (-) de saldo da gerência anterior","Saving (+) / Usage (-) of balance from previous management")</f>
        <v>Poupança (+) / Utilização (-) de saldo da gerência anterior</v>
      </c>
      <c r="C73" s="19">
        <f>(+C69-C70+C72)</f>
        <v>1614.322994230022</v>
      </c>
      <c r="D73" s="19">
        <f>(+D69-D70+D72)</f>
        <v>5036.1813549999952</v>
      </c>
      <c r="E73" s="19">
        <f>(+E69-E70+E72)</f>
        <v>5279.9557677099974</v>
      </c>
      <c r="F73" s="19">
        <f>(+F69-F70+F72)</f>
        <v>3256.1074710200055</v>
      </c>
      <c r="G73" s="19"/>
      <c r="H73" s="19"/>
    </row>
    <row r="74" spans="2:8" ht="15">
      <c r="B74" s="9" t="str">
        <f>IF(Indice_index!$Z$1=1,"Notas:","Notes:")</f>
        <v>Notas:</v>
      </c>
      <c r="C74" s="9"/>
      <c r="D74" s="9"/>
      <c r="E74" s="9"/>
      <c r="F74" s="9"/>
      <c r="G74" s="9"/>
      <c r="H74" s="9"/>
    </row>
    <row r="75" spans="2:8" ht="15">
      <c r="B75" s="409" t="str">
        <f>IF(Indice_index!$Z$1=1,"Valores consolidados - são excluídas transferências intra-setoriais.","Consolidated data - transfers within the subsector are excluded.")</f>
        <v>Valores consolidados - são excluídas transferências intra-setoriais.</v>
      </c>
      <c r="C75" s="409"/>
      <c r="D75" s="409"/>
      <c r="E75" s="409"/>
      <c r="F75" s="409"/>
      <c r="G75" s="409"/>
      <c r="H75" s="409"/>
    </row>
    <row r="76" spans="2:8" ht="15">
      <c r="B76" s="409"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409"/>
      <c r="D76" s="409"/>
      <c r="E76" s="409"/>
      <c r="F76" s="409"/>
      <c r="G76" s="409"/>
      <c r="H76" s="409"/>
    </row>
    <row r="77" spans="2:8" ht="15">
      <c r="B77" s="392" t="str">
        <f>+'3 - Conta AC + SS'!$B$61</f>
        <v>Os dados de 2024 são mensalmente revistos e atualizados face ao publicado nas Sínteses de Execução Orçamental de 2024.</v>
      </c>
      <c r="C77" s="392"/>
      <c r="D77" s="392"/>
      <c r="E77" s="392"/>
      <c r="F77" s="392"/>
      <c r="G77" s="392"/>
      <c r="H77" s="392"/>
    </row>
    <row r="78" spans="2:8" ht="57.75" customHeight="1">
      <c r="B78" s="408"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408"/>
      <c r="D78" s="408"/>
      <c r="E78" s="408"/>
      <c r="F78" s="408"/>
      <c r="G78" s="408"/>
      <c r="H78" s="408"/>
    </row>
    <row r="79" spans="2:8" ht="15">
      <c r="B79" s="71" t="str">
        <f>IF(Indice_index!$Z$1=1,"Fonte: Instituto de Gestão Financeira da Segurança Social, I.P.","Souce: Social Security Finance Management Institute.")</f>
        <v>Fonte: Instituto de Gestão Financeira da Segurança Social, I.P.</v>
      </c>
      <c r="E79" s="74"/>
      <c r="F79" s="74"/>
    </row>
    <row r="80" spans="2:8" ht="14.85" customHeight="1"/>
    <row r="109" spans="2:2" ht="102" hidden="1">
      <c r="B109" s="162" t="s">
        <v>327</v>
      </c>
    </row>
    <row r="110" spans="2:2" ht="79.5" hidden="1">
      <c r="B110" s="162" t="s">
        <v>326</v>
      </c>
    </row>
  </sheetData>
  <mergeCells count="7">
    <mergeCell ref="B78:H78"/>
    <mergeCell ref="B10:B11"/>
    <mergeCell ref="E10:F10"/>
    <mergeCell ref="G10:H10"/>
    <mergeCell ref="B75:H75"/>
    <mergeCell ref="B76:H76"/>
    <mergeCell ref="B77:H77"/>
  </mergeCells>
  <conditionalFormatting sqref="C12:H33 C35:H67">
    <cfRule type="cellIs" dxfId="50" priority="2" operator="equal">
      <formula>0</formula>
    </cfRule>
  </conditionalFormatting>
  <conditionalFormatting sqref="C70:H73">
    <cfRule type="cellIs" dxfId="49"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75" customWidth="1"/>
    <col min="2" max="2" width="43.5703125" style="76" customWidth="1"/>
    <col min="3" max="6" width="10.42578125" style="77" customWidth="1"/>
    <col min="7" max="7" width="10.42578125" style="78" customWidth="1"/>
    <col min="8" max="8" width="10.42578125" style="77" customWidth="1"/>
    <col min="9" max="9" width="8.5703125" style="75" customWidth="1"/>
    <col min="10" max="16384" width="9.42578125" hidden="1"/>
  </cols>
  <sheetData>
    <row r="1" spans="1:9" ht="14.85" customHeight="1"/>
    <row r="2" spans="1:9" ht="15"/>
    <row r="3" spans="1:9" ht="15"/>
    <row r="4" spans="1:9" ht="15"/>
    <row r="5" spans="1:9" ht="18" customHeight="1">
      <c r="A5"/>
      <c r="B5" s="269" t="str">
        <f>IF(Indice_index!$Z$1=1,"ANEXOS ESTATÍSTICOS","STATISTICAL ANNEXES")</f>
        <v>ANEXOS ESTATÍSTICOS</v>
      </c>
      <c r="C5"/>
      <c r="D5"/>
      <c r="E5"/>
      <c r="F5"/>
      <c r="G5"/>
      <c r="H5"/>
      <c r="I5"/>
    </row>
    <row r="6" spans="1:9" ht="18" customHeight="1">
      <c r="A6"/>
      <c r="B6" s="270" t="str">
        <f>IF(Indice_index!$Z$1=1,"Setembro de 2025","September 2025")</f>
        <v>Setembro de 2025</v>
      </c>
      <c r="C6"/>
      <c r="D6"/>
      <c r="E6"/>
      <c r="F6"/>
      <c r="G6"/>
      <c r="H6"/>
      <c r="I6"/>
    </row>
    <row r="7" spans="1:9" ht="50.1" customHeight="1">
      <c r="B7" s="12"/>
      <c r="C7" s="13"/>
      <c r="D7" s="11"/>
      <c r="E7" s="11"/>
      <c r="F7" s="11"/>
      <c r="G7" s="11"/>
      <c r="H7" s="11"/>
    </row>
    <row r="8" spans="1:9"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1:9" ht="15">
      <c r="B9" s="3" t="str">
        <f>+'3 - Conta AC + SS'!B9</f>
        <v>Período: janeiro a setembro</v>
      </c>
      <c r="C9" s="3"/>
      <c r="D9" s="3"/>
      <c r="E9" s="3"/>
      <c r="F9" s="3"/>
      <c r="G9" s="3"/>
      <c r="H9" s="3" t="str">
        <f>IF(Indice_index!$Z$1=1,"€ Milhões","€ Millions")</f>
        <v>€ Milhões</v>
      </c>
    </row>
    <row r="10" spans="1:9"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391" t="str">
        <f>IF(Indice_index!$Z$1=1,"Variação Homóloga Acumulada","YOY Change Rate")</f>
        <v>Variação Homóloga Acumulada</v>
      </c>
      <c r="H10" s="387"/>
    </row>
    <row r="11" spans="1:9" ht="26.85" customHeight="1">
      <c r="B11" s="389"/>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+C13+C16+C17+C18+C23</f>
        <v>42190.197021020002</v>
      </c>
      <c r="D12" s="134">
        <f>+D13+D16+D17+D18+D23</f>
        <v>45038.829192001351</v>
      </c>
      <c r="E12" s="134">
        <f>+E13+E16+E17+E18+E23</f>
        <v>30475.477298410002</v>
      </c>
      <c r="F12" s="134">
        <f>+F13+F16+F17+F18+F23</f>
        <v>33434.321105479998</v>
      </c>
      <c r="G12" s="134">
        <f t="shared" ref="G12:G31" si="0">IF(IFERROR((F12-E12)/E12*100,"")&gt;500,"-",IFERROR((F12-E12)/E12*100,""))</f>
        <v>9.7089334421166473</v>
      </c>
      <c r="H12" s="134">
        <f t="shared" ref="H12:H31" si="1">IFERROR((F12-E12)/$E$32*100,"-")</f>
        <v>9.7087246455755203</v>
      </c>
    </row>
    <row r="13" spans="1:9" ht="14.1" customHeight="1">
      <c r="B13" s="125" t="str">
        <f>IF(Indice_index!$Z$1=1,"Receitas fiscais","Tax revenue")</f>
        <v>Receitas fiscais</v>
      </c>
      <c r="C13" s="4">
        <f>+C14+C15</f>
        <v>232.90479740999996</v>
      </c>
      <c r="D13" s="4">
        <f>+D14+D15</f>
        <v>256.82781899999998</v>
      </c>
      <c r="E13" s="4">
        <f>+E14+E15</f>
        <v>169.91868922999998</v>
      </c>
      <c r="F13" s="4">
        <f>+F14+F15</f>
        <v>169.83279561999998</v>
      </c>
      <c r="G13" s="4">
        <f t="shared" si="0"/>
        <v>-5.0549830856884026E-2</v>
      </c>
      <c r="H13" s="4">
        <f t="shared" si="1"/>
        <v>-2.8183894205968088E-4</v>
      </c>
    </row>
    <row r="14" spans="1:9" ht="15" hidden="1">
      <c r="B14" s="172" t="str">
        <f>IF(Indice_index!$Z$1=1,"Impostos diretos","Direct taxes")</f>
        <v>Impostos diretos</v>
      </c>
      <c r="C14" s="4">
        <v>0</v>
      </c>
      <c r="D14" s="4">
        <v>0</v>
      </c>
      <c r="E14" s="4">
        <v>0</v>
      </c>
      <c r="F14" s="4">
        <v>0</v>
      </c>
      <c r="G14" s="4" t="str">
        <f t="shared" si="0"/>
        <v>-</v>
      </c>
      <c r="H14" s="4">
        <f t="shared" si="1"/>
        <v>0</v>
      </c>
    </row>
    <row r="15" spans="1:9" ht="14.1" customHeight="1">
      <c r="B15" s="172" t="str">
        <f>IF(Indice_index!$Z$1=1,"Impostos indiretos","Indirect taxes")</f>
        <v>Impostos indiretos</v>
      </c>
      <c r="C15" s="4">
        <v>232.90479740999996</v>
      </c>
      <c r="D15" s="4">
        <v>256.82781899999998</v>
      </c>
      <c r="E15" s="4">
        <v>169.91868922999998</v>
      </c>
      <c r="F15" s="4">
        <v>169.83279561999998</v>
      </c>
      <c r="G15" s="4">
        <f t="shared" si="0"/>
        <v>-5.0549830856884026E-2</v>
      </c>
      <c r="H15" s="4">
        <f t="shared" si="1"/>
        <v>-2.8183894205968088E-4</v>
      </c>
    </row>
    <row r="16" spans="1:9" ht="14.1" customHeight="1">
      <c r="B16" s="125" t="str">
        <f>IF(Indice_index!$Z$1=1,"Contribuições para Segurança Social, CGA e ADSE","Contributions to the Social Security, Public Servants Social and ADSE")</f>
        <v>Contribuições para Segurança Social, CGA e ADSE</v>
      </c>
      <c r="C16" s="4">
        <v>27688.469554570001</v>
      </c>
      <c r="D16" s="4">
        <v>29460.531805999999</v>
      </c>
      <c r="E16" s="4">
        <v>20177.280456740002</v>
      </c>
      <c r="F16" s="4">
        <v>22000.79150721</v>
      </c>
      <c r="G16" s="4">
        <f t="shared" si="0"/>
        <v>9.0374471147367874</v>
      </c>
      <c r="H16" s="4">
        <f t="shared" si="1"/>
        <v>5.9834069763583742</v>
      </c>
    </row>
    <row r="17" spans="2:8" ht="14.1" customHeight="1">
      <c r="B17" s="125" t="str">
        <f>IF(Indice_index!$Z$1=1,"Taxas, multas e outras penalidades","Taxes, fines and other penalties")</f>
        <v>Taxas, multas e outras penalidades</v>
      </c>
      <c r="C17" s="4">
        <v>138.288331</v>
      </c>
      <c r="D17" s="4">
        <v>98.206166999999994</v>
      </c>
      <c r="E17" s="4">
        <v>99.301334060000002</v>
      </c>
      <c r="F17" s="4">
        <v>132.65753234999997</v>
      </c>
      <c r="G17" s="4">
        <f t="shared" si="0"/>
        <v>33.590886372025409</v>
      </c>
      <c r="H17" s="4">
        <f t="shared" si="1"/>
        <v>0.10945023311031626</v>
      </c>
    </row>
    <row r="18" spans="2:8" ht="14.1" customHeight="1">
      <c r="B18" s="125" t="str">
        <f>IF(Indice_index!$Z$1=1,"Transferências correntes","Current transfers")</f>
        <v>Transferências correntes</v>
      </c>
      <c r="C18" s="4">
        <f>SUM(C19:C22)</f>
        <v>13016.03506806</v>
      </c>
      <c r="D18" s="4">
        <f>SUM(D19:D22)</f>
        <v>14359.633797001356</v>
      </c>
      <c r="E18" s="4">
        <f>SUM(E19:E22)</f>
        <v>9284.8373434999994</v>
      </c>
      <c r="F18" s="4">
        <f>SUM(F19:F22)</f>
        <v>10148.58052926</v>
      </c>
      <c r="G18" s="4">
        <f t="shared" si="0"/>
        <v>9.3027282418111277</v>
      </c>
      <c r="H18" s="4">
        <f t="shared" si="1"/>
        <v>2.8341627006462837</v>
      </c>
    </row>
    <row r="19" spans="2:8" ht="13.5" customHeight="1">
      <c r="B19" s="172" t="str">
        <f>IF(Indice_index!$Z$1=1,"Administração Central","Central Administration")</f>
        <v>Administração Central</v>
      </c>
      <c r="C19" s="4">
        <v>12009.822730219999</v>
      </c>
      <c r="D19" s="4">
        <v>12309.906677997646</v>
      </c>
      <c r="E19" s="4">
        <v>8624.3724716300003</v>
      </c>
      <c r="F19" s="4">
        <v>9124.271794549999</v>
      </c>
      <c r="G19" s="4">
        <f t="shared" si="0"/>
        <v>5.7963559037416905</v>
      </c>
      <c r="H19" s="4">
        <f t="shared" si="1"/>
        <v>1.6402977626405992</v>
      </c>
    </row>
    <row r="20" spans="2:8" ht="15" hidden="1">
      <c r="B20" s="172" t="str">
        <f>IF(Indice_index!$Z$1=1,"Outros subsectores das AP","Other General Government subsectors")</f>
        <v>Outros subsectores das AP</v>
      </c>
      <c r="C20" s="4">
        <v>0</v>
      </c>
      <c r="D20" s="4">
        <v>0</v>
      </c>
      <c r="E20" s="4">
        <v>0</v>
      </c>
      <c r="F20" s="4">
        <v>0</v>
      </c>
      <c r="G20" s="4" t="str">
        <f t="shared" si="0"/>
        <v>-</v>
      </c>
      <c r="H20" s="4">
        <f t="shared" si="1"/>
        <v>0</v>
      </c>
    </row>
    <row r="21" spans="2:8" ht="14.1" customHeight="1">
      <c r="B21" s="172" t="str">
        <f>IF(Indice_index!$Z$1=1,"União Europeia","European Union")</f>
        <v>União Europeia</v>
      </c>
      <c r="C21" s="4">
        <v>1003.10162465</v>
      </c>
      <c r="D21" s="4">
        <v>2047.7271190037097</v>
      </c>
      <c r="E21" s="4">
        <v>658.28792236000004</v>
      </c>
      <c r="F21" s="4">
        <v>1022.2441810800002</v>
      </c>
      <c r="G21" s="4">
        <f t="shared" si="0"/>
        <v>55.288308710753199</v>
      </c>
      <c r="H21" s="4">
        <f t="shared" si="1"/>
        <v>1.1942337376860173</v>
      </c>
    </row>
    <row r="22" spans="2:8" ht="14.1" customHeight="1">
      <c r="B22" s="172" t="str">
        <f>IF(Indice_index!$Z$1=1,"Outras transferências","Other transfers")</f>
        <v>Outras transferências</v>
      </c>
      <c r="C22" s="4">
        <v>3.1107131899999558</v>
      </c>
      <c r="D22" s="4">
        <v>2</v>
      </c>
      <c r="E22" s="4">
        <v>2.17694951</v>
      </c>
      <c r="F22" s="4">
        <v>2.0645536300000003</v>
      </c>
      <c r="G22" s="4">
        <f t="shared" si="0"/>
        <v>-5.162998934228832</v>
      </c>
      <c r="H22" s="4">
        <f t="shared" si="1"/>
        <v>-3.6879968033788548E-4</v>
      </c>
    </row>
    <row r="23" spans="2:8" ht="14.1" customHeight="1">
      <c r="B23" s="125" t="str">
        <f>IF(Indice_index!$Z$1=1,"Outras receitas correntes","Other current revenue")</f>
        <v>Outras receitas correntes</v>
      </c>
      <c r="C23" s="4">
        <v>1114.4992699800002</v>
      </c>
      <c r="D23" s="4">
        <v>863.62960299999997</v>
      </c>
      <c r="E23" s="4">
        <v>744.13947487999997</v>
      </c>
      <c r="F23" s="4">
        <v>982.45874104000018</v>
      </c>
      <c r="G23" s="4">
        <f t="shared" si="0"/>
        <v>32.026155607244412</v>
      </c>
      <c r="H23" s="4">
        <f t="shared" si="1"/>
        <v>0.78198657440261776</v>
      </c>
    </row>
    <row r="24" spans="2:8" ht="14.1" customHeight="1">
      <c r="B24" s="174" t="str">
        <f>IF(Indice_index!$Z$1=1,"Receita de capital","Capital revenue")</f>
        <v>Receita de capital</v>
      </c>
      <c r="C24" s="134">
        <f>+C25+C26+C31</f>
        <v>1.8762677499999998</v>
      </c>
      <c r="D24" s="134">
        <f>+D25+D26+D31</f>
        <v>6.9070660000000004</v>
      </c>
      <c r="E24" s="134">
        <f>+E25+E26+E31</f>
        <v>0.6554078400000003</v>
      </c>
      <c r="F24" s="134">
        <f>+F25+F26+F31</f>
        <v>0.22442759000000001</v>
      </c>
      <c r="G24" s="134">
        <f t="shared" si="0"/>
        <v>-65.757567074571483</v>
      </c>
      <c r="H24" s="134">
        <f t="shared" si="1"/>
        <v>-1.4141566259541043E-3</v>
      </c>
    </row>
    <row r="25" spans="2:8" ht="14.1" customHeight="1">
      <c r="B25" s="125" t="str">
        <f>IF(Indice_index!$Z$1=1,"Venda de bens de investimento","Sale of investment goods")</f>
        <v>Venda de bens de investimento</v>
      </c>
      <c r="C25" s="4">
        <v>1.2519401499999998</v>
      </c>
      <c r="D25" s="4">
        <v>0.548095</v>
      </c>
      <c r="E25" s="4">
        <v>0.64746896000000032</v>
      </c>
      <c r="F25" s="4">
        <v>0.22136213000000002</v>
      </c>
      <c r="G25" s="4">
        <f t="shared" si="0"/>
        <v>-65.811159503306556</v>
      </c>
      <c r="H25" s="4">
        <f t="shared" si="1"/>
        <v>-1.3981656862670599E-3</v>
      </c>
    </row>
    <row r="26" spans="2:8" ht="14.1" customHeight="1">
      <c r="B26" s="125" t="str">
        <f>IF(Indice_index!$Z$1=1,"Transferências de capital","Capital transfers")</f>
        <v>Transferências de capital</v>
      </c>
      <c r="C26" s="4">
        <f t="shared" ref="C26" si="2">+SUM(C27:C30)</f>
        <v>0.61556542000000003</v>
      </c>
      <c r="D26" s="4">
        <f>+SUM(D27:D30)</f>
        <v>6.3437710000000003</v>
      </c>
      <c r="E26" s="4">
        <f t="shared" ref="E26:F26" si="3">+SUM(E27:E30)</f>
        <v>0</v>
      </c>
      <c r="F26" s="4">
        <f t="shared" si="3"/>
        <v>0</v>
      </c>
      <c r="G26" s="4" t="str">
        <f t="shared" si="0"/>
        <v>-</v>
      </c>
      <c r="H26" s="4">
        <f t="shared" si="1"/>
        <v>0</v>
      </c>
    </row>
    <row r="27" spans="2:8" ht="14.1" customHeight="1">
      <c r="B27" s="172" t="str">
        <f>IF(Indice_index!$Z$1=1,"Administração Central","Central Administration")</f>
        <v>Administração Central</v>
      </c>
      <c r="C27" s="4">
        <v>0.50710699999999997</v>
      </c>
      <c r="D27" s="4">
        <v>6.3437710000000003</v>
      </c>
      <c r="E27" s="4">
        <v>0</v>
      </c>
      <c r="F27" s="4">
        <v>0</v>
      </c>
      <c r="G27" s="4" t="str">
        <f t="shared" si="0"/>
        <v>-</v>
      </c>
      <c r="H27" s="4">
        <f t="shared" si="1"/>
        <v>0</v>
      </c>
    </row>
    <row r="28" spans="2:8" ht="15" hidden="1">
      <c r="B28" s="172" t="str">
        <f>IF(Indice_index!$Z$1=1,"Outros subsectores das AP","Other General Government subsectors")</f>
        <v>Outros subsectores das AP</v>
      </c>
      <c r="C28" s="4">
        <v>0</v>
      </c>
      <c r="D28" s="4">
        <v>0</v>
      </c>
      <c r="E28" s="4">
        <v>0</v>
      </c>
      <c r="F28" s="4">
        <v>0</v>
      </c>
      <c r="G28" s="4" t="str">
        <f t="shared" si="0"/>
        <v>-</v>
      </c>
      <c r="H28" s="4">
        <f t="shared" si="1"/>
        <v>0</v>
      </c>
    </row>
    <row r="29" spans="2:8" ht="15" hidden="1">
      <c r="B29" s="172" t="str">
        <f>IF(Indice_index!$Z$1=1,"União Europeia","European Union")</f>
        <v>União Europeia</v>
      </c>
      <c r="C29" s="4">
        <v>0</v>
      </c>
      <c r="D29" s="4">
        <v>0</v>
      </c>
      <c r="E29" s="4">
        <v>0</v>
      </c>
      <c r="F29" s="4">
        <v>0</v>
      </c>
      <c r="G29" s="4" t="str">
        <f t="shared" si="0"/>
        <v>-</v>
      </c>
      <c r="H29" s="4">
        <f t="shared" si="1"/>
        <v>0</v>
      </c>
    </row>
    <row r="30" spans="2:8" ht="15">
      <c r="B30" s="172" t="str">
        <f>IF(Indice_index!$Z$1=1,"Outras transferências","Other transfers")</f>
        <v>Outras transferências</v>
      </c>
      <c r="C30" s="4">
        <v>0.10845842</v>
      </c>
      <c r="D30" s="4">
        <v>0</v>
      </c>
      <c r="E30" s="4">
        <v>0</v>
      </c>
      <c r="F30" s="4">
        <v>0</v>
      </c>
      <c r="G30" s="4" t="str">
        <f t="shared" si="0"/>
        <v>-</v>
      </c>
      <c r="H30" s="4">
        <f t="shared" si="1"/>
        <v>0</v>
      </c>
    </row>
    <row r="31" spans="2:8" ht="14.1" customHeight="1">
      <c r="B31" s="125" t="str">
        <f>IF(Indice_index!$Z$1=1,"Outras receitas de capital","Other capital revenue")</f>
        <v>Outras receitas de capital</v>
      </c>
      <c r="C31" s="4">
        <v>8.7621799999999996E-3</v>
      </c>
      <c r="D31" s="4">
        <v>1.52E-2</v>
      </c>
      <c r="E31" s="4">
        <v>7.9388800000000006E-3</v>
      </c>
      <c r="F31" s="4">
        <v>3.0654599999999999E-3</v>
      </c>
      <c r="G31" s="4">
        <f t="shared" si="0"/>
        <v>-61.386744729735177</v>
      </c>
      <c r="H31" s="4">
        <f t="shared" si="1"/>
        <v>-1.5990939687044239E-5</v>
      </c>
    </row>
    <row r="32" spans="2:8" ht="14.1" customHeight="1">
      <c r="B32" s="30" t="str">
        <f>IF(Indice_index!$Z$1=1,"Receita efetiva","Effective revenue")</f>
        <v>Receita efetiva</v>
      </c>
      <c r="C32" s="18">
        <f>+C12+C24</f>
        <v>42192.07328877</v>
      </c>
      <c r="D32" s="18">
        <f>+D12+D24</f>
        <v>45045.736258001351</v>
      </c>
      <c r="E32" s="18">
        <f>+E12+E24</f>
        <v>30476.132706250002</v>
      </c>
      <c r="F32" s="18">
        <f>+F12+F24</f>
        <v>33434.545533069999</v>
      </c>
      <c r="G32" s="18">
        <f t="shared" ref="G32:G55" si="4">IF(IFERROR((F32-E32)/E32*100,"")&gt;500,"-",IFERROR((F32-E32)/E32*100,""))</f>
        <v>9.7073104889495685</v>
      </c>
      <c r="H32" s="18"/>
    </row>
    <row r="33" spans="2:8" ht="14.1" customHeight="1">
      <c r="B33" s="174" t="str">
        <f>IF(Indice_index!$Z$1=1,"Despesa corrente","Current Expenditure")</f>
        <v>Despesa corrente</v>
      </c>
      <c r="C33" s="134">
        <f>+C34+C38+C39+C40+C45+C46</f>
        <v>36488.520517340003</v>
      </c>
      <c r="D33" s="134">
        <f>+D34+D38+D39+D40+D45+D46</f>
        <v>39125.150488999359</v>
      </c>
      <c r="E33" s="134">
        <f>+E34+E38+E39+E40+E45+E46</f>
        <v>26062.394221620005</v>
      </c>
      <c r="F33" s="134">
        <f>+F34+F38+F39+F40+F45+F46</f>
        <v>28601.554585680002</v>
      </c>
      <c r="G33" s="134">
        <f t="shared" si="4"/>
        <v>9.7426212744247476</v>
      </c>
      <c r="H33" s="134">
        <f t="shared" ref="H33:H54" si="5">IFERROR((F33-E33)/$E$55*100,"-")</f>
        <v>9.7033783198693335</v>
      </c>
    </row>
    <row r="34" spans="2:8" ht="14.1" customHeight="1">
      <c r="B34" s="125" t="str">
        <f>IF(Indice_index!$Z$1=1,"Despesas com pessoal","Employees")</f>
        <v>Despesas com pessoal</v>
      </c>
      <c r="C34" s="4">
        <f>+C35+C36+C37</f>
        <v>343.43857215999998</v>
      </c>
      <c r="D34" s="4">
        <f>+D35+D36+D37</f>
        <v>377.40724799999998</v>
      </c>
      <c r="E34" s="4">
        <f>+E35+E36+E37</f>
        <v>247.94424283000006</v>
      </c>
      <c r="F34" s="4">
        <f>+F35+F36+F37</f>
        <v>254.57627287000003</v>
      </c>
      <c r="G34" s="4">
        <f t="shared" si="4"/>
        <v>2.6748070309287768</v>
      </c>
      <c r="H34" s="4">
        <f t="shared" si="5"/>
        <v>2.5344242694447319E-2</v>
      </c>
    </row>
    <row r="35" spans="2:8" ht="14.1" customHeight="1">
      <c r="B35" s="172" t="str">
        <f>IF(Indice_index!$Z$1=1,"Remunerações certas e permanentes","Certain and permanent wages")</f>
        <v>Remunerações certas e permanentes</v>
      </c>
      <c r="C35" s="4">
        <v>274.90866547999997</v>
      </c>
      <c r="D35" s="4">
        <v>302.48836599999998</v>
      </c>
      <c r="E35" s="4">
        <v>198.83684093000005</v>
      </c>
      <c r="F35" s="4">
        <v>203.66878133</v>
      </c>
      <c r="G35" s="4">
        <f t="shared" si="4"/>
        <v>2.430103182790468</v>
      </c>
      <c r="H35" s="4">
        <f t="shared" si="5"/>
        <v>1.8465216448673435E-2</v>
      </c>
    </row>
    <row r="36" spans="2:8" ht="14.1" customHeight="1">
      <c r="B36" s="172" t="str">
        <f>IF(Indice_index!$Z$1=1,"Abonos variáveis ou eventuais","Variable or contingent bonuses")</f>
        <v>Abonos variáveis ou eventuais</v>
      </c>
      <c r="C36" s="4">
        <v>6.6891858600000003</v>
      </c>
      <c r="D36" s="4">
        <v>6.8466940000000003</v>
      </c>
      <c r="E36" s="4">
        <v>5.205014929999999</v>
      </c>
      <c r="F36" s="4">
        <v>5.1580670200000007</v>
      </c>
      <c r="G36" s="4">
        <f t="shared" si="4"/>
        <v>-0.90197455014789596</v>
      </c>
      <c r="H36" s="4">
        <f t="shared" si="5"/>
        <v>-1.7941101259502659E-4</v>
      </c>
    </row>
    <row r="37" spans="2:8" ht="14.1" customHeight="1">
      <c r="B37" s="172" t="str">
        <f>IF(Indice_index!$Z$1=1,"Segurança Social","Social security")</f>
        <v>Segurança Social</v>
      </c>
      <c r="C37" s="4">
        <v>61.840720820000008</v>
      </c>
      <c r="D37" s="4">
        <v>68.072187999999997</v>
      </c>
      <c r="E37" s="4">
        <v>43.902386969999995</v>
      </c>
      <c r="F37" s="4">
        <v>45.749424520000012</v>
      </c>
      <c r="G37" s="4">
        <f t="shared" si="4"/>
        <v>4.2071460744541325</v>
      </c>
      <c r="H37" s="4">
        <f t="shared" si="5"/>
        <v>7.0584372583689459E-3</v>
      </c>
    </row>
    <row r="38" spans="2:8" ht="14.1" customHeight="1">
      <c r="B38" s="125" t="str">
        <f>IF(Indice_index!$Z$1=1,"Aquisição de bens e serviços","Purchase of goods and services")</f>
        <v>Aquisição de bens e serviços</v>
      </c>
      <c r="C38" s="4">
        <v>113.26162645999999</v>
      </c>
      <c r="D38" s="4">
        <v>264.85666099999997</v>
      </c>
      <c r="E38" s="4">
        <v>62.472549269999995</v>
      </c>
      <c r="F38" s="4">
        <v>64.921356079999995</v>
      </c>
      <c r="G38" s="4">
        <f t="shared" si="4"/>
        <v>3.9198125234437082</v>
      </c>
      <c r="H38" s="4">
        <f t="shared" si="5"/>
        <v>9.3580930318668647E-3</v>
      </c>
    </row>
    <row r="39" spans="2:8" ht="14.1" customHeight="1">
      <c r="B39" s="125" t="str">
        <f>IF(Indice_index!$Z$1=1,"Juros e outros encargos","Interests")</f>
        <v>Juros e outros encargos</v>
      </c>
      <c r="C39" s="4">
        <v>7.8518955199999994</v>
      </c>
      <c r="D39" s="4">
        <v>11.973628</v>
      </c>
      <c r="E39" s="4">
        <v>5.4025475500000004</v>
      </c>
      <c r="F39" s="4">
        <v>6.4889281599999995</v>
      </c>
      <c r="G39" s="4">
        <f t="shared" si="4"/>
        <v>20.108672805665524</v>
      </c>
      <c r="H39" s="4">
        <f t="shared" si="5"/>
        <v>4.1515936556858332E-3</v>
      </c>
    </row>
    <row r="40" spans="2:8" ht="14.1" customHeight="1">
      <c r="B40" s="125" t="str">
        <f>IF(Indice_index!$Z$1=1,"Transferências correntes","Current transfers")</f>
        <v>Transferências correntes</v>
      </c>
      <c r="C40" s="4">
        <f>+C41+C42+C43+C44</f>
        <v>35450.815412980002</v>
      </c>
      <c r="D40" s="4">
        <f>+D41+D42+D43+D44</f>
        <v>37344.476982003711</v>
      </c>
      <c r="E40" s="4">
        <f>+E41+E42+E43+E44</f>
        <v>25334.080437450004</v>
      </c>
      <c r="F40" s="4">
        <f>+F41+F42+F43+F44</f>
        <v>27596.962281049997</v>
      </c>
      <c r="G40" s="4">
        <f t="shared" si="4"/>
        <v>8.9321649119535316</v>
      </c>
      <c r="H40" s="4">
        <f t="shared" si="5"/>
        <v>8.6475824577321934</v>
      </c>
    </row>
    <row r="41" spans="2:8" ht="14.1" customHeight="1">
      <c r="B41" s="172" t="str">
        <f>IF(Indice_index!$Z$1=1,"Administração Central","Central Administration")</f>
        <v>Administração Central</v>
      </c>
      <c r="C41" s="4">
        <v>2060.4957935300004</v>
      </c>
      <c r="D41" s="4">
        <v>2142.8116540037099</v>
      </c>
      <c r="E41" s="4">
        <v>1528.1880194600001</v>
      </c>
      <c r="F41" s="4">
        <v>1598.8438873100001</v>
      </c>
      <c r="G41" s="4">
        <f t="shared" si="4"/>
        <v>4.623506201479513</v>
      </c>
      <c r="H41" s="4">
        <f t="shared" si="5"/>
        <v>0.27001075866315133</v>
      </c>
    </row>
    <row r="42" spans="2:8" ht="14.1" customHeight="1">
      <c r="B42" s="172" t="str">
        <f>IF(Indice_index!$Z$1=1,"Outros subsetores das Administrações Públicas","Other General Government subsectors")</f>
        <v>Outros subsetores das Administrações Públicas</v>
      </c>
      <c r="C42" s="4">
        <v>94.858972929999993</v>
      </c>
      <c r="D42" s="4">
        <v>241.19467599999999</v>
      </c>
      <c r="E42" s="4">
        <v>63.366929090000006</v>
      </c>
      <c r="F42" s="4">
        <v>101.71479914</v>
      </c>
      <c r="G42" s="4">
        <f t="shared" si="4"/>
        <v>60.517166605209063</v>
      </c>
      <c r="H42" s="4">
        <f t="shared" si="5"/>
        <v>0.1465460378648003</v>
      </c>
    </row>
    <row r="43" spans="2:8" ht="13.5" customHeight="1">
      <c r="B43" s="172" t="str">
        <f>IF(Indice_index!$Z$1=1,"União Europeia","European Union")</f>
        <v>União Europeia</v>
      </c>
      <c r="C43" s="4">
        <v>5.57330126</v>
      </c>
      <c r="D43" s="4">
        <v>0</v>
      </c>
      <c r="E43" s="4">
        <v>0.15</v>
      </c>
      <c r="F43" s="4">
        <v>0</v>
      </c>
      <c r="G43" s="4">
        <f t="shared" si="4"/>
        <v>-100</v>
      </c>
      <c r="H43" s="4">
        <f t="shared" si="5"/>
        <v>-5.7322364061051817E-4</v>
      </c>
    </row>
    <row r="44" spans="2:8" ht="14.1" customHeight="1">
      <c r="B44" s="172" t="str">
        <f>IF(Indice_index!$Z$1=1,"Outras transferências","Other transfers")</f>
        <v>Outras transferências</v>
      </c>
      <c r="C44" s="4">
        <v>33289.887345260002</v>
      </c>
      <c r="D44" s="4">
        <v>34960.470652000004</v>
      </c>
      <c r="E44" s="4">
        <v>23742.375488900005</v>
      </c>
      <c r="F44" s="4">
        <v>25896.403594599997</v>
      </c>
      <c r="G44" s="4">
        <f t="shared" si="4"/>
        <v>9.0725045887132882</v>
      </c>
      <c r="H44" s="4">
        <f t="shared" si="5"/>
        <v>8.2315988848448498</v>
      </c>
    </row>
    <row r="45" spans="2:8" ht="14.1" customHeight="1">
      <c r="B45" s="125" t="str">
        <f>IF(Indice_index!$Z$1=1,"Subsídios","Subsidies")</f>
        <v>Subsídios</v>
      </c>
      <c r="C45" s="4">
        <v>565.37863703999994</v>
      </c>
      <c r="D45" s="4">
        <v>1111.769765995647</v>
      </c>
      <c r="E45" s="4">
        <v>405.33850922000005</v>
      </c>
      <c r="F45" s="4">
        <v>671.19330654999999</v>
      </c>
      <c r="G45" s="4">
        <f t="shared" si="4"/>
        <v>65.588339445366046</v>
      </c>
      <c r="H45" s="4">
        <f t="shared" si="5"/>
        <v>1.015961698661827</v>
      </c>
    </row>
    <row r="46" spans="2:8" ht="14.1" customHeight="1">
      <c r="B46" s="125" t="str">
        <f>IF(Indice_index!$Z$1=1,"Outras despesas correntes","Other current expenditure")</f>
        <v>Outras despesas correntes</v>
      </c>
      <c r="C46" s="4">
        <v>7.7743731799999996</v>
      </c>
      <c r="D46" s="4">
        <v>14.666204</v>
      </c>
      <c r="E46" s="4">
        <v>7.1559352999999994</v>
      </c>
      <c r="F46" s="4">
        <v>7.4124409699999987</v>
      </c>
      <c r="G46" s="4">
        <f t="shared" si="4"/>
        <v>3.5845163384861691</v>
      </c>
      <c r="H46" s="4">
        <f t="shared" si="5"/>
        <v>9.8023409329759813E-4</v>
      </c>
    </row>
    <row r="47" spans="2:8" ht="14.1" customHeight="1">
      <c r="B47" s="174" t="str">
        <f>IF(Indice_index!$Z$1=1,"Despesa de capital","Capital expenditure")</f>
        <v>Despesa de capital</v>
      </c>
      <c r="C47" s="134">
        <f>+C48+C49+C54</f>
        <v>167.30189558000001</v>
      </c>
      <c r="D47" s="134">
        <f>+D48+D49+D54</f>
        <v>261.61138199999999</v>
      </c>
      <c r="E47" s="134">
        <f>+E48+E49+E54</f>
        <v>105.40301720999997</v>
      </c>
      <c r="F47" s="134">
        <f>+F48+F49+F54</f>
        <v>87.564057629999994</v>
      </c>
      <c r="G47" s="134">
        <f t="shared" si="4"/>
        <v>-16.924524602989763</v>
      </c>
      <c r="H47" s="134">
        <f t="shared" si="5"/>
        <v>-6.8171422367676454E-2</v>
      </c>
    </row>
    <row r="48" spans="2:8" ht="14.1" customHeight="1">
      <c r="B48" s="125" t="str">
        <f>IF(Indice_index!$Z$1=1,"Investimento","Investment")</f>
        <v>Investimento</v>
      </c>
      <c r="C48" s="4">
        <v>71.658219189999997</v>
      </c>
      <c r="D48" s="4">
        <v>162.870271</v>
      </c>
      <c r="E48" s="4">
        <v>39.495837649999991</v>
      </c>
      <c r="F48" s="4">
        <v>44.204905229999994</v>
      </c>
      <c r="G48" s="4">
        <f t="shared" si="4"/>
        <v>11.92294646775267</v>
      </c>
      <c r="H48" s="4">
        <f t="shared" si="5"/>
        <v>1.7995659080590427E-2</v>
      </c>
    </row>
    <row r="49" spans="2:8" ht="14.1" customHeight="1">
      <c r="B49" s="125" t="str">
        <f>IF(Indice_index!$Z$1=1,"Transferências de capital","Capital transfers")</f>
        <v>Transferências de capital</v>
      </c>
      <c r="C49" s="4">
        <f>(+C51+C53+C50+C52)</f>
        <v>95.643676389999996</v>
      </c>
      <c r="D49" s="4">
        <f>(+D51+D53+D50+D52)</f>
        <v>98.741111000000004</v>
      </c>
      <c r="E49" s="4">
        <f>(+E51+E53+E50+E52)</f>
        <v>65.907179559999989</v>
      </c>
      <c r="F49" s="4">
        <f>(+F51+F53+F50+F52)</f>
        <v>43.359152399999999</v>
      </c>
      <c r="G49" s="4">
        <f t="shared" si="4"/>
        <v>-34.211791963382254</v>
      </c>
      <c r="H49" s="4">
        <f t="shared" si="5"/>
        <v>-8.6167081448266902E-2</v>
      </c>
    </row>
    <row r="50" spans="2:8" ht="15" hidden="1">
      <c r="B50" s="172" t="str">
        <f>IF(Indice_index!$Z$1=1,"Administração Central","Central Administration")</f>
        <v>Administração Central</v>
      </c>
      <c r="C50" s="4">
        <v>0</v>
      </c>
      <c r="D50" s="4">
        <v>0</v>
      </c>
      <c r="E50" s="4">
        <v>0</v>
      </c>
      <c r="F50" s="4">
        <v>0</v>
      </c>
      <c r="G50" s="4" t="str">
        <f t="shared" si="4"/>
        <v>-</v>
      </c>
      <c r="H50" s="4">
        <f t="shared" si="5"/>
        <v>0</v>
      </c>
    </row>
    <row r="51" spans="2:8" ht="15" hidden="1">
      <c r="B51" s="172" t="str">
        <f>IF(Indice_index!$Z$1=1,"Outros subsectores das AP","Other General Government subsectors")</f>
        <v>Outros subsectores das AP</v>
      </c>
      <c r="C51" s="4">
        <v>0</v>
      </c>
      <c r="D51" s="4">
        <v>0</v>
      </c>
      <c r="E51" s="4">
        <v>0</v>
      </c>
      <c r="F51" s="4">
        <v>0</v>
      </c>
      <c r="G51" s="4" t="str">
        <f t="shared" si="4"/>
        <v>-</v>
      </c>
      <c r="H51" s="4">
        <f t="shared" si="5"/>
        <v>0</v>
      </c>
    </row>
    <row r="52" spans="2:8" ht="14.1" customHeight="1">
      <c r="B52" s="172" t="str">
        <f>IF(Indice_index!$Z$1=1,"União Europeia","European Union")</f>
        <v>União Europeia</v>
      </c>
      <c r="C52" s="4">
        <v>1.7101109999999999E-2</v>
      </c>
      <c r="D52" s="4">
        <v>0.15</v>
      </c>
      <c r="E52" s="4">
        <v>0</v>
      </c>
      <c r="F52" s="4">
        <v>0</v>
      </c>
      <c r="G52" s="4" t="str">
        <f t="shared" si="4"/>
        <v>-</v>
      </c>
      <c r="H52" s="4">
        <f t="shared" si="5"/>
        <v>0</v>
      </c>
    </row>
    <row r="53" spans="2:8" ht="14.1" customHeight="1">
      <c r="B53" s="172" t="str">
        <f>IF(Indice_index!$Z$1=1,"Outras transferências","Other transfers")</f>
        <v>Outras transferências</v>
      </c>
      <c r="C53" s="4">
        <v>95.626575279999997</v>
      </c>
      <c r="D53" s="4">
        <v>98.591110999999998</v>
      </c>
      <c r="E53" s="4">
        <v>65.907179559999989</v>
      </c>
      <c r="F53" s="4">
        <v>43.359152399999999</v>
      </c>
      <c r="G53" s="4">
        <f t="shared" si="4"/>
        <v>-34.211791963382254</v>
      </c>
      <c r="H53" s="4">
        <f t="shared" si="5"/>
        <v>-8.6167081448266902E-2</v>
      </c>
    </row>
    <row r="54" spans="2:8" ht="15" hidden="1">
      <c r="B54" s="125" t="str">
        <f>IF(Indice_index!$Z$1=1,"Outras despesas de capital","Other capital expenditure")</f>
        <v>Outras despesas de capital</v>
      </c>
      <c r="C54" s="4">
        <v>0</v>
      </c>
      <c r="D54" s="4">
        <v>0</v>
      </c>
      <c r="E54" s="4">
        <v>0</v>
      </c>
      <c r="F54" s="4">
        <v>0</v>
      </c>
      <c r="G54" s="4" t="str">
        <f t="shared" si="4"/>
        <v>-</v>
      </c>
      <c r="H54" s="4">
        <f t="shared" si="5"/>
        <v>0</v>
      </c>
    </row>
    <row r="55" spans="2:8" ht="14.1" customHeight="1">
      <c r="B55" s="30" t="str">
        <f>IF(Indice_index!$Z$1=1,"Despesa efetiva","Effective Expenditure")</f>
        <v>Despesa efetiva</v>
      </c>
      <c r="C55" s="18">
        <f>+C47+C33</f>
        <v>36655.822412920003</v>
      </c>
      <c r="D55" s="18">
        <f>+D47+D33</f>
        <v>39386.761870999362</v>
      </c>
      <c r="E55" s="18">
        <f>+E47+E33</f>
        <v>26167.797238830004</v>
      </c>
      <c r="F55" s="18">
        <f>+F47+F33</f>
        <v>28689.118643310001</v>
      </c>
      <c r="G55" s="18">
        <f t="shared" si="4"/>
        <v>9.6352068975016572</v>
      </c>
      <c r="H55" s="18"/>
    </row>
    <row r="56" spans="2:8" ht="14.1" customHeight="1">
      <c r="B56" s="30" t="str">
        <f>IF(Indice_index!$Z$1=1,"Saldo global","Overall Balance")</f>
        <v>Saldo global</v>
      </c>
      <c r="C56" s="18">
        <f>+C32-C55</f>
        <v>5536.2508758499971</v>
      </c>
      <c r="D56" s="18">
        <f>+D32-D55</f>
        <v>5658.9743870019884</v>
      </c>
      <c r="E56" s="18">
        <f>+E32-E55</f>
        <v>4308.3354674199982</v>
      </c>
      <c r="F56" s="18">
        <f>+F32-F55</f>
        <v>4745.4268897599977</v>
      </c>
      <c r="G56" s="18"/>
      <c r="H56" s="18"/>
    </row>
    <row r="57" spans="2:8" ht="14.1" customHeight="1">
      <c r="B57" s="125" t="str">
        <f>IF(Indice_index!$Z$1=1,"Despesa primária","Primary Expenditure")</f>
        <v>Despesa primária</v>
      </c>
      <c r="C57" s="4">
        <f>+C55-C39</f>
        <v>36647.970517400005</v>
      </c>
      <c r="D57" s="4">
        <f>+D55-D39</f>
        <v>39374.788242999362</v>
      </c>
      <c r="E57" s="4">
        <f>+E55-E39</f>
        <v>26162.394691280006</v>
      </c>
      <c r="F57" s="4">
        <f>+F55-F39</f>
        <v>28682.62971515</v>
      </c>
      <c r="G57" s="4">
        <f>IF(IFERROR((F57-E57)/E57*100,"")&gt;500,"-",IFERROR((F57-E57)/E57*100,""))</f>
        <v>9.6330441215688687</v>
      </c>
      <c r="H57" s="4"/>
    </row>
    <row r="58" spans="2:8" ht="14.1" customHeight="1">
      <c r="B58" s="125" t="str">
        <f>IF(Indice_index!$Z$1=1,"Saldo primário","Primary balance")</f>
        <v>Saldo primário</v>
      </c>
      <c r="C58" s="4">
        <f>+C56+C39</f>
        <v>5544.1027713699968</v>
      </c>
      <c r="D58" s="4">
        <f>+D56+D39</f>
        <v>5670.9480150019881</v>
      </c>
      <c r="E58" s="4">
        <f>+E56+E39</f>
        <v>4313.7380149699984</v>
      </c>
      <c r="F58" s="4">
        <f>+F56+F39</f>
        <v>4751.9158179199976</v>
      </c>
      <c r="G58" s="4"/>
      <c r="H58" s="4"/>
    </row>
    <row r="59" spans="2:8" ht="14.1" customHeight="1">
      <c r="B59" s="125" t="str">
        <f>IF(Indice_index!$Z$1=1,"Saldo corrente","Current balance")</f>
        <v>Saldo corrente</v>
      </c>
      <c r="C59" s="4">
        <f>+C12-C33</f>
        <v>5701.6765036799989</v>
      </c>
      <c r="D59" s="4">
        <f>+D12-D33</f>
        <v>5913.6787030019914</v>
      </c>
      <c r="E59" s="4">
        <f>+E12-E33</f>
        <v>4413.083076789997</v>
      </c>
      <c r="F59" s="4">
        <f>+F12-F33</f>
        <v>4832.7665197999959</v>
      </c>
      <c r="G59" s="4"/>
      <c r="H59" s="4"/>
    </row>
    <row r="60" spans="2:8" ht="14.1" customHeight="1">
      <c r="B60" s="125" t="str">
        <f>IF(Indice_index!$Z$1=1,"Saldo de capital","Capital balance")</f>
        <v>Saldo de capital</v>
      </c>
      <c r="C60" s="4">
        <f>+C24-C47</f>
        <v>-165.42562783</v>
      </c>
      <c r="D60" s="4">
        <f>+D24-D47</f>
        <v>-254.70431600000001</v>
      </c>
      <c r="E60" s="4">
        <f>+E24-E47</f>
        <v>-104.74760936999998</v>
      </c>
      <c r="F60" s="4">
        <f>+F24-F47</f>
        <v>-87.339630039999989</v>
      </c>
      <c r="G60" s="4"/>
      <c r="H60" s="4"/>
    </row>
    <row r="61" spans="2:8" ht="14.1" customHeight="1">
      <c r="B61" s="125" t="str">
        <f>IF(Indice_index!$Z$1=1,"Ativos financeiros líquidos de reembolsos","Financial assets net of reimbursements")</f>
        <v>Ativos financeiros líquidos de reembolsos</v>
      </c>
      <c r="C61" s="4">
        <v>3921.8144869499974</v>
      </c>
      <c r="D61" s="4">
        <v>582.79303200000004</v>
      </c>
      <c r="E61" s="4">
        <v>-971.62021021000101</v>
      </c>
      <c r="F61" s="4">
        <v>1489.3196262299996</v>
      </c>
      <c r="G61" s="4"/>
      <c r="H61" s="4"/>
    </row>
    <row r="62" spans="2:8" ht="14.1" customHeight="1">
      <c r="B62" s="287" t="str">
        <f>IF(Indice_index!$Z$1=1,"dos quais Receitas de:","of which revenue from:")</f>
        <v>dos quais Receitas de:</v>
      </c>
      <c r="C62" s="4"/>
      <c r="D62" s="4">
        <v>0</v>
      </c>
      <c r="E62" s="4"/>
      <c r="F62" s="4"/>
      <c r="G62" s="4"/>
      <c r="H62" s="4"/>
    </row>
    <row r="63" spans="2:8" ht="15" hidden="1">
      <c r="B63" s="172" t="str">
        <f>IF(Indice_index!$Z$1=1,"Alienação de partes de Capital","Disposal of Capital Shares")</f>
        <v>Alienação de partes de Capital</v>
      </c>
      <c r="C63" s="4">
        <v>0</v>
      </c>
      <c r="D63" s="4">
        <v>0</v>
      </c>
      <c r="E63" s="4">
        <v>0</v>
      </c>
      <c r="F63" s="4">
        <v>0</v>
      </c>
      <c r="G63" s="4"/>
      <c r="H63" s="4"/>
    </row>
    <row r="64" spans="2:8" ht="14.1" customHeight="1">
      <c r="B64" s="172" t="str">
        <f>IF(Indice_index!$Z$1=1,"Outros ativos","Other Assets")</f>
        <v>Outros ativos</v>
      </c>
      <c r="C64" s="4">
        <v>15002.741041550004</v>
      </c>
      <c r="D64" s="4">
        <v>41897.492494999999</v>
      </c>
      <c r="E64" s="4">
        <v>12780.984460689999</v>
      </c>
      <c r="F64" s="4">
        <v>9539.4799621599977</v>
      </c>
      <c r="G64" s="4"/>
      <c r="H64" s="4"/>
    </row>
    <row r="65" spans="2:8" ht="14.1" customHeight="1">
      <c r="B65" s="125"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 customHeight="1">
      <c r="B66" s="173" t="str">
        <f>IF(Indice_index!$Z$1=1,"Poupança (+) / Utilização (-) de saldo da gerência anterior","Saving (+) / Usage (-) of balance from previous management")</f>
        <v>Poupança (+) / Utilização (-) de saldo da gerência anterior</v>
      </c>
      <c r="C66" s="19">
        <f>+C56-C61+C65</f>
        <v>1614.3229942299997</v>
      </c>
      <c r="D66" s="19">
        <f>+D56-D61+D65</f>
        <v>5036.1813550019888</v>
      </c>
      <c r="E66" s="19">
        <f>+E56-E61+E65</f>
        <v>5279.9556776299996</v>
      </c>
      <c r="F66" s="19">
        <f>+F56-F61+F65</f>
        <v>3256.1072635299979</v>
      </c>
      <c r="G66" s="19"/>
      <c r="H66" s="19"/>
    </row>
    <row r="67" spans="2:8" ht="15">
      <c r="B67" s="9" t="str">
        <f>IF(Indice_index!$Z$1=1,"Notas:","Notes:")</f>
        <v>Notas:</v>
      </c>
      <c r="C67" s="9"/>
      <c r="D67" s="9"/>
      <c r="E67" s="9"/>
      <c r="F67" s="9"/>
      <c r="G67" s="9"/>
      <c r="H67" s="9"/>
    </row>
    <row r="68" spans="2:8" ht="15">
      <c r="B68" s="409" t="str">
        <f>IF(Indice_index!$Z$1=1,"Valores consolidados - são excluídas transferências intra-setoriais.","Consolidated data - transfers within the subsector are excluded.")</f>
        <v>Valores consolidados - são excluídas transferências intra-setoriais.</v>
      </c>
      <c r="C68" s="409"/>
      <c r="D68" s="409"/>
      <c r="E68" s="409"/>
      <c r="F68" s="409"/>
      <c r="G68" s="409"/>
      <c r="H68" s="409"/>
    </row>
    <row r="69" spans="2:8" ht="15">
      <c r="B69" s="409"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409"/>
      <c r="D69" s="409"/>
      <c r="E69" s="409"/>
      <c r="F69" s="409"/>
      <c r="G69" s="409"/>
      <c r="H69" s="409"/>
    </row>
    <row r="70" spans="2:8" ht="15">
      <c r="B70" s="392" t="str">
        <f>+'3 - Conta AC + SS'!$B$61</f>
        <v>Os dados de 2024 são mensalmente revistos e atualizados face ao publicado nas Sínteses de Execução Orçamental de 2024.</v>
      </c>
      <c r="C70" s="392"/>
      <c r="D70" s="392"/>
      <c r="E70" s="392"/>
      <c r="F70" s="392"/>
      <c r="G70" s="392"/>
      <c r="H70" s="392"/>
    </row>
    <row r="71" spans="2:8" ht="15">
      <c r="B71" s="71" t="str">
        <f>IF(Indice_index!$Z$1=1,"Fonte: Instituto de Gestão Financeira da Segurança Social, I.P.","Souce: Social Security Finance Management Institute")</f>
        <v>Fonte: Instituto de Gestão Financeira da Segurança Social, I.P.</v>
      </c>
      <c r="C71" s="74"/>
      <c r="D71" s="74"/>
      <c r="E71" s="74"/>
      <c r="F71" s="163"/>
      <c r="G71" s="71"/>
      <c r="H71" s="71"/>
    </row>
    <row r="72" spans="2:8" ht="14.85" customHeight="1"/>
  </sheetData>
  <mergeCells count="6">
    <mergeCell ref="B70:H70"/>
    <mergeCell ref="B10:B11"/>
    <mergeCell ref="E10:F10"/>
    <mergeCell ref="G10:H10"/>
    <mergeCell ref="B68:H68"/>
    <mergeCell ref="B69:H69"/>
  </mergeCells>
  <conditionalFormatting sqref="C33:D54">
    <cfRule type="cellIs" dxfId="48" priority="9" operator="equal">
      <formula>0</formula>
    </cfRule>
  </conditionalFormatting>
  <conditionalFormatting sqref="C12:H31">
    <cfRule type="cellIs" dxfId="47" priority="7" operator="equal">
      <formula>0</formula>
    </cfRule>
  </conditionalFormatting>
  <conditionalFormatting sqref="C57:H66">
    <cfRule type="cellIs" dxfId="46" priority="1" operator="equal">
      <formula>0</formula>
    </cfRule>
  </conditionalFormatting>
  <conditionalFormatting sqref="E33:E34">
    <cfRule type="cellIs" dxfId="45" priority="15" operator="equal">
      <formula>0</formula>
    </cfRule>
  </conditionalFormatting>
  <conditionalFormatting sqref="E36:E54">
    <cfRule type="cellIs" dxfId="44" priority="5" operator="equal">
      <formula>0</formula>
    </cfRule>
  </conditionalFormatting>
  <conditionalFormatting sqref="E35:F39">
    <cfRule type="cellIs" dxfId="43" priority="16" operator="equal">
      <formula>0</formula>
    </cfRule>
  </conditionalFormatting>
  <conditionalFormatting sqref="F33:H54">
    <cfRule type="cellIs" dxfId="42" priority="3"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26:D26 C18:D18 E18:F18 E26:F26"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0" customWidth="1"/>
    <col min="2" max="2" width="42.42578125" style="80" customWidth="1"/>
    <col min="3" max="7" width="8.42578125" style="80" customWidth="1"/>
    <col min="8" max="11" width="8.42578125" style="81" customWidth="1"/>
    <col min="12" max="12" width="8.42578125" style="43" customWidth="1"/>
    <col min="13" max="13" width="8.5703125" style="80" customWidth="1"/>
    <col min="14" max="16384" width="8.5703125" hidden="1"/>
  </cols>
  <sheetData>
    <row r="1" spans="1:13"/>
    <row r="2" spans="1:13"/>
    <row r="3" spans="1:13"/>
    <row r="4" spans="1:13"/>
    <row r="5" spans="1:13" ht="18" customHeight="1">
      <c r="A5"/>
      <c r="B5" s="269" t="str">
        <f>IF(Indice_index!$Z$1=1,"ANEXOS ESTATÍSTICOS","STATISTICAL ANNEXES")</f>
        <v>ANEXOS ESTATÍSTICOS</v>
      </c>
      <c r="C5"/>
      <c r="D5"/>
      <c r="E5"/>
      <c r="F5"/>
      <c r="G5"/>
      <c r="H5"/>
      <c r="I5"/>
      <c r="J5"/>
      <c r="K5"/>
      <c r="L5"/>
      <c r="M5"/>
    </row>
    <row r="6" spans="1:13" ht="18" customHeight="1">
      <c r="A6"/>
      <c r="B6" s="270" t="str">
        <f>IF(Indice_index!$Z$1=1,"Setembro de 2025","September 2025")</f>
        <v>Setembro de 2025</v>
      </c>
      <c r="C6"/>
      <c r="D6"/>
      <c r="E6"/>
      <c r="F6"/>
      <c r="G6"/>
      <c r="H6"/>
      <c r="I6"/>
      <c r="J6"/>
      <c r="K6"/>
      <c r="L6"/>
      <c r="M6"/>
    </row>
    <row r="7" spans="1:13" ht="48.75" customHeight="1">
      <c r="B7" s="12"/>
      <c r="C7" s="13"/>
      <c r="D7" s="11"/>
      <c r="E7" s="11"/>
      <c r="F7" s="11"/>
      <c r="G7" s="11"/>
      <c r="H7" s="11"/>
      <c r="I7" s="11"/>
      <c r="J7" s="11"/>
      <c r="K7" s="11"/>
      <c r="L7" s="10"/>
    </row>
    <row r="8" spans="1:13"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1:13">
      <c r="B9" s="3" t="str">
        <f>+'3 - Conta AC + SS'!B9</f>
        <v>Período: janeiro a setembro</v>
      </c>
      <c r="C9" s="118"/>
      <c r="D9" s="118"/>
      <c r="E9" s="118"/>
      <c r="F9" s="118"/>
      <c r="G9" s="118"/>
      <c r="H9" s="118"/>
      <c r="I9" s="118"/>
      <c r="J9" s="118"/>
      <c r="K9" s="118"/>
      <c r="L9" s="118" t="str">
        <f>IF(Indice_index!$Z$1=1,"€ Milhões","€ Millions")</f>
        <v>€ Milhões</v>
      </c>
    </row>
    <row r="10" spans="1:13" ht="16.350000000000001" customHeight="1">
      <c r="B10" s="410"/>
      <c r="C10" s="411" t="str">
        <f>IF(Indice_index!$Z$1=1,"R. Autónoma dos Açores","Azores Autonomous Region")</f>
        <v>R. Autónoma dos Açores</v>
      </c>
      <c r="D10" s="412"/>
      <c r="E10" s="413"/>
      <c r="F10" s="411" t="str">
        <f>IF(Indice_index!$Z$1=1,"R. Autónoma da Madeira","Madeira Autonomous Region")</f>
        <v>R. Autónoma da Madeira</v>
      </c>
      <c r="G10" s="412"/>
      <c r="H10" s="413"/>
      <c r="I10" s="411" t="str">
        <f>IF(Indice_index!$Z$1=1,"Administração Regional","Regional Government")</f>
        <v>Administração Regional</v>
      </c>
      <c r="J10" s="412"/>
      <c r="K10" s="412"/>
      <c r="L10" s="413"/>
    </row>
    <row r="11" spans="1:13" ht="16.350000000000001" customHeight="1">
      <c r="B11" s="373"/>
      <c r="C11" s="414" t="str">
        <f>IF(Indice_index!$Z$1=1,"Execução Acumulada","Accumulated Execution")</f>
        <v>Execução Acumulada</v>
      </c>
      <c r="D11" s="415"/>
      <c r="E11" s="416"/>
      <c r="F11" s="414" t="str">
        <f>IF(Indice_index!$Z$1=1,"Execução Acumulada","Accumulated Execution")</f>
        <v>Execução Acumulada</v>
      </c>
      <c r="G11" s="415"/>
      <c r="H11" s="416"/>
      <c r="I11" s="414" t="str">
        <f>IF(Indice_index!$Z$1=1,"Execução Acumulada","Accumulated Execution")</f>
        <v>Execução Acumulada</v>
      </c>
      <c r="J11" s="415"/>
      <c r="K11" s="415"/>
      <c r="L11" s="416"/>
    </row>
    <row r="12" spans="1:13" ht="24">
      <c r="B12" s="373"/>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1:13" ht="14.1" customHeight="1">
      <c r="B13" s="174" t="str">
        <f>IF(Indice_index!$Z$1=1,"Receita corrente","Current revenue")</f>
        <v>Receita corrente</v>
      </c>
      <c r="C13" s="134">
        <f>+C14+C22+C23+C30+C31</f>
        <v>889.03477768999994</v>
      </c>
      <c r="D13" s="134">
        <f>+D14+D22+D23+D30+D31</f>
        <v>1020.4444444400001</v>
      </c>
      <c r="E13" s="134">
        <f t="shared" ref="E13:E24" si="0">IFERROR(IF(ABS((D13-C13)/C13)*100&gt;500,"-",((D13-C13)/C13)*100),0)</f>
        <v>14.781161552694822</v>
      </c>
      <c r="F13" s="134">
        <f>+F14+F22+F23+F30+F31</f>
        <v>1237.52183053</v>
      </c>
      <c r="G13" s="134">
        <f>+G14+G22+G23+G30+G31</f>
        <v>1261.1651579499999</v>
      </c>
      <c r="H13" s="134">
        <f t="shared" ref="H13:H24" si="1">IFERROR(IF(ABS((G13-F13)/F13)*100&gt;500,"-",((G13-F13)/F13)*100),0)</f>
        <v>1.9105382092430665</v>
      </c>
      <c r="I13" s="134">
        <f>+I14+I22+I23+I30+I31</f>
        <v>2125.8692725399997</v>
      </c>
      <c r="J13" s="134">
        <f>+J14+J22+J23+J30+J31</f>
        <v>2281.2912922</v>
      </c>
      <c r="K13" s="134">
        <f t="shared" ref="K13:K24" si="2">IFERROR(IF(ABS((J13-I13)/I13)*100&gt;500,"-",((J13-I13)/I13)*100),0)</f>
        <v>7.3109866946005271</v>
      </c>
      <c r="L13" s="134">
        <f t="shared" ref="L13:L24" si="3">IFERROR((J13-I13)/$I$43*100,"-")</f>
        <v>6.3303630265549344</v>
      </c>
    </row>
    <row r="14" spans="1:13" ht="14.1" customHeight="1">
      <c r="B14" s="125" t="str">
        <f>IF(Indice_index!$Z$1=1,"Receita fiscal","Tax revenue")</f>
        <v>Receita fiscal</v>
      </c>
      <c r="C14" s="4">
        <f>+C15+C19</f>
        <v>641.82212437999999</v>
      </c>
      <c r="D14" s="4">
        <f>+D15+D19</f>
        <v>702.46087175000002</v>
      </c>
      <c r="E14" s="4">
        <f t="shared" si="0"/>
        <v>9.4479054346369011</v>
      </c>
      <c r="F14" s="4">
        <f>+F15+F19</f>
        <v>932.16343945000006</v>
      </c>
      <c r="G14" s="4">
        <f>+G15+G19</f>
        <v>922.20411714000011</v>
      </c>
      <c r="H14" s="4">
        <f t="shared" si="1"/>
        <v>-1.0684094535906921</v>
      </c>
      <c r="I14" s="4">
        <f>+I15+I19</f>
        <v>1573.9855638299998</v>
      </c>
      <c r="J14" s="4">
        <f>+J15+J19</f>
        <v>1624.6649888900001</v>
      </c>
      <c r="K14" s="4">
        <f t="shared" si="2"/>
        <v>3.2198151129595751</v>
      </c>
      <c r="L14" s="4">
        <f t="shared" si="3"/>
        <v>2.064180862587607</v>
      </c>
    </row>
    <row r="15" spans="1:13" ht="14.1" customHeight="1">
      <c r="B15" s="172" t="str">
        <f>IF(Indice_index!$Z$1=1,"Impostos diretos","Direct taxes")</f>
        <v>Impostos diretos</v>
      </c>
      <c r="C15" s="4">
        <f>+C16+C17</f>
        <v>210.66372443999998</v>
      </c>
      <c r="D15" s="4">
        <f t="shared" ref="D15" si="4">+D16+D17</f>
        <v>248.19080308999997</v>
      </c>
      <c r="E15" s="4">
        <f t="shared" si="0"/>
        <v>17.813735492314546</v>
      </c>
      <c r="F15" s="4">
        <f>+F16+F17</f>
        <v>362.24966744999995</v>
      </c>
      <c r="G15" s="4">
        <f t="shared" ref="G15" si="5">+G16+G17</f>
        <v>342.01581558999999</v>
      </c>
      <c r="H15" s="4">
        <f t="shared" si="1"/>
        <v>-5.5856095058507593</v>
      </c>
      <c r="I15" s="4">
        <f>+I16+I17</f>
        <v>572.91339188999996</v>
      </c>
      <c r="J15" s="4">
        <f t="shared" ref="J15" si="6">+J16+J17</f>
        <v>590.20661868000002</v>
      </c>
      <c r="K15" s="4">
        <f t="shared" si="2"/>
        <v>3.0184713841215958</v>
      </c>
      <c r="L15" s="4">
        <f t="shared" si="3"/>
        <v>0.70435581599522634</v>
      </c>
    </row>
    <row r="16" spans="1:13" ht="14.1" customHeight="1">
      <c r="B16" s="307" t="str">
        <f>IF(Indice_index!$Z$1=1,"Imposto s/ Rendimento Pessoas Singulares (IRS)","Personal income tax")</f>
        <v>Imposto s/ Rendimento Pessoas Singulares (IRS)</v>
      </c>
      <c r="C16" s="4">
        <v>157.49550468999999</v>
      </c>
      <c r="D16" s="4">
        <v>186.77686793999999</v>
      </c>
      <c r="E16" s="4">
        <f t="shared" si="0"/>
        <v>18.591872388761065</v>
      </c>
      <c r="F16" s="4">
        <v>174.18953615999999</v>
      </c>
      <c r="G16" s="4">
        <v>200.49843589</v>
      </c>
      <c r="H16" s="4">
        <f t="shared" si="1"/>
        <v>15.103605136093961</v>
      </c>
      <c r="I16" s="4">
        <v>331.68504085000001</v>
      </c>
      <c r="J16" s="4">
        <v>387.27530382999998</v>
      </c>
      <c r="K16" s="4">
        <f t="shared" si="2"/>
        <v>16.759954816635794</v>
      </c>
      <c r="L16" s="4">
        <f t="shared" si="3"/>
        <v>2.2642000546311558</v>
      </c>
    </row>
    <row r="17" spans="2:12" ht="14.1" customHeight="1">
      <c r="B17" s="307" t="str">
        <f>IF(Indice_index!$Z$1=1,"Imposto s/ Rendimento Pessoas Colectivas (IRC)","Corporate income tax")</f>
        <v>Imposto s/ Rendimento Pessoas Colectivas (IRC)</v>
      </c>
      <c r="C17" s="4">
        <v>53.168219749999999</v>
      </c>
      <c r="D17" s="4">
        <v>61.41393515</v>
      </c>
      <c r="E17" s="4">
        <f t="shared" si="0"/>
        <v>15.508729535748659</v>
      </c>
      <c r="F17" s="4">
        <v>188.06013128999999</v>
      </c>
      <c r="G17" s="4">
        <v>141.51737969999999</v>
      </c>
      <c r="H17" s="4">
        <f t="shared" si="1"/>
        <v>-24.748866902697351</v>
      </c>
      <c r="I17" s="4">
        <v>241.22835103999998</v>
      </c>
      <c r="J17" s="4">
        <v>202.93131485000001</v>
      </c>
      <c r="K17" s="4">
        <f t="shared" si="2"/>
        <v>-15.875843790703373</v>
      </c>
      <c r="L17" s="4">
        <f t="shared" si="3"/>
        <v>-1.5598442386359317</v>
      </c>
    </row>
    <row r="18" spans="2:12" ht="14.1" customHeight="1">
      <c r="B18" s="307"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 customHeight="1">
      <c r="B19" s="172" t="str">
        <f>IF(Indice_index!$Z$1=1,"Impostos indiretos","Indirect taxes")</f>
        <v>Impostos indiretos</v>
      </c>
      <c r="C19" s="4">
        <f>+C20+C21</f>
        <v>431.15839994000004</v>
      </c>
      <c r="D19" s="4">
        <f>+D20+D21</f>
        <v>454.27006865999999</v>
      </c>
      <c r="E19" s="4">
        <f t="shared" si="0"/>
        <v>5.3603661028559744</v>
      </c>
      <c r="F19" s="4">
        <f t="shared" ref="F19:G19" si="7">+F20+F21</f>
        <v>569.91377200000011</v>
      </c>
      <c r="G19" s="4">
        <f t="shared" si="7"/>
        <v>580.18830155000012</v>
      </c>
      <c r="H19" s="4">
        <f t="shared" si="1"/>
        <v>1.8028217696764148</v>
      </c>
      <c r="I19" s="4">
        <f>+I20+I21</f>
        <v>1001.0721719399999</v>
      </c>
      <c r="J19" s="4">
        <f>+J20+J21</f>
        <v>1034.4583702100001</v>
      </c>
      <c r="K19" s="4">
        <f t="shared" si="2"/>
        <v>3.3350440863120188</v>
      </c>
      <c r="L19" s="4">
        <f t="shared" si="3"/>
        <v>1.3598250465923805</v>
      </c>
    </row>
    <row r="20" spans="2:12" ht="14.1" customHeight="1">
      <c r="B20" s="307" t="str">
        <f>IF(Indice_index!$Z$1=1,"Imposto sobre Valor Acrescentado (IVA)","Value-added tax")</f>
        <v>Imposto sobre Valor Acrescentado (IVA)</v>
      </c>
      <c r="C20" s="4">
        <v>301.86574743</v>
      </c>
      <c r="D20" s="4">
        <v>304.41432381999999</v>
      </c>
      <c r="E20" s="4">
        <f t="shared" si="0"/>
        <v>0.84427478496578545</v>
      </c>
      <c r="F20" s="4">
        <v>456.87292123999998</v>
      </c>
      <c r="G20" s="4">
        <v>450.72229693999998</v>
      </c>
      <c r="H20" s="4">
        <f t="shared" si="1"/>
        <v>-1.34624400222858</v>
      </c>
      <c r="I20" s="4">
        <v>758.73866866999992</v>
      </c>
      <c r="J20" s="4">
        <v>755.13662076000003</v>
      </c>
      <c r="K20" s="4">
        <f t="shared" si="2"/>
        <v>-0.47474157555643764</v>
      </c>
      <c r="L20" s="4">
        <f t="shared" si="3"/>
        <v>-0.14671197143895592</v>
      </c>
    </row>
    <row r="21" spans="2:12" ht="14.1" customHeight="1">
      <c r="B21" s="307" t="str">
        <f>IF(Indice_index!$Z$1=1,"Outros","Others")</f>
        <v>Outros</v>
      </c>
      <c r="C21" s="4">
        <v>129.29265251000004</v>
      </c>
      <c r="D21" s="4">
        <v>149.85574483999997</v>
      </c>
      <c r="E21" s="4">
        <f t="shared" si="0"/>
        <v>15.904300771004367</v>
      </c>
      <c r="F21" s="4">
        <v>113.04085076000007</v>
      </c>
      <c r="G21" s="4">
        <v>129.46600461000014</v>
      </c>
      <c r="H21" s="4">
        <f t="shared" si="1"/>
        <v>14.53028152174185</v>
      </c>
      <c r="I21" s="4">
        <v>242.33350326999997</v>
      </c>
      <c r="J21" s="4">
        <v>279.32174945000008</v>
      </c>
      <c r="K21" s="4">
        <f t="shared" si="2"/>
        <v>15.263364611532495</v>
      </c>
      <c r="L21" s="4">
        <f t="shared" si="3"/>
        <v>1.5065370180313353</v>
      </c>
    </row>
    <row r="22" spans="2:12" ht="14.1" customHeight="1">
      <c r="B22" s="125"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 customHeight="1">
      <c r="B23" s="125" t="str">
        <f>IF(Indice_index!$Z$1=1,"Transferências correntes","Current transfers")</f>
        <v>Transferências correntes</v>
      </c>
      <c r="C23" s="4">
        <f>+C24+C27+C28+C29</f>
        <v>204.81974742</v>
      </c>
      <c r="D23" s="4">
        <f>+D24+D27+D28+D29</f>
        <v>269.67889067000004</v>
      </c>
      <c r="E23" s="4">
        <f t="shared" si="0"/>
        <v>31.66645016752264</v>
      </c>
      <c r="F23" s="4">
        <f>+F24+F27+F28+F29</f>
        <v>191.65608644000002</v>
      </c>
      <c r="G23" s="4">
        <f>+G24+G27+G28+G29</f>
        <v>239.29470636000002</v>
      </c>
      <c r="H23" s="4">
        <f t="shared" si="1"/>
        <v>24.85630422956266</v>
      </c>
      <c r="I23" s="4">
        <f>+I24+I27+I28+I29</f>
        <v>396.47583386000002</v>
      </c>
      <c r="J23" s="4">
        <f>+J24+J27+J28+J29</f>
        <v>508.97359702999995</v>
      </c>
      <c r="K23" s="4">
        <f t="shared" si="2"/>
        <v>28.374431317729222</v>
      </c>
      <c r="L23" s="4">
        <f t="shared" si="3"/>
        <v>4.5820513856363254</v>
      </c>
    </row>
    <row r="24" spans="2:12" ht="14.1" customHeight="1">
      <c r="B24" s="172" t="str">
        <f>IF(Indice_index!$Z$1=1,"Administração Central","Central Administration")</f>
        <v>Administração Central</v>
      </c>
      <c r="C24" s="4">
        <v>160.68406534000002</v>
      </c>
      <c r="D24" s="4">
        <v>218.99574559999999</v>
      </c>
      <c r="E24" s="4">
        <f t="shared" si="0"/>
        <v>36.289647101357041</v>
      </c>
      <c r="F24" s="4">
        <v>147.59770879000001</v>
      </c>
      <c r="G24" s="4">
        <v>188.47733300000002</v>
      </c>
      <c r="H24" s="4">
        <f t="shared" si="1"/>
        <v>27.696652302484566</v>
      </c>
      <c r="I24" s="4">
        <v>308.28177413000003</v>
      </c>
      <c r="J24" s="4">
        <v>407.47307859999995</v>
      </c>
      <c r="K24" s="4">
        <f t="shared" si="2"/>
        <v>32.17553316277845</v>
      </c>
      <c r="L24" s="4">
        <f t="shared" si="3"/>
        <v>4.040077253829705</v>
      </c>
    </row>
    <row r="25" spans="2:12" ht="14.1" customHeight="1">
      <c r="B25" s="326" t="str">
        <f>IF(Indice_index!$Z$1=1,"dos quais:","of which:")</f>
        <v>dos quais:</v>
      </c>
      <c r="C25" s="4"/>
      <c r="D25" s="4"/>
      <c r="E25" s="4"/>
      <c r="F25" s="4"/>
      <c r="G25" s="4"/>
      <c r="H25" s="4"/>
      <c r="I25" s="4"/>
      <c r="J25" s="4"/>
      <c r="K25" s="4"/>
      <c r="L25" s="4"/>
    </row>
    <row r="26" spans="2:12" ht="14.1" customHeight="1">
      <c r="B26" s="325" t="str">
        <f>IF(Indice_index!$Z$1=1,"Transferências do Orçamento do Estado","State Budget tranfers")</f>
        <v>Transferências do Orçamento do Estado</v>
      </c>
      <c r="C26" s="4">
        <f>(157507557-5026222.5)/10^6</f>
        <v>152.4813345</v>
      </c>
      <c r="D26" s="4">
        <f>(215765001-5026222.5)/10^6</f>
        <v>210.7387785</v>
      </c>
      <c r="E26" s="4">
        <f>IFERROR(IF(ABS((D26-C26)/C26)*100&gt;500,"-",((D26-C26)/C26)*100),0)</f>
        <v>38.206278946227343</v>
      </c>
      <c r="F26" s="4">
        <f>147534159/10^6</f>
        <v>147.53415899999999</v>
      </c>
      <c r="G26" s="4">
        <f>188374424.3/10^6</f>
        <v>188.37442430000002</v>
      </c>
      <c r="H26" s="4">
        <f t="shared" ref="H26:H35" si="8">IFERROR(IF(ABS((G26-F26)/F26)*100&gt;500,"-",((G26-F26)/F26)*100),0)</f>
        <v>27.681904703845589</v>
      </c>
      <c r="I26" s="4">
        <f>C26+F26</f>
        <v>300.01549349999999</v>
      </c>
      <c r="J26" s="4">
        <f>D26+G26</f>
        <v>399.11320280000001</v>
      </c>
      <c r="K26" s="4">
        <f t="shared" ref="K26:K35" si="9">IFERROR(IF(ABS((J26-I26)/I26)*100&gt;500,"-",((J26-I26)/I26)*100),0)</f>
        <v>33.030863887701194</v>
      </c>
      <c r="L26" s="4">
        <f>(J26-I26)/I24*100</f>
        <v>32.145172895693563</v>
      </c>
    </row>
    <row r="27" spans="2:12" ht="14.1" customHeight="1">
      <c r="B27" s="172" t="str">
        <f>IF(Indice_index!$Z$1=1,"Outros subsetores das Administrações Públicas","Other General Government subsectors")</f>
        <v>Outros subsetores das Administrações Públicas</v>
      </c>
      <c r="C27" s="4">
        <v>9.1269564900000013</v>
      </c>
      <c r="D27" s="4">
        <v>10.03086139</v>
      </c>
      <c r="E27" s="4">
        <f>IFERROR(IF(ABS((D27-C27)/C27)*100&gt;500,"-",((D27-C27)/C27)*100),0)</f>
        <v>9.9036836758273914</v>
      </c>
      <c r="F27" s="4">
        <v>8.2289725199999992</v>
      </c>
      <c r="G27" s="4">
        <v>8.7595838500000003</v>
      </c>
      <c r="H27" s="4">
        <f t="shared" si="8"/>
        <v>6.4480872759069694</v>
      </c>
      <c r="I27" s="4">
        <v>17.355929010000001</v>
      </c>
      <c r="J27" s="4">
        <v>18.79044524</v>
      </c>
      <c r="K27" s="4">
        <f t="shared" si="9"/>
        <v>8.2652805803335081</v>
      </c>
      <c r="L27" s="4">
        <f t="shared" ref="L27:L35" si="10">IFERROR((J27-I27)/$I$43*100,"-")</f>
        <v>5.8428069093751936E-2</v>
      </c>
    </row>
    <row r="28" spans="2:12" ht="14.1" customHeight="1">
      <c r="B28" s="172" t="str">
        <f>IF(Indice_index!$Z$1=1,"União Europeia","European Union")</f>
        <v>União Europeia</v>
      </c>
      <c r="C28" s="4">
        <v>23.373075389999997</v>
      </c>
      <c r="D28" s="4">
        <v>28.453705499999995</v>
      </c>
      <c r="E28" s="4">
        <f>IFERROR(IF(ABS((D28-C28)/C28)*100&gt;500,"-",((D28-C28)/C28)*100),0)</f>
        <v>21.737105730526626</v>
      </c>
      <c r="F28" s="4">
        <v>35.762078020000004</v>
      </c>
      <c r="G28" s="4">
        <v>42.024490270000001</v>
      </c>
      <c r="H28" s="4">
        <f t="shared" si="8"/>
        <v>17.511320920718678</v>
      </c>
      <c r="I28" s="4">
        <v>59.135153410000001</v>
      </c>
      <c r="J28" s="4">
        <v>70.478195769999999</v>
      </c>
      <c r="K28" s="4">
        <f t="shared" si="9"/>
        <v>19.181555649912024</v>
      </c>
      <c r="L28" s="4">
        <f t="shared" si="10"/>
        <v>0.46200387899649981</v>
      </c>
    </row>
    <row r="29" spans="2:12" ht="14.1" customHeight="1">
      <c r="B29" s="172" t="str">
        <f>IF(Indice_index!$Z$1=1,"Outras transferências","Other transfers")</f>
        <v>Outras transferências</v>
      </c>
      <c r="C29" s="4">
        <v>11.635650200000001</v>
      </c>
      <c r="D29" s="4">
        <v>12.198578180000002</v>
      </c>
      <c r="E29" s="4">
        <f>IFERROR(IF(ABS((D29-C29)/C29)*100&gt;500,"-",((D29-C29)/C29)*100),0)</f>
        <v>4.8379589479236946</v>
      </c>
      <c r="F29" s="4">
        <v>6.73271100000008E-2</v>
      </c>
      <c r="G29" s="4">
        <v>3.329924000000517E-2</v>
      </c>
      <c r="H29" s="4">
        <f t="shared" si="8"/>
        <v>-50.541111893849632</v>
      </c>
      <c r="I29" s="4">
        <v>11.702977309999994</v>
      </c>
      <c r="J29" s="4">
        <v>12.231877420000004</v>
      </c>
      <c r="K29" s="4">
        <f t="shared" si="9"/>
        <v>4.519363713950578</v>
      </c>
      <c r="L29" s="4">
        <f t="shared" si="10"/>
        <v>2.1542183716369345E-2</v>
      </c>
    </row>
    <row r="30" spans="2:12" ht="14.1" customHeight="1">
      <c r="B30" s="125" t="str">
        <f>IF(Indice_index!$Z$1=1,"Outras receitas correntes","Other current revenue")</f>
        <v>Outras receitas correntes</v>
      </c>
      <c r="C30" s="4">
        <v>42.392905890000002</v>
      </c>
      <c r="D30" s="4">
        <v>48.16583215</v>
      </c>
      <c r="E30" s="4">
        <f>IFERROR(IF(ABS((D30-C30)/C30)*100&gt;500,"-",((D30-C30)/C30)*100),0)</f>
        <v>13.617670548415425</v>
      </c>
      <c r="F30" s="4">
        <v>86.851625600000006</v>
      </c>
      <c r="G30" s="4">
        <v>95.000601090000004</v>
      </c>
      <c r="H30" s="4">
        <f t="shared" si="8"/>
        <v>9.382640144849514</v>
      </c>
      <c r="I30" s="4">
        <v>129.24453148999999</v>
      </c>
      <c r="J30" s="4">
        <v>143.16643323999998</v>
      </c>
      <c r="K30" s="4">
        <f t="shared" si="9"/>
        <v>10.771753040148678</v>
      </c>
      <c r="L30" s="4">
        <f t="shared" si="10"/>
        <v>0.56704122292532411</v>
      </c>
    </row>
    <row r="31" spans="2:12" ht="14.1" customHeight="1">
      <c r="B31" s="125" t="str">
        <f>IF(Indice_index!$Z$1=1,"Diferenças de consolidação","Consolidation differences")</f>
        <v>Diferenças de consolidação</v>
      </c>
      <c r="C31" s="4">
        <v>0</v>
      </c>
      <c r="D31" s="4">
        <v>0.13884986999999999</v>
      </c>
      <c r="E31" s="4"/>
      <c r="F31" s="4">
        <v>26.850679040000045</v>
      </c>
      <c r="G31" s="4">
        <v>4.6657333599999902</v>
      </c>
      <c r="H31" s="4">
        <f t="shared" si="8"/>
        <v>-82.623406458178039</v>
      </c>
      <c r="I31" s="4">
        <v>26.163343360000226</v>
      </c>
      <c r="J31" s="4">
        <v>4.486273039999956</v>
      </c>
      <c r="K31" s="4">
        <f t="shared" si="9"/>
        <v>-82.852829708076271</v>
      </c>
      <c r="L31" s="4">
        <f t="shared" si="10"/>
        <v>-0.88291044459433909</v>
      </c>
    </row>
    <row r="32" spans="2:12" ht="14.1" customHeight="1">
      <c r="B32" s="174" t="str">
        <f>IF(Indice_index!$Z$1=1,"Receita de capital","Capital revenue")</f>
        <v>Receita de capital</v>
      </c>
      <c r="C32" s="134">
        <f>+C33+C34+C41+C42</f>
        <v>218.17015556000004</v>
      </c>
      <c r="D32" s="134">
        <f>+D33+D34+D41+D42</f>
        <v>148.60186141999998</v>
      </c>
      <c r="E32" s="134">
        <f>IFERROR(IF(ABS((D32-C32)/C32)*100&gt;500,"-",((D32-C32)/C32)*100),0)</f>
        <v>-31.887172634328415</v>
      </c>
      <c r="F32" s="134">
        <f>+F33+F34+F41+F42</f>
        <v>111.14393197</v>
      </c>
      <c r="G32" s="134">
        <f>+G33+G34+G41+G42</f>
        <v>153.50528425000002</v>
      </c>
      <c r="H32" s="134">
        <f t="shared" si="8"/>
        <v>38.11395865627123</v>
      </c>
      <c r="I32" s="134">
        <f>+I33+I34+I41+I42</f>
        <v>329.31408753000005</v>
      </c>
      <c r="J32" s="134">
        <f>+J33+J34+J41+J42</f>
        <v>302.10714566999997</v>
      </c>
      <c r="K32" s="134">
        <f t="shared" si="9"/>
        <v>-8.2616999667594158</v>
      </c>
      <c r="L32" s="134">
        <f t="shared" si="10"/>
        <v>-1.1081429722309779</v>
      </c>
    </row>
    <row r="33" spans="2:12" ht="14.1" customHeight="1">
      <c r="B33" s="125" t="str">
        <f>IF(Indice_index!$Z$1=1,"Venda de bens de investimento","Sale of investment goods")</f>
        <v>Venda de bens de investimento</v>
      </c>
      <c r="C33" s="4">
        <v>8.0579009999999993E-2</v>
      </c>
      <c r="D33" s="4">
        <v>0.29988577</v>
      </c>
      <c r="E33" s="4">
        <f>IFERROR(IF(ABS((D33-C33)/C33)*100&gt;500,"-",((D33-C33)/C33)*100),0)</f>
        <v>272.16363169515239</v>
      </c>
      <c r="F33" s="4">
        <v>1.2920475699999998</v>
      </c>
      <c r="G33" s="4">
        <v>8.2021574299999997</v>
      </c>
      <c r="H33" s="4" t="str">
        <f t="shared" si="8"/>
        <v>-</v>
      </c>
      <c r="I33" s="4">
        <v>1.3726265799999999</v>
      </c>
      <c r="J33" s="4">
        <v>8.5020431999999992</v>
      </c>
      <c r="K33" s="4" t="str">
        <f t="shared" si="9"/>
        <v>-</v>
      </c>
      <c r="L33" s="4">
        <f t="shared" si="10"/>
        <v>0.29038224745041985</v>
      </c>
    </row>
    <row r="34" spans="2:12" ht="14.1" customHeight="1">
      <c r="B34" s="125" t="str">
        <f>IF(Indice_index!$Z$1=1,"Transferências de capital","Capital transfers")</f>
        <v>Transferências de capital</v>
      </c>
      <c r="C34" s="4">
        <f>+C35+C38+C39+C40</f>
        <v>217.03249602000002</v>
      </c>
      <c r="D34" s="4">
        <f>+D35+D38+D39+D40</f>
        <v>147.84115688999998</v>
      </c>
      <c r="E34" s="4">
        <f>IFERROR(IF(ABS((D34-C34)/C34)*100&gt;500,"-",((D34-C34)/C34)*100),0)</f>
        <v>-31.880635572483079</v>
      </c>
      <c r="F34" s="4">
        <f>+F35+F38+F39+F40</f>
        <v>108.07477398</v>
      </c>
      <c r="G34" s="4">
        <f>+G35+G38+G39+G40</f>
        <v>141.39507486000002</v>
      </c>
      <c r="H34" s="4">
        <f t="shared" si="8"/>
        <v>30.830784699273277</v>
      </c>
      <c r="I34" s="4">
        <f>+I35+I38+I39+I40</f>
        <v>325.10727000000009</v>
      </c>
      <c r="J34" s="4">
        <f>+J35+J38+J39+J40</f>
        <v>289.23623175</v>
      </c>
      <c r="K34" s="4">
        <f t="shared" si="9"/>
        <v>-11.033600771216243</v>
      </c>
      <c r="L34" s="4">
        <f t="shared" si="10"/>
        <v>-1.4610329653332843</v>
      </c>
    </row>
    <row r="35" spans="2:12" ht="14.1" customHeight="1">
      <c r="B35" s="172" t="str">
        <f>IF(Indice_index!$Z$1=1,"Administração Central","Central Administration")</f>
        <v>Administração Central</v>
      </c>
      <c r="C35" s="4">
        <v>84.112505260000006</v>
      </c>
      <c r="D35" s="4">
        <v>85.022977510000004</v>
      </c>
      <c r="E35" s="4">
        <f>IFERROR(IF(ABS((D35-C35)/C35)*100&gt;500,"-",((D35-C35)/C35)*100),0)</f>
        <v>1.0824457637846345</v>
      </c>
      <c r="F35" s="4">
        <v>81.244838360000003</v>
      </c>
      <c r="G35" s="4">
        <v>72.764490989999999</v>
      </c>
      <c r="H35" s="4">
        <f t="shared" si="8"/>
        <v>-10.438013714081324</v>
      </c>
      <c r="I35" s="4">
        <v>165.35734362000002</v>
      </c>
      <c r="J35" s="4">
        <v>157.78746850000002</v>
      </c>
      <c r="K35" s="4">
        <f t="shared" si="9"/>
        <v>-4.5778886829459369</v>
      </c>
      <c r="L35" s="4">
        <f t="shared" si="10"/>
        <v>-0.30832219064013944</v>
      </c>
    </row>
    <row r="36" spans="2:12" ht="14.1" customHeight="1">
      <c r="B36" s="326" t="str">
        <f>IF(Indice_index!$Z$1=1,"dos quais:","of which:")</f>
        <v>dos quais:</v>
      </c>
      <c r="C36" s="4"/>
      <c r="D36" s="4"/>
      <c r="E36" s="4"/>
      <c r="F36" s="4"/>
      <c r="G36" s="4"/>
      <c r="H36" s="4"/>
      <c r="I36" s="4"/>
      <c r="J36" s="4"/>
      <c r="K36" s="4"/>
      <c r="L36" s="4"/>
    </row>
    <row r="37" spans="2:12" ht="14.1" customHeight="1">
      <c r="B37" s="325" t="str">
        <f>IF(Indice_index!$Z$1=1,"Transferências do Orçamento do Estado","State Budget tranfers")</f>
        <v>Transferências do Orçamento do Estado</v>
      </c>
      <c r="C37" s="4">
        <f>83863413.75/10^6</f>
        <v>83.863413750000007</v>
      </c>
      <c r="D37" s="4">
        <f>84968828.25/10^6</f>
        <v>84.968828250000001</v>
      </c>
      <c r="E37" s="4">
        <f>IFERROR(IF(ABS((D37-C37)/C37)*100&gt;500,"-",((D37-C37)/C37)*100),0)</f>
        <v>1.3181129297875676</v>
      </c>
      <c r="F37" s="4">
        <f>81203787/10^6</f>
        <v>81.203787000000005</v>
      </c>
      <c r="G37" s="4">
        <f>72612252.78/10^6</f>
        <v>72.612252780000006</v>
      </c>
      <c r="H37" s="4">
        <f>IFERROR(IF(ABS((G37-F37)/F37)*100&gt;500,"-",((G37-F37)/F37)*100),0)</f>
        <v>-10.580213728209497</v>
      </c>
      <c r="I37" s="4">
        <f>C37+F37</f>
        <v>165.06720075000001</v>
      </c>
      <c r="J37" s="4">
        <f>D37+G37</f>
        <v>157.58108103000001</v>
      </c>
      <c r="K37" s="4">
        <f>IFERROR(IF(ABS((J37-I37)/I37)*100&gt;500,"-",((J37-I37)/I37)*100),0)</f>
        <v>-4.535195172624265</v>
      </c>
      <c r="L37" s="4">
        <f>(J37-I37)/I35*100</f>
        <v>-4.5272375306194483</v>
      </c>
    </row>
    <row r="38" spans="2:12" ht="14.1" customHeight="1">
      <c r="B38" s="172" t="str">
        <f>IF(Indice_index!$Z$1=1,"Outros subsetores das Administrações Públicas","Other General Government subsectors")</f>
        <v>Outros subsetores das Administrações Públicas</v>
      </c>
      <c r="C38" s="4">
        <v>0</v>
      </c>
      <c r="D38" s="4">
        <v>2E-3</v>
      </c>
      <c r="E38" s="4">
        <f>IFERROR(IF(ABS((D38-C38)/C38)*100&gt;500,"-",((D38-C38)/C38)*100),0)</f>
        <v>0</v>
      </c>
      <c r="F38" s="4">
        <v>0</v>
      </c>
      <c r="G38" s="4">
        <v>0</v>
      </c>
      <c r="H38" s="4">
        <f>IFERROR(IF(ABS((G38-F38)/F38)*100&gt;500,"-",((G38-F38)/F38)*100),0)</f>
        <v>0</v>
      </c>
      <c r="I38" s="4">
        <v>0</v>
      </c>
      <c r="J38" s="4">
        <v>2E-3</v>
      </c>
      <c r="K38" s="4">
        <f>IFERROR(IF(ABS((J38-I38)/I38)*100&gt;500,"-",((J38-I38)/I38)*100),0)</f>
        <v>0</v>
      </c>
      <c r="L38" s="4">
        <f>IFERROR((J38-I38)/$I$43*100,"-")</f>
        <v>8.146031097013374E-5</v>
      </c>
    </row>
    <row r="39" spans="2:12" ht="14.1" customHeight="1">
      <c r="B39" s="172" t="str">
        <f>IF(Indice_index!$Z$1=1,"União Europeia","European Union")</f>
        <v>União Europeia</v>
      </c>
      <c r="C39" s="4">
        <v>132.90599076000001</v>
      </c>
      <c r="D39" s="4">
        <v>62.63524022</v>
      </c>
      <c r="E39" s="4">
        <f>IFERROR(IF(ABS((D39-C39)/C39)*100&gt;500,"-",((D39-C39)/C39)*100),0)</f>
        <v>-52.872523005297822</v>
      </c>
      <c r="F39" s="4">
        <v>26.81452316</v>
      </c>
      <c r="G39" s="4">
        <v>68.630540809999999</v>
      </c>
      <c r="H39" s="4">
        <f>IFERROR(IF(ABS((G39-F39)/F39)*100&gt;500,"-",((G39-F39)/F39)*100),0)</f>
        <v>155.94540839114438</v>
      </c>
      <c r="I39" s="4">
        <v>159.72051392000003</v>
      </c>
      <c r="J39" s="4">
        <v>131.26578103</v>
      </c>
      <c r="K39" s="4">
        <f>IFERROR(IF(ABS((J39-I39)/I39)*100&gt;500,"-",((J39-I39)/I39)*100),0)</f>
        <v>-17.815327656817011</v>
      </c>
      <c r="L39" s="4">
        <f>IFERROR((J39-I39)/$I$43*100,"-")</f>
        <v>-1.1589656948957474</v>
      </c>
    </row>
    <row r="40" spans="2:12" ht="14.1" customHeight="1">
      <c r="B40" s="172" t="str">
        <f>IF(Indice_index!$Z$1=1,"Outras transferências","Other transfers")</f>
        <v>Outras transferências</v>
      </c>
      <c r="C40" s="4">
        <v>1.4000000000010004E-2</v>
      </c>
      <c r="D40" s="4">
        <v>0.1809391599999941</v>
      </c>
      <c r="E40" s="4" t="str">
        <f>IFERROR(IF(ABS((D40-C40)/C40)*100&gt;500,"-",((D40-C40)/C40)*100),0)</f>
        <v>-</v>
      </c>
      <c r="F40" s="4">
        <v>1.5412460000000294E-2</v>
      </c>
      <c r="G40" s="4">
        <v>4.3060000010086696E-5</v>
      </c>
      <c r="H40" s="4">
        <f>IFERROR(IF(ABS((G40-F40)/F40)*100&gt;500,"-",((G40-F40)/F40)*100),0)</f>
        <v>-99.720615657655657</v>
      </c>
      <c r="I40" s="4">
        <v>2.9412460000003193E-2</v>
      </c>
      <c r="J40" s="4">
        <v>0.18098222000000419</v>
      </c>
      <c r="K40" s="4" t="str">
        <f>IFERROR(IF(ABS((J40-I40)/I40)*100&gt;500,"-",((J40-I40)/I40)*100),0)</f>
        <v>-</v>
      </c>
      <c r="L40" s="4">
        <f>IFERROR((J40-I40)/$I$43*100,"-")</f>
        <v>6.173459891634309E-3</v>
      </c>
    </row>
    <row r="41" spans="2:12" ht="14.1" customHeight="1">
      <c r="B41" s="125" t="str">
        <f>IF(Indice_index!$Z$1=1,"Outras receitas de capital","Other capital revenue")</f>
        <v>Outras receitas de capital</v>
      </c>
      <c r="C41" s="4">
        <v>1.0570805300000001</v>
      </c>
      <c r="D41" s="4">
        <v>0.46081875999999999</v>
      </c>
      <c r="E41" s="4">
        <f>IFERROR(IF(ABS((D41-C41)/C41)*100&gt;500,"-",((D41-C41)/C41)*100),0)</f>
        <v>-56.406466023927251</v>
      </c>
      <c r="F41" s="4">
        <v>0.64226268999999991</v>
      </c>
      <c r="G41" s="4">
        <v>4.8748940000000004E-2</v>
      </c>
      <c r="H41" s="4">
        <f>IFERROR(IF(ABS((G41-F41)/F41)*100&gt;500,"-",((G41-F41)/F41)*100),0)</f>
        <v>-92.409812875787637</v>
      </c>
      <c r="I41" s="4">
        <v>1.69934322</v>
      </c>
      <c r="J41" s="4">
        <v>0.50956769999999996</v>
      </c>
      <c r="K41" s="4">
        <f>IFERROR(IF(ABS((J41-I41)/I41)*100&gt;500,"-",((J41-I41)/I41)*100),0)</f>
        <v>-70.01384452518073</v>
      </c>
      <c r="L41" s="4">
        <f>IFERROR((J41-I41)/$I$43*100,"-")</f>
        <v>-4.8459741921926286E-2</v>
      </c>
    </row>
    <row r="42" spans="2:12" ht="14.1" customHeight="1">
      <c r="B42" s="125" t="str">
        <f>IF(Indice_index!$Z$1=1,"Diferenças de consolidação","Consolidation differences")</f>
        <v>Diferenças de consolidação</v>
      </c>
      <c r="C42" s="4">
        <v>0</v>
      </c>
      <c r="D42" s="4">
        <v>0</v>
      </c>
      <c r="E42" s="4"/>
      <c r="F42" s="4">
        <v>1.1348477300000006</v>
      </c>
      <c r="G42" s="4">
        <v>3.8593030200000058</v>
      </c>
      <c r="H42" s="4"/>
      <c r="I42" s="4">
        <v>1.1348477300000042</v>
      </c>
      <c r="J42" s="4">
        <v>3.8593030199999845</v>
      </c>
      <c r="K42" s="4"/>
      <c r="L42" s="4"/>
    </row>
    <row r="43" spans="2:12" ht="14.1" customHeight="1">
      <c r="B43" s="30" t="str">
        <f>IF(Indice_index!$Z$1=1,"Receita efetiva","Effective revenue")</f>
        <v>Receita efetiva</v>
      </c>
      <c r="C43" s="18">
        <f>+C32+C13</f>
        <v>1107.2049332500001</v>
      </c>
      <c r="D43" s="18">
        <f>+D32+D13</f>
        <v>1169.0463058600001</v>
      </c>
      <c r="E43" s="18">
        <f t="shared" ref="E43:E55" si="11">IFERROR(IF(ABS((D43-C43)/C43)*100&gt;500,"-",((D43-C43)/C43)*100),0)</f>
        <v>5.5853592007105526</v>
      </c>
      <c r="F43" s="18">
        <f>+F32+F13</f>
        <v>1348.6657625</v>
      </c>
      <c r="G43" s="18">
        <f>+G32+G13</f>
        <v>1414.6704421999998</v>
      </c>
      <c r="H43" s="18">
        <f t="shared" ref="H43:H55" si="12">IFERROR(IF(ABS((G43-F43)/F43)*100&gt;500,"-",((G43-F43)/F43)*100),0)</f>
        <v>4.8940724629687313</v>
      </c>
      <c r="I43" s="18">
        <f>+I32+I13</f>
        <v>2455.1833600699997</v>
      </c>
      <c r="J43" s="18">
        <f>+J32+J13</f>
        <v>2583.3984378700002</v>
      </c>
      <c r="K43" s="18">
        <f t="shared" ref="K43:K55" si="13">IFERROR(IF(ABS((J43-I43)/I43)*100&gt;500,"-",((J43-I43)/I43)*100),0)</f>
        <v>5.2222200543239641</v>
      </c>
      <c r="L43" s="18"/>
    </row>
    <row r="44" spans="2:12" ht="14.1" customHeight="1">
      <c r="B44" s="174" t="str">
        <f>IF(Indice_index!$Z$1=1,"Despesa corrente","Current expenditure")</f>
        <v>Despesa corrente</v>
      </c>
      <c r="C44" s="134">
        <f>+C45+C49+C50+C51+C54+C55+C56</f>
        <v>1016.1433801999999</v>
      </c>
      <c r="D44" s="134">
        <f>+D45+D49+D50+D51+D54+D55+D56</f>
        <v>1103.0871572199999</v>
      </c>
      <c r="E44" s="134">
        <f t="shared" si="11"/>
        <v>8.5562508907834918</v>
      </c>
      <c r="F44" s="134">
        <f>+F45+F49+F50+F51+F54+F55+F56</f>
        <v>1077.9752921699999</v>
      </c>
      <c r="G44" s="134">
        <f>+G45+G49+G50+G51+G54+G55+G56</f>
        <v>1155.3667808999999</v>
      </c>
      <c r="H44" s="134">
        <f t="shared" si="12"/>
        <v>7.1793379024679096</v>
      </c>
      <c r="I44" s="134">
        <f>+I45+I49+I50+I51+I54+I55+I56</f>
        <v>2093.4313366900001</v>
      </c>
      <c r="J44" s="134">
        <f>+J45+J49+J50+J51+J54+J55+J56</f>
        <v>2258.1356279299998</v>
      </c>
      <c r="K44" s="134">
        <f t="shared" si="13"/>
        <v>7.8676710505547156</v>
      </c>
      <c r="L44" s="134">
        <f t="shared" ref="L44:L62" si="14">IFERROR((J44-I44)/$I$64*100,"-")</f>
        <v>6.7856564212286923</v>
      </c>
    </row>
    <row r="45" spans="2:12" ht="14.1" customHeight="1">
      <c r="B45" s="125" t="str">
        <f>IF(Indice_index!$Z$1=1,"Despesas com o pessoal","Employees")</f>
        <v>Despesas com o pessoal</v>
      </c>
      <c r="C45" s="4">
        <f>+C46+C47+C48</f>
        <v>517.87464656999998</v>
      </c>
      <c r="D45" s="4">
        <f>+D46+D47+D48</f>
        <v>571.70553855999992</v>
      </c>
      <c r="E45" s="4">
        <f t="shared" si="11"/>
        <v>10.39457952740765</v>
      </c>
      <c r="F45" s="4">
        <f>+F46+F47+F48</f>
        <v>572.64074336999988</v>
      </c>
      <c r="G45" s="4">
        <f>+G46+G47+G48</f>
        <v>610.1516972899999</v>
      </c>
      <c r="H45" s="4">
        <f t="shared" si="12"/>
        <v>6.5505213092675625</v>
      </c>
      <c r="I45" s="4">
        <f>+I46+I47+I48</f>
        <v>1090.5153899399995</v>
      </c>
      <c r="J45" s="4">
        <f>+J46+J47+J48</f>
        <v>1181.8572358499998</v>
      </c>
      <c r="K45" s="4">
        <f t="shared" si="13"/>
        <v>8.3760253869526728</v>
      </c>
      <c r="L45" s="4">
        <f t="shared" si="14"/>
        <v>3.7631951090024081</v>
      </c>
    </row>
    <row r="46" spans="2:12" ht="14.1" customHeight="1">
      <c r="B46" s="172" t="str">
        <f>IF(Indice_index!$Z$1=1,"Remunerações certas e permanentes","Certain and permanent wages")</f>
        <v>Remunerações certas e permanentes</v>
      </c>
      <c r="C46" s="4">
        <v>376.37422670000001</v>
      </c>
      <c r="D46" s="4">
        <v>411.44589371999996</v>
      </c>
      <c r="E46" s="4">
        <f t="shared" si="11"/>
        <v>9.3182966664597995</v>
      </c>
      <c r="F46" s="4">
        <v>413.22910584999994</v>
      </c>
      <c r="G46" s="4">
        <v>433.95424193999992</v>
      </c>
      <c r="H46" s="4">
        <f t="shared" si="12"/>
        <v>5.0154105305261574</v>
      </c>
      <c r="I46" s="4">
        <v>789.60333254999966</v>
      </c>
      <c r="J46" s="4">
        <v>845.40013565999982</v>
      </c>
      <c r="K46" s="4">
        <f t="shared" si="13"/>
        <v>7.0664346020179654</v>
      </c>
      <c r="L46" s="4">
        <f t="shared" si="14"/>
        <v>2.2987739569924162</v>
      </c>
    </row>
    <row r="47" spans="2:12" ht="14.1" customHeight="1">
      <c r="B47" s="172" t="str">
        <f>IF(Indice_index!$Z$1=1,"Abonos variáveis ou eventuais","Variable or contingent bonuses")</f>
        <v>Abonos variáveis ou eventuais</v>
      </c>
      <c r="C47" s="4">
        <v>43.088278189999997</v>
      </c>
      <c r="D47" s="4">
        <v>51.582246959999999</v>
      </c>
      <c r="E47" s="4">
        <f t="shared" si="11"/>
        <v>19.712945438537616</v>
      </c>
      <c r="F47" s="4">
        <v>58.150464060000004</v>
      </c>
      <c r="G47" s="4">
        <v>64.83021291</v>
      </c>
      <c r="H47" s="4">
        <f t="shared" si="12"/>
        <v>11.48700867306543</v>
      </c>
      <c r="I47" s="4">
        <v>101.23874225</v>
      </c>
      <c r="J47" s="4">
        <v>116.41245987000001</v>
      </c>
      <c r="K47" s="4">
        <f t="shared" si="13"/>
        <v>14.988054259435454</v>
      </c>
      <c r="L47" s="4">
        <f t="shared" si="14"/>
        <v>0.62514239080771716</v>
      </c>
    </row>
    <row r="48" spans="2:12" ht="14.1" customHeight="1">
      <c r="B48" s="172" t="str">
        <f>IF(Indice_index!$Z$1=1,"Segurança Social","Social security")</f>
        <v>Segurança Social</v>
      </c>
      <c r="C48" s="4">
        <v>98.412141680000005</v>
      </c>
      <c r="D48" s="4">
        <v>108.67739788</v>
      </c>
      <c r="E48" s="4">
        <f t="shared" si="11"/>
        <v>10.430883857175695</v>
      </c>
      <c r="F48" s="4">
        <v>101.26117345999999</v>
      </c>
      <c r="G48" s="4">
        <v>111.36724244</v>
      </c>
      <c r="H48" s="4">
        <f t="shared" si="12"/>
        <v>9.9802013295768148</v>
      </c>
      <c r="I48" s="4">
        <v>199.67331513999994</v>
      </c>
      <c r="J48" s="4">
        <v>220.04464032000001</v>
      </c>
      <c r="K48" s="4">
        <f t="shared" si="13"/>
        <v>10.202327319360034</v>
      </c>
      <c r="L48" s="4">
        <f t="shared" si="14"/>
        <v>0.83927876120227207</v>
      </c>
    </row>
    <row r="49" spans="2:12" ht="14.1" customHeight="1">
      <c r="B49" s="125" t="str">
        <f>IF(Indice_index!$Z$1=1,"Aquisição de bens e serviços","Purchase of goods and services")</f>
        <v>Aquisição de bens e serviços</v>
      </c>
      <c r="C49" s="4">
        <v>314.85024681000004</v>
      </c>
      <c r="D49" s="4">
        <v>338.10939452999997</v>
      </c>
      <c r="E49" s="4">
        <f t="shared" si="11"/>
        <v>7.3873684253568106</v>
      </c>
      <c r="F49" s="4">
        <v>289.71793441999995</v>
      </c>
      <c r="G49" s="4">
        <v>325.93967492000002</v>
      </c>
      <c r="H49" s="4">
        <f t="shared" si="12"/>
        <v>12.502415693565567</v>
      </c>
      <c r="I49" s="4">
        <v>604.56818123000005</v>
      </c>
      <c r="J49" s="4">
        <v>664.04906944999993</v>
      </c>
      <c r="K49" s="4">
        <f t="shared" si="13"/>
        <v>9.8385740544574176</v>
      </c>
      <c r="L49" s="4">
        <f t="shared" si="14"/>
        <v>2.4505546762123869</v>
      </c>
    </row>
    <row r="50" spans="2:12" ht="14.1" customHeight="1">
      <c r="B50" s="125" t="str">
        <f>IF(Indice_index!$Z$1=1,"Juros e outros encargos","Interests and other charges")</f>
        <v>Juros e outros encargos</v>
      </c>
      <c r="C50" s="4">
        <v>54.070989910000002</v>
      </c>
      <c r="D50" s="4">
        <v>53.806919900000004</v>
      </c>
      <c r="E50" s="4">
        <f t="shared" si="11"/>
        <v>-0.48837650362890778</v>
      </c>
      <c r="F50" s="4">
        <v>93.453005750000003</v>
      </c>
      <c r="G50" s="4">
        <v>90.681563369999992</v>
      </c>
      <c r="H50" s="4">
        <f t="shared" si="12"/>
        <v>-2.9656000443838164</v>
      </c>
      <c r="I50" s="4">
        <v>147.52399566000003</v>
      </c>
      <c r="J50" s="4">
        <v>144.48848326999999</v>
      </c>
      <c r="K50" s="4">
        <f t="shared" si="13"/>
        <v>-2.0576397598367735</v>
      </c>
      <c r="L50" s="4">
        <f t="shared" si="14"/>
        <v>-0.12506015469207535</v>
      </c>
    </row>
    <row r="51" spans="2:12" ht="14.1" customHeight="1">
      <c r="B51" s="125" t="str">
        <f>IF(Indice_index!$Z$1=1,"Transferências correntes","Current transfers")</f>
        <v>Transferências correntes</v>
      </c>
      <c r="C51" s="4">
        <f>+C52+C53</f>
        <v>95.806680060000005</v>
      </c>
      <c r="D51" s="4">
        <f>+D52+D53</f>
        <v>107.55635879</v>
      </c>
      <c r="E51" s="4">
        <f t="shared" si="11"/>
        <v>12.263945189042802</v>
      </c>
      <c r="F51" s="4">
        <f>+F52+F53</f>
        <v>93.255235139999996</v>
      </c>
      <c r="G51" s="4">
        <f>+G52+G53</f>
        <v>98.865634929999999</v>
      </c>
      <c r="H51" s="4">
        <f t="shared" si="12"/>
        <v>6.0161767664596582</v>
      </c>
      <c r="I51" s="4">
        <f>+I52+I53</f>
        <v>189.06191520000002</v>
      </c>
      <c r="J51" s="4">
        <f>+J52+J53</f>
        <v>206.42199372000007</v>
      </c>
      <c r="K51" s="4">
        <f t="shared" si="13"/>
        <v>9.1822186936145336</v>
      </c>
      <c r="L51" s="4">
        <f t="shared" si="14"/>
        <v>0.7152183309578769</v>
      </c>
    </row>
    <row r="52" spans="2:12" ht="14.1" customHeight="1">
      <c r="B52" s="172" t="str">
        <f>IF(Indice_index!$Z$1=1,"Administrações Públicas","General Government")</f>
        <v>Administrações Públicas</v>
      </c>
      <c r="C52" s="4">
        <v>1.9659906599999999</v>
      </c>
      <c r="D52" s="4">
        <v>6.0607187099999997</v>
      </c>
      <c r="E52" s="4">
        <f t="shared" si="11"/>
        <v>208.27810290817962</v>
      </c>
      <c r="F52" s="4">
        <v>1.9792988200000001</v>
      </c>
      <c r="G52" s="4">
        <v>1.9704085099999999</v>
      </c>
      <c r="H52" s="4">
        <f t="shared" si="12"/>
        <v>-0.4491646188118365</v>
      </c>
      <c r="I52" s="4">
        <v>3.9452894800000005</v>
      </c>
      <c r="J52" s="4">
        <v>8.0311272200000001</v>
      </c>
      <c r="K52" s="4">
        <f t="shared" si="13"/>
        <v>103.56243212855445</v>
      </c>
      <c r="L52" s="4">
        <f t="shared" si="14"/>
        <v>0.16833253637654016</v>
      </c>
    </row>
    <row r="53" spans="2:12" ht="14.1" customHeight="1">
      <c r="B53" s="172" t="str">
        <f>IF(Indice_index!$Z$1=1,"Outras transferências","Other transfers")</f>
        <v>Outras transferências</v>
      </c>
      <c r="C53" s="4">
        <v>93.840689400000002</v>
      </c>
      <c r="D53" s="4">
        <v>101.49564008</v>
      </c>
      <c r="E53" s="4">
        <f t="shared" si="11"/>
        <v>8.1573896450935468</v>
      </c>
      <c r="F53" s="4">
        <v>91.27593632</v>
      </c>
      <c r="G53" s="4">
        <v>96.89522642</v>
      </c>
      <c r="H53" s="4">
        <f t="shared" si="12"/>
        <v>6.15637628772122</v>
      </c>
      <c r="I53" s="4">
        <v>185.11662572</v>
      </c>
      <c r="J53" s="4">
        <v>198.39086650000007</v>
      </c>
      <c r="K53" s="4">
        <f t="shared" si="13"/>
        <v>7.1707447823072119</v>
      </c>
      <c r="L53" s="4">
        <f t="shared" si="14"/>
        <v>0.54688579458133713</v>
      </c>
    </row>
    <row r="54" spans="2:12" ht="14.1" customHeight="1">
      <c r="B54" s="125" t="str">
        <f>IF(Indice_index!$Z$1=1,"Subsídios","Subsidies")</f>
        <v>Subsídios</v>
      </c>
      <c r="C54" s="4">
        <v>19.183070130000004</v>
      </c>
      <c r="D54" s="4">
        <v>17.769614699999998</v>
      </c>
      <c r="E54" s="4">
        <f t="shared" si="11"/>
        <v>-7.3682440840871068</v>
      </c>
      <c r="F54" s="4">
        <v>26.92420456</v>
      </c>
      <c r="G54" s="4">
        <v>26.476211199999998</v>
      </c>
      <c r="H54" s="4">
        <f t="shared" si="12"/>
        <v>-1.6639056466892392</v>
      </c>
      <c r="I54" s="4">
        <v>46.107274690000004</v>
      </c>
      <c r="J54" s="4">
        <v>44.245825900000007</v>
      </c>
      <c r="K54" s="4">
        <f t="shared" si="13"/>
        <v>-4.0372127880369346</v>
      </c>
      <c r="L54" s="4">
        <f t="shared" si="14"/>
        <v>-7.6689877595516376E-2</v>
      </c>
    </row>
    <row r="55" spans="2:12" ht="14.1" customHeight="1">
      <c r="B55" s="125" t="str">
        <f>IF(Indice_index!$Z$1=1,"Outras despesas correntes","Other current expenditure")</f>
        <v>Outras despesas correntes</v>
      </c>
      <c r="C55" s="4">
        <v>13.670411040000001</v>
      </c>
      <c r="D55" s="4">
        <v>13.820328550000001</v>
      </c>
      <c r="E55" s="4">
        <f t="shared" si="11"/>
        <v>1.0966569297831432</v>
      </c>
      <c r="F55" s="4">
        <v>1.97984597</v>
      </c>
      <c r="G55" s="4">
        <v>3.2329188199999996</v>
      </c>
      <c r="H55" s="4">
        <f t="shared" si="12"/>
        <v>63.291431201589873</v>
      </c>
      <c r="I55" s="4">
        <v>15.650257010000002</v>
      </c>
      <c r="J55" s="4">
        <v>17.053247370000001</v>
      </c>
      <c r="K55" s="4">
        <f t="shared" si="13"/>
        <v>8.9646474118829733</v>
      </c>
      <c r="L55" s="4">
        <f t="shared" si="14"/>
        <v>5.7801836695217122E-2</v>
      </c>
    </row>
    <row r="56" spans="2:12" ht="14.1" customHeight="1">
      <c r="B56" s="125" t="str">
        <f>IF(Indice_index!$Z$1=1,"Diferenças de consolidação","Consolidation differences")</f>
        <v>Diferenças de consolidação</v>
      </c>
      <c r="C56" s="4">
        <v>0.68733567999993284</v>
      </c>
      <c r="D56" s="4">
        <v>0.31900219000003383</v>
      </c>
      <c r="E56" s="4"/>
      <c r="F56" s="4">
        <v>4.3229599999999998E-3</v>
      </c>
      <c r="G56" s="4">
        <v>1.9080369999999999E-2</v>
      </c>
      <c r="H56" s="4"/>
      <c r="I56" s="4">
        <v>4.3229599999999998E-3</v>
      </c>
      <c r="J56" s="4">
        <v>1.9772369999999997E-2</v>
      </c>
      <c r="K56" s="4"/>
      <c r="L56" s="4">
        <f t="shared" si="14"/>
        <v>6.3650064841319013E-4</v>
      </c>
    </row>
    <row r="57" spans="2:12" ht="14.1" customHeight="1">
      <c r="B57" s="174" t="str">
        <f>IF(Indice_index!$Z$1=1,"Despesa de capital","Capital expenditure")</f>
        <v>Despesa de capital</v>
      </c>
      <c r="C57" s="134">
        <f>+C58+C59+C62+C63</f>
        <v>228.11641138000005</v>
      </c>
      <c r="D57" s="134">
        <f>+D58+D59+D62+D63</f>
        <v>256.78315933000005</v>
      </c>
      <c r="E57" s="134">
        <f t="shared" ref="E57:E62" si="15">IFERROR(IF(ABS((D57-C57)/C57)*100&gt;500,"-",((D57-C57)/C57)*100),0)</f>
        <v>12.566718797906418</v>
      </c>
      <c r="F57" s="134">
        <f>+F58+F59+F62+F63</f>
        <v>105.69408405000003</v>
      </c>
      <c r="G57" s="134">
        <f>+G58+G59+G62+G63</f>
        <v>144.53849126</v>
      </c>
      <c r="H57" s="134">
        <f t="shared" ref="H57:H62" si="16">IFERROR(IF(ABS((G57-F57)/F57)*100&gt;500,"-",((G57-F57)/F57)*100),0)</f>
        <v>36.751732662373129</v>
      </c>
      <c r="I57" s="134">
        <f>+I58+I59+I62+I63</f>
        <v>333.81049542999995</v>
      </c>
      <c r="J57" s="134">
        <f>+J58+J59+J62+J63</f>
        <v>401.32165058999993</v>
      </c>
      <c r="K57" s="134">
        <f t="shared" ref="K57:K62" si="17">IFERROR(IF(ABS((J57-I57)/I57)*100&gt;500,"-",((J57-I57)/I57)*100),0)</f>
        <v>20.224395602970809</v>
      </c>
      <c r="L57" s="134">
        <f t="shared" si="14"/>
        <v>2.78139385481151</v>
      </c>
    </row>
    <row r="58" spans="2:12" ht="14.1" customHeight="1">
      <c r="B58" s="125" t="str">
        <f>IF(Indice_index!$Z$1=1,"Aquisição de bens de capital","Purchase of capital goods")</f>
        <v>Aquisição de bens de capital</v>
      </c>
      <c r="C58" s="4">
        <v>57.299931600000008</v>
      </c>
      <c r="D58" s="4">
        <v>101.59224365</v>
      </c>
      <c r="E58" s="4">
        <f t="shared" si="15"/>
        <v>77.299066182480374</v>
      </c>
      <c r="F58" s="4">
        <v>91.385636260000027</v>
      </c>
      <c r="G58" s="4">
        <v>122.42105935000001</v>
      </c>
      <c r="H58" s="4">
        <f t="shared" si="16"/>
        <v>33.960942178814101</v>
      </c>
      <c r="I58" s="4">
        <v>148.68556785999999</v>
      </c>
      <c r="J58" s="4">
        <v>224.01330299999998</v>
      </c>
      <c r="K58" s="4">
        <f t="shared" si="17"/>
        <v>50.662439014207081</v>
      </c>
      <c r="L58" s="4">
        <f t="shared" si="14"/>
        <v>3.1034293387324854</v>
      </c>
    </row>
    <row r="59" spans="2:12" ht="14.1" customHeight="1">
      <c r="B59" s="125" t="str">
        <f>IF(Indice_index!$Z$1=1,"Transferências de capital","Capital transfers")</f>
        <v>Transferências de capital</v>
      </c>
      <c r="C59" s="4">
        <f>+C60+C61</f>
        <v>169.99027978000004</v>
      </c>
      <c r="D59" s="4">
        <f>+D60+D61</f>
        <v>154.96174898000001</v>
      </c>
      <c r="E59" s="4">
        <f t="shared" si="15"/>
        <v>-8.8408177334903062</v>
      </c>
      <c r="F59" s="4">
        <f>+F60+F61</f>
        <v>14.308447790000001</v>
      </c>
      <c r="G59" s="4">
        <f>+G60+G61</f>
        <v>22.117431910000001</v>
      </c>
      <c r="H59" s="4">
        <f t="shared" si="16"/>
        <v>54.576039516023556</v>
      </c>
      <c r="I59" s="4">
        <f>+I60+I61</f>
        <v>184.29872757000001</v>
      </c>
      <c r="J59" s="4">
        <f>+J60+J61</f>
        <v>177.07918088999998</v>
      </c>
      <c r="K59" s="4">
        <f t="shared" si="17"/>
        <v>-3.9173068502374333</v>
      </c>
      <c r="L59" s="4">
        <f t="shared" si="14"/>
        <v>-0.29743829331148036</v>
      </c>
    </row>
    <row r="60" spans="2:12" ht="14.1" customHeight="1">
      <c r="B60" s="172" t="str">
        <f>IF(Indice_index!$Z$1=1,"Administrações Públicas","General Government")</f>
        <v>Administrações Públicas</v>
      </c>
      <c r="C60" s="4">
        <v>4.8682578999999997</v>
      </c>
      <c r="D60" s="4">
        <v>10.23371732</v>
      </c>
      <c r="E60" s="4">
        <f t="shared" si="15"/>
        <v>110.21313024521567</v>
      </c>
      <c r="F60" s="4">
        <v>7.5975915199999999</v>
      </c>
      <c r="G60" s="4">
        <v>8.3806468299999999</v>
      </c>
      <c r="H60" s="4">
        <f t="shared" si="16"/>
        <v>10.306625565992524</v>
      </c>
      <c r="I60" s="4">
        <v>12.46584942</v>
      </c>
      <c r="J60" s="4">
        <v>18.61436415</v>
      </c>
      <c r="K60" s="4">
        <f t="shared" si="17"/>
        <v>49.322870209994889</v>
      </c>
      <c r="L60" s="4">
        <f t="shared" si="14"/>
        <v>0.25331281986969417</v>
      </c>
    </row>
    <row r="61" spans="2:12" ht="14.1" customHeight="1">
      <c r="B61" s="172" t="str">
        <f>IF(Indice_index!$Z$1=1,"Outras transferências","Other transfers")</f>
        <v>Outras transferências</v>
      </c>
      <c r="C61" s="4">
        <v>165.12202188000003</v>
      </c>
      <c r="D61" s="4">
        <v>144.72803166</v>
      </c>
      <c r="E61" s="4">
        <f t="shared" si="15"/>
        <v>-12.350860283688302</v>
      </c>
      <c r="F61" s="4">
        <v>6.7108562700000007</v>
      </c>
      <c r="G61" s="4">
        <v>13.736785080000001</v>
      </c>
      <c r="H61" s="4">
        <f t="shared" si="16"/>
        <v>104.69496778538515</v>
      </c>
      <c r="I61" s="4">
        <v>171.83287815</v>
      </c>
      <c r="J61" s="4">
        <v>158.46481673999997</v>
      </c>
      <c r="K61" s="4">
        <f t="shared" si="17"/>
        <v>-7.7796877721680788</v>
      </c>
      <c r="L61" s="4">
        <f t="shared" si="14"/>
        <v>-0.55075111318117398</v>
      </c>
    </row>
    <row r="62" spans="2:12" ht="14.1" customHeight="1">
      <c r="B62" s="125" t="str">
        <f>IF(Indice_index!$Z$1=1,"Outras despesas de capital","Other capital expenditure")</f>
        <v>Outras despesas de capital</v>
      </c>
      <c r="C62" s="4">
        <v>0.82620000000000005</v>
      </c>
      <c r="D62" s="4">
        <v>0.2291667</v>
      </c>
      <c r="E62" s="4">
        <f t="shared" si="15"/>
        <v>-72.262563543936096</v>
      </c>
      <c r="F62" s="4">
        <v>0</v>
      </c>
      <c r="G62" s="4">
        <v>0</v>
      </c>
      <c r="H62" s="4">
        <f t="shared" si="16"/>
        <v>0</v>
      </c>
      <c r="I62" s="4">
        <v>0.82620000000000005</v>
      </c>
      <c r="J62" s="4">
        <v>0.2291667</v>
      </c>
      <c r="K62" s="4">
        <f t="shared" si="17"/>
        <v>-72.262563543936096</v>
      </c>
      <c r="L62" s="4">
        <f t="shared" si="14"/>
        <v>-2.4597190609496854E-2</v>
      </c>
    </row>
    <row r="63" spans="2:12" ht="14.1" customHeight="1">
      <c r="B63" s="125" t="str">
        <f>IF(Indice_index!$Z$1=1,"Diferenças de consolidação","Consolidation differences")</f>
        <v>Diferenças de consolidação</v>
      </c>
      <c r="C63" s="4">
        <v>0</v>
      </c>
      <c r="D63" s="4">
        <v>0</v>
      </c>
      <c r="E63" s="4"/>
      <c r="F63" s="4">
        <v>0</v>
      </c>
      <c r="G63" s="4">
        <v>0</v>
      </c>
      <c r="H63" s="4"/>
      <c r="I63" s="4">
        <v>0</v>
      </c>
      <c r="J63" s="4">
        <v>0</v>
      </c>
      <c r="K63" s="4"/>
      <c r="L63" s="4"/>
    </row>
    <row r="64" spans="2:12" ht="14.1" customHeight="1">
      <c r="B64" s="30" t="str">
        <f>IF(Indice_index!$Z$1=1,"Despesa efetiva","Effective expenditure")</f>
        <v>Despesa efetiva</v>
      </c>
      <c r="C64" s="18">
        <f>+C57+C44</f>
        <v>1244.25979158</v>
      </c>
      <c r="D64" s="18">
        <f>+D57+D44</f>
        <v>1359.8703165499999</v>
      </c>
      <c r="E64" s="18">
        <f>IFERROR(IF(ABS((D64-C64)/C64)*100&gt;500,"-",((D64-C64)/C64)*100),0)</f>
        <v>9.2915101614907964</v>
      </c>
      <c r="F64" s="18">
        <f>+F57+F44</f>
        <v>1183.66937622</v>
      </c>
      <c r="G64" s="18">
        <f>+G57+G44</f>
        <v>1299.9052721599999</v>
      </c>
      <c r="H64" s="18">
        <f>IFERROR(IF(ABS((G64-F64)/F64)*100&gt;500,"-",((G64-F64)/F64)*100),0)</f>
        <v>9.819963097397558</v>
      </c>
      <c r="I64" s="18">
        <f>+I57+I44</f>
        <v>2427.2418321200003</v>
      </c>
      <c r="J64" s="18">
        <f>+J57+J44</f>
        <v>2659.4572785199998</v>
      </c>
      <c r="K64" s="18">
        <f>IFERROR(IF(ABS((J64-I64)/I64)*100&gt;500,"-",((J64-I64)/I64)*100),0)</f>
        <v>9.5670502760401934</v>
      </c>
      <c r="L64" s="18"/>
    </row>
    <row r="65" spans="2:13" ht="14.1" customHeight="1">
      <c r="B65" s="30" t="str">
        <f>IF(Indice_index!$Z$1=1,"Saldo global","Overall balance")</f>
        <v>Saldo global</v>
      </c>
      <c r="C65" s="18">
        <f>+C43-C64</f>
        <v>-137.05485832999989</v>
      </c>
      <c r="D65" s="18">
        <f>+D43-D64</f>
        <v>-190.8240106899998</v>
      </c>
      <c r="E65" s="18"/>
      <c r="F65" s="18">
        <f>+F43-F64</f>
        <v>164.99638628000002</v>
      </c>
      <c r="G65" s="18">
        <f>+G43-G64</f>
        <v>114.76517003999993</v>
      </c>
      <c r="H65" s="18"/>
      <c r="I65" s="18">
        <f>+I43-I64</f>
        <v>27.941527949999454</v>
      </c>
      <c r="J65" s="18">
        <f>+J43-J64</f>
        <v>-76.058840649999638</v>
      </c>
      <c r="K65" s="18"/>
      <c r="L65" s="18"/>
      <c r="M65" s="213"/>
    </row>
    <row r="66" spans="2:13" ht="14.1" customHeight="1">
      <c r="B66" s="172" t="str">
        <f>IF(Indice_index!$Z$1=1,"Despesa primária","Primary Expenditure")</f>
        <v>Despesa primária</v>
      </c>
      <c r="C66" s="4">
        <f>+C64-C50</f>
        <v>1190.18880167</v>
      </c>
      <c r="D66" s="4">
        <f>+D64-D50</f>
        <v>1306.06339665</v>
      </c>
      <c r="E66" s="4">
        <f>IFERROR(IF(ABS((D66-C66)/C66)*100&gt;500,"-",((D66-C66)/C66)*100),0)</f>
        <v>9.7358162685963645</v>
      </c>
      <c r="F66" s="4">
        <f>+F64-F50</f>
        <v>1090.2163704699999</v>
      </c>
      <c r="G66" s="4">
        <f>+G64-G50</f>
        <v>1209.2237087899998</v>
      </c>
      <c r="H66" s="4">
        <f>IFERROR(IF(ABS((G66-F66)/F66)*100&gt;500,"-",((G66-F66)/F66)*100),0)</f>
        <v>10.915937564640956</v>
      </c>
      <c r="I66" s="4">
        <f>+I64-I50</f>
        <v>2279.7178364600004</v>
      </c>
      <c r="J66" s="4">
        <f>+J64-J50</f>
        <v>2514.9687952499999</v>
      </c>
      <c r="K66" s="4">
        <f>IFERROR(IF(ABS((J66-I66)/I66)*100&gt;500,"-",((J66-I66)/I66)*100),0)</f>
        <v>10.319301583186395</v>
      </c>
      <c r="L66" s="4"/>
    </row>
    <row r="67" spans="2:13" ht="14.1" customHeight="1">
      <c r="B67" s="172" t="str">
        <f>IF(Indice_index!$Z$1=1,"Saldo primário","Primary balance")</f>
        <v>Saldo primário</v>
      </c>
      <c r="C67" s="4">
        <f>+C65+C50</f>
        <v>-82.98386841999988</v>
      </c>
      <c r="D67" s="4">
        <f>+D65+D50</f>
        <v>-137.0170907899998</v>
      </c>
      <c r="E67" s="4"/>
      <c r="F67" s="4">
        <f>+F65+F50</f>
        <v>258.44939203000001</v>
      </c>
      <c r="G67" s="4">
        <f>+G65+G50</f>
        <v>205.44673340999992</v>
      </c>
      <c r="H67" s="4"/>
      <c r="I67" s="4">
        <f>+I65+I50</f>
        <v>175.46552360999948</v>
      </c>
      <c r="J67" s="4">
        <f>+J65+J50</f>
        <v>68.429642620000351</v>
      </c>
      <c r="K67" s="4"/>
      <c r="L67" s="4"/>
    </row>
    <row r="68" spans="2:13" ht="14.1" customHeight="1">
      <c r="B68" s="172" t="str">
        <f>IF(Indice_index!$Z$1=1,"Saldo corrente","Current balance")</f>
        <v>Saldo corrente</v>
      </c>
      <c r="C68" s="4">
        <f>+C13-C44</f>
        <v>-127.10860250999997</v>
      </c>
      <c r="D68" s="4">
        <f>+D13-D44</f>
        <v>-82.642712779999783</v>
      </c>
      <c r="E68" s="4"/>
      <c r="F68" s="4">
        <f>+F13-F44</f>
        <v>159.54653836000011</v>
      </c>
      <c r="G68" s="4">
        <f>+G13-G44</f>
        <v>105.79837705</v>
      </c>
      <c r="H68" s="4"/>
      <c r="I68" s="4">
        <f>+I13-I44</f>
        <v>32.437935849999576</v>
      </c>
      <c r="J68" s="4">
        <f>+J13-J44</f>
        <v>23.155664270000216</v>
      </c>
      <c r="K68" s="4"/>
      <c r="L68" s="4"/>
    </row>
    <row r="69" spans="2:13" ht="14.1" customHeight="1">
      <c r="B69" s="172" t="str">
        <f>IF(Indice_index!$Z$1=1,"Saldo de capital","Capital balance")</f>
        <v>Saldo de capital</v>
      </c>
      <c r="C69" s="4">
        <f>+C32-C57</f>
        <v>-9.9462558200000046</v>
      </c>
      <c r="D69" s="4">
        <f>+D32-D57</f>
        <v>-108.18129791000007</v>
      </c>
      <c r="E69" s="4"/>
      <c r="F69" s="4">
        <f>+F32-F57</f>
        <v>5.4498479199999679</v>
      </c>
      <c r="G69" s="4">
        <f>+G32-G57</f>
        <v>8.9667929900000161</v>
      </c>
      <c r="H69" s="4"/>
      <c r="I69" s="4">
        <f>+I32-I57</f>
        <v>-4.4964078999998947</v>
      </c>
      <c r="J69" s="4">
        <f>+J32-J57</f>
        <v>-99.214504919999968</v>
      </c>
      <c r="K69" s="4"/>
      <c r="L69" s="4"/>
    </row>
    <row r="70" spans="2:13" ht="14.1" customHeight="1">
      <c r="B70" s="125" t="str">
        <f>IF(Indice_index!$Z$1=1,"Ativos financeiros líquidos de reembolsos","Financial assets net of reimbursements")</f>
        <v>Ativos financeiros líquidos de reembolsos</v>
      </c>
      <c r="C70" s="4">
        <v>-5.3969434399999994</v>
      </c>
      <c r="D70" s="4">
        <v>-1.8918590599999998</v>
      </c>
      <c r="E70" s="4"/>
      <c r="F70" s="4">
        <v>-0.61486610999999947</v>
      </c>
      <c r="G70" s="4">
        <v>-0.58947735000000279</v>
      </c>
      <c r="H70" s="4"/>
      <c r="I70" s="4">
        <v>-6.0118095499999988</v>
      </c>
      <c r="J70" s="4">
        <v>-2.4813364100000044</v>
      </c>
      <c r="K70" s="4"/>
      <c r="L70" s="4"/>
    </row>
    <row r="71" spans="2:13" ht="14.1" customHeight="1">
      <c r="B71" s="172" t="str">
        <f>IF(Indice_index!$Z$1=1,"dos quais Receitas de:","of which Revenues of")</f>
        <v>dos quais Receitas de:</v>
      </c>
      <c r="C71" s="4"/>
      <c r="D71" s="4"/>
      <c r="E71" s="4"/>
      <c r="F71" s="4"/>
      <c r="G71" s="4"/>
      <c r="H71" s="4"/>
      <c r="I71" s="4"/>
      <c r="J71" s="4"/>
      <c r="K71" s="4"/>
      <c r="L71" s="4"/>
    </row>
    <row r="72" spans="2:13" ht="14.1" customHeight="1">
      <c r="B72" s="172"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 customHeight="1">
      <c r="B73" s="172" t="str">
        <f>IF(Indice_index!$Z$1=1,"Outros ativos","Other Financial assets")</f>
        <v>Outros ativos</v>
      </c>
      <c r="C73" s="4">
        <v>6.4691593099999993</v>
      </c>
      <c r="D73" s="4">
        <v>6.2618997500000004</v>
      </c>
      <c r="E73" s="4"/>
      <c r="F73" s="4">
        <v>16.169211369999999</v>
      </c>
      <c r="G73" s="4">
        <v>46.823540229999999</v>
      </c>
      <c r="H73" s="4"/>
      <c r="I73" s="4">
        <v>22.638370679999998</v>
      </c>
      <c r="J73" s="4">
        <v>53.085439979999997</v>
      </c>
      <c r="K73" s="4"/>
      <c r="L73" s="4"/>
    </row>
    <row r="74" spans="2:13" ht="14.1" customHeight="1">
      <c r="B74" s="125" t="str">
        <f>IF(Indice_index!$Z$1=1,"Passivos financeiros líquidos de amortizações","Financial liabilities net of amortizations")</f>
        <v>Passivos financeiros líquidos de amortizações</v>
      </c>
      <c r="C74" s="4">
        <v>97.48573632999998</v>
      </c>
      <c r="D74" s="4">
        <v>164.13683319999998</v>
      </c>
      <c r="E74" s="4"/>
      <c r="F74" s="4">
        <v>31.28983704999996</v>
      </c>
      <c r="G74" s="4">
        <v>24.094316669999955</v>
      </c>
      <c r="H74" s="4"/>
      <c r="I74" s="4">
        <v>128.77557337999997</v>
      </c>
      <c r="J74" s="4">
        <v>188.23114986999991</v>
      </c>
      <c r="K74" s="4"/>
      <c r="L74" s="4"/>
    </row>
    <row r="75" spans="2:13" ht="14.1" customHeight="1">
      <c r="B75" s="173" t="str">
        <f>IF(Indice_index!$Z$1=1,"Poupança (+) / Utilização (-) de saldo da gerência anterior","Saving (+) / Usage (-) of balance from previous management")</f>
        <v>Poupança (+) / Utilização (-) de saldo da gerência anterior</v>
      </c>
      <c r="C75" s="19">
        <f>+C65-C70+C74</f>
        <v>-34.172178559999907</v>
      </c>
      <c r="D75" s="19">
        <f>+D65-D70+D74</f>
        <v>-24.79531842999981</v>
      </c>
      <c r="E75" s="19"/>
      <c r="F75" s="19">
        <f>+F65-F70+F74</f>
        <v>196.90108943999999</v>
      </c>
      <c r="G75" s="19">
        <f>+G65-G70+G74</f>
        <v>139.44896405999989</v>
      </c>
      <c r="H75" s="19"/>
      <c r="I75" s="19">
        <f>+I65-I70+I74</f>
        <v>162.72891087999943</v>
      </c>
      <c r="J75" s="19">
        <f>+J65-J70+J74</f>
        <v>114.65364563000028</v>
      </c>
      <c r="K75" s="19"/>
      <c r="L75" s="19"/>
    </row>
    <row r="76" spans="2:13">
      <c r="B76" s="169"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4"/>
      <c r="D76" s="204"/>
      <c r="E76" s="74"/>
      <c r="F76" s="74"/>
      <c r="G76" s="74"/>
      <c r="H76" s="74"/>
      <c r="I76" s="74"/>
      <c r="J76" s="74"/>
      <c r="K76" s="74"/>
      <c r="L76" s="74"/>
    </row>
    <row r="77" spans="2:13"/>
  </sheetData>
  <mergeCells count="7">
    <mergeCell ref="B10:B12"/>
    <mergeCell ref="C10:E10"/>
    <mergeCell ref="F10:H10"/>
    <mergeCell ref="I10:L10"/>
    <mergeCell ref="C11:E11"/>
    <mergeCell ref="F11:H11"/>
    <mergeCell ref="I11:L11"/>
  </mergeCells>
  <conditionalFormatting sqref="C13:L42">
    <cfRule type="cellIs" dxfId="41" priority="1" operator="equal">
      <formula>0</formula>
    </cfRule>
  </conditionalFormatting>
  <conditionalFormatting sqref="C44:L63">
    <cfRule type="cellIs" dxfId="40" priority="2" operator="equal">
      <formula>0</formula>
    </cfRule>
  </conditionalFormatting>
  <conditionalFormatting sqref="C66:L75">
    <cfRule type="cellIs" dxfId="39" priority="3"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E66 H64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56" customWidth="1"/>
    <col min="2" max="2" width="49.42578125" style="56" customWidth="1"/>
    <col min="3" max="6" width="9.5703125" style="56" customWidth="1"/>
    <col min="7" max="7" width="10.42578125" style="56" customWidth="1"/>
    <col min="8" max="15" width="0" hidden="1" customWidth="1"/>
    <col min="16" max="16384" width="9.42578125" hidden="1"/>
  </cols>
  <sheetData>
    <row r="1" spans="1:7" ht="14.85" customHeight="1"/>
    <row r="2" spans="1:7" ht="15"/>
    <row r="3" spans="1:7" ht="15"/>
    <row r="4" spans="1:7" ht="15"/>
    <row r="5" spans="1:7" ht="18" customHeight="1">
      <c r="A5"/>
      <c r="B5" s="269" t="str">
        <f>IF(Indice_index!$Z$1=1,"ANEXOS ESTATÍSTICOS","STATISTICAL ANNEXES")</f>
        <v>ANEXOS ESTATÍSTICOS</v>
      </c>
      <c r="C5"/>
      <c r="D5"/>
      <c r="E5"/>
      <c r="F5"/>
      <c r="G5"/>
    </row>
    <row r="6" spans="1:7" ht="18" customHeight="1">
      <c r="A6"/>
      <c r="B6" s="270" t="str">
        <f>IF(Indice_index!$Z$1=1,"Setembro de 2025","September 2025")</f>
        <v>Setembro de 2025</v>
      </c>
      <c r="C6"/>
      <c r="D6"/>
      <c r="E6"/>
      <c r="F6"/>
      <c r="G6"/>
    </row>
    <row r="7" spans="1:7" ht="50.1" customHeight="1">
      <c r="B7" s="12"/>
      <c r="C7" s="13"/>
      <c r="D7" s="11"/>
      <c r="E7" s="11"/>
      <c r="F7" s="11"/>
    </row>
    <row r="8" spans="1:7" ht="15.75">
      <c r="B8" s="1" t="str">
        <f>IF(Indice_index!$Z$1=1,"Quadro 13 - Execução Orçamental dos Municípios","13 - Municipal Budget Execution")</f>
        <v>Quadro 13 - Execução Orçamental dos Municípios</v>
      </c>
      <c r="C8" s="2"/>
      <c r="D8" s="2"/>
      <c r="E8" s="2"/>
      <c r="F8" s="2"/>
    </row>
    <row r="9" spans="1:7" ht="15">
      <c r="B9" s="3" t="str">
        <f>+'3 - Conta AC + SS'!B9</f>
        <v>Período: janeiro a setembro</v>
      </c>
      <c r="C9" s="3"/>
      <c r="D9" s="3"/>
      <c r="E9" s="3"/>
      <c r="F9" s="3" t="str">
        <f>IF(Indice_index!$Z$1=1,"€ Milhões","€ Millions")</f>
        <v>€ Milhões</v>
      </c>
    </row>
    <row r="10" spans="1:7" ht="26.85" customHeight="1">
      <c r="B10" s="390"/>
      <c r="C10" s="391" t="str">
        <f>IF(Indice_index!$Z$1=1,"Execução Acumulada","Accumulated Execution")</f>
        <v>Execução Acumulada</v>
      </c>
      <c r="D10" s="388"/>
      <c r="E10" s="391" t="str">
        <f>IF(Indice_index!$Z$1=1,"Variação Homóloga Acumulada","YOY Change Rate")</f>
        <v>Variação Homóloga Acumulada</v>
      </c>
      <c r="F10" s="387"/>
    </row>
    <row r="11" spans="1:7" ht="26.85" customHeight="1">
      <c r="B11" s="389"/>
      <c r="C11" s="22">
        <v>2024</v>
      </c>
      <c r="D11" s="22">
        <v>2025</v>
      </c>
      <c r="E11" s="22" t="str">
        <f>IF(Indice_index!$Z$1=1,"TVHA (%)","YOY Change Rate (%)")</f>
        <v>TVHA (%)</v>
      </c>
      <c r="F11" s="22" t="str">
        <f>IF(Indice_index!$Z$1=1,"Contributo    VHA (pp)","YOY Change Contrib. (pp)")</f>
        <v>Contributo    VHA (pp)</v>
      </c>
    </row>
    <row r="12" spans="1:7" ht="14.1" customHeight="1">
      <c r="B12" s="174" t="str">
        <f>IF(Indice_index!$Z$1=1,"Receita corrente","Current revenue")</f>
        <v>Receita corrente</v>
      </c>
      <c r="C12" s="134">
        <f>+C13+C21+C22+C33</f>
        <v>8048.4031384674781</v>
      </c>
      <c r="D12" s="134">
        <f>+D13+D21+D22+D33</f>
        <v>9000.0829519715971</v>
      </c>
      <c r="E12" s="134">
        <f t="shared" ref="E12:E23" si="0">IFERROR(IF(ABS((D12-C12)/C12)*100&gt;500,"-",((D12-C12)/C12)*100),0)</f>
        <v>11.824455076753665</v>
      </c>
      <c r="F12" s="134">
        <f>IFERROR((D12-C12)/C46*100,"-")</f>
        <v>10.397083050688778</v>
      </c>
    </row>
    <row r="13" spans="1:7" ht="14.1" customHeight="1">
      <c r="B13" s="125" t="str">
        <f>IF(Indice_index!$Z$1=1,"Receita fiscal","Tax income")</f>
        <v>Receita fiscal</v>
      </c>
      <c r="C13" s="4">
        <f>+C14+C20</f>
        <v>2948.3347906664362</v>
      </c>
      <c r="D13" s="4">
        <f>+D14+D20</f>
        <v>3412.1963049752894</v>
      </c>
      <c r="E13" s="4">
        <f t="shared" si="0"/>
        <v>15.733000057432514</v>
      </c>
      <c r="F13" s="4">
        <f>IFERROR((D13-C13)/C46*100,"-")</f>
        <v>5.0676778259377615</v>
      </c>
    </row>
    <row r="14" spans="1:7" ht="14.1" customHeight="1">
      <c r="B14" s="172" t="str">
        <f>IF(Indice_index!$Z$1=1,"Impostos diretos","Direct taxes")</f>
        <v>Impostos diretos</v>
      </c>
      <c r="C14" s="4">
        <f>+C15+C16+C17+C18+C19</f>
        <v>2932.6609874607138</v>
      </c>
      <c r="D14" s="4">
        <f>+D15+D16+D17+D18+D19</f>
        <v>3401.7173362277535</v>
      </c>
      <c r="E14" s="4">
        <f t="shared" si="0"/>
        <v>15.994223361397758</v>
      </c>
      <c r="F14" s="4">
        <f>IFERROR((D14-C14)/C46*100,"-")</f>
        <v>5.1244312891613575</v>
      </c>
    </row>
    <row r="15" spans="1:7" ht="14.1" customHeight="1">
      <c r="B15" s="307" t="str">
        <f>IF(Indice_index!$Z$1=1,"Imposto Municipal sobre Transmissões Onerosas de Imóveis","Property Transfer Tax")</f>
        <v>Imposto Municipal sobre Transmissões Onerosas de Imóveis</v>
      </c>
      <c r="C15" s="4">
        <v>1235.920928204444</v>
      </c>
      <c r="D15" s="4">
        <v>1582.0581455675256</v>
      </c>
      <c r="E15" s="4">
        <f t="shared" si="0"/>
        <v>28.006420917716202</v>
      </c>
      <c r="F15" s="4">
        <f>IFERROR((D15-C15)/C46*100,"-")</f>
        <v>3.781542221230163</v>
      </c>
    </row>
    <row r="16" spans="1:7" ht="14.1" customHeight="1">
      <c r="B16" s="307" t="str">
        <f>IF(Indice_index!$Z$1=1,"Imposto municipal sobre imóveis","Property Tax")</f>
        <v>Imposto municipal sobre imóveis</v>
      </c>
      <c r="C16" s="4">
        <v>1009.0532250919237</v>
      </c>
      <c r="D16" s="4">
        <v>1088.0731232612077</v>
      </c>
      <c r="E16" s="4">
        <f t="shared" si="0"/>
        <v>7.8310931677648039</v>
      </c>
      <c r="F16" s="4">
        <f>IFERROR((D16-C16)/C46*100,"-")</f>
        <v>0.86329081721082479</v>
      </c>
    </row>
    <row r="17" spans="2:6" ht="14.1" customHeight="1">
      <c r="B17" s="307" t="str">
        <f>IF(Indice_index!$Z$1=1,"Imposto Único de Circulação","Municipal Vehicle Tax")</f>
        <v>Imposto Único de Circulação</v>
      </c>
      <c r="C17" s="4">
        <v>263.52199627435033</v>
      </c>
      <c r="D17" s="4">
        <v>272.10171872998325</v>
      </c>
      <c r="E17" s="4">
        <f t="shared" si="0"/>
        <v>3.2557898683723727</v>
      </c>
      <c r="F17" s="4">
        <f>IFERROR((D17-C17)/C46*100,"-")</f>
        <v>9.3733297330981832E-2</v>
      </c>
    </row>
    <row r="18" spans="2:6" ht="14.1" customHeight="1">
      <c r="B18" s="307" t="str">
        <f>IF(Indice_index!$Z$1=1,"Derrama","Overtax")</f>
        <v>Derrama</v>
      </c>
      <c r="C18" s="4">
        <v>423.86576517000015</v>
      </c>
      <c r="D18" s="4">
        <v>456.88755070417221</v>
      </c>
      <c r="E18" s="4">
        <f t="shared" si="0"/>
        <v>7.7906234113830823</v>
      </c>
      <c r="F18" s="4">
        <f>IFERROR((D18-C18)/C46*100,"-")</f>
        <v>0.36076235074974017</v>
      </c>
    </row>
    <row r="19" spans="2:6" ht="14.1" customHeight="1">
      <c r="B19" s="307" t="str">
        <f>IF(Indice_index!$Z$1=1,"Outros ","Others")</f>
        <v xml:space="preserve">Outros </v>
      </c>
      <c r="C19" s="4">
        <v>0.29907271999576324</v>
      </c>
      <c r="D19" s="4">
        <v>2.5967979648648338</v>
      </c>
      <c r="E19" s="4" t="str">
        <f t="shared" si="0"/>
        <v>-</v>
      </c>
      <c r="F19" s="4">
        <f>IFERROR((D19-C19)/C46*100,"-")</f>
        <v>2.5102602639647708E-2</v>
      </c>
    </row>
    <row r="20" spans="2:6" ht="14.1" customHeight="1">
      <c r="B20" s="172" t="str">
        <f>IF(Indice_index!$Z$1=1,"Impostos indiretos","Indirect taxes")</f>
        <v>Impostos indiretos</v>
      </c>
      <c r="C20" s="4">
        <v>15.673803205722303</v>
      </c>
      <c r="D20" s="4">
        <v>10.478968747535818</v>
      </c>
      <c r="E20" s="4">
        <f t="shared" si="0"/>
        <v>-33.143420202506547</v>
      </c>
      <c r="F20" s="4">
        <f>IFERROR((D20-C20)/C46*100,"-")</f>
        <v>-5.6753463223596007E-2</v>
      </c>
    </row>
    <row r="21" spans="2:6" ht="14.1" customHeight="1">
      <c r="B21" s="125" t="str">
        <f>IF(Indice_index!$Z$1=1,"Taxas,multas e outras penalidades","Taxes, fines and other penalties")</f>
        <v>Taxas,multas e outras penalidades</v>
      </c>
      <c r="C21" s="4">
        <v>411.62360871613305</v>
      </c>
      <c r="D21" s="4">
        <v>553.75365738029507</v>
      </c>
      <c r="E21" s="4">
        <f t="shared" si="0"/>
        <v>34.529129441207246</v>
      </c>
      <c r="F21" s="4">
        <f>IFERROR((D21-C21)/C46*100,"-")</f>
        <v>1.5527679572383137</v>
      </c>
    </row>
    <row r="22" spans="2:6" ht="14.1" customHeight="1">
      <c r="B22" s="125" t="str">
        <f>IF(Indice_index!$Z$1=1,"Transferências correntes","Current transfers")</f>
        <v>Transferências correntes</v>
      </c>
      <c r="C22" s="4">
        <f>+C23+C30+C31+C32</f>
        <v>3590.8807143294684</v>
      </c>
      <c r="D22" s="4">
        <f>+D23+D30+D31+D32</f>
        <v>3839.711406574887</v>
      </c>
      <c r="E22" s="4">
        <f t="shared" si="0"/>
        <v>6.9295170750856618</v>
      </c>
      <c r="F22" s="4">
        <f>IFERROR((D22-C22)/C46*100,"-")</f>
        <v>2.7184703680013476</v>
      </c>
    </row>
    <row r="23" spans="2:6" ht="14.1" customHeight="1">
      <c r="B23" s="172" t="str">
        <f>IF(Indice_index!$Z$1=1,"Administração Central","Central Administration")</f>
        <v>Administração Central</v>
      </c>
      <c r="C23" s="4">
        <v>3495.1447398975006</v>
      </c>
      <c r="D23" s="4">
        <v>3755.5506918975002</v>
      </c>
      <c r="E23" s="4">
        <f t="shared" si="0"/>
        <v>7.4505055263501427</v>
      </c>
      <c r="F23" s="4">
        <f>IFERROR((D23-C23)/C46*100,"-")</f>
        <v>2.8449298507958249</v>
      </c>
    </row>
    <row r="24" spans="2:6" ht="14.1" customHeight="1">
      <c r="B24" s="326" t="str">
        <f>IF(Indice_index!$Z$1=1,"das quais:","of which:")</f>
        <v>das quais:</v>
      </c>
      <c r="C24" s="4"/>
      <c r="D24" s="4"/>
      <c r="E24" s="4"/>
      <c r="F24" s="4"/>
    </row>
    <row r="25" spans="2:6" ht="14.1" customHeight="1">
      <c r="B25" s="325" t="str">
        <f>IF(Indice_index!$Z$1=1,"Transferências do Orçamento do Estado","State Budget transfers")</f>
        <v>Transferências do Orçamento do Estado</v>
      </c>
      <c r="C25" s="4">
        <f>+C26+C27+C28+C29</f>
        <v>2125.4204159999999</v>
      </c>
      <c r="D25" s="4">
        <f>+D26+D27+D28+D29</f>
        <v>2166.6351419999996</v>
      </c>
      <c r="E25" s="4">
        <f t="shared" ref="E25:E37" si="1">IFERROR(IF(ABS((D25-C25)/C25)*100&gt;500,"-",((D25-C25)/C25)*100),0)</f>
        <v>1.9391328741240295</v>
      </c>
      <c r="F25" s="4">
        <f>IFERROR((D25-C25)/C46*100,"-")</f>
        <v>0.45027006252825635</v>
      </c>
    </row>
    <row r="26" spans="2:6" ht="14.1" customHeight="1">
      <c r="B26" s="338" t="str">
        <f>IF(Indice_index!$Z$1=1,"Fundo de Equilíbrio Financeiro","Financial Balance Fund")</f>
        <v>Fundo de Equilíbrio Financeiro</v>
      </c>
      <c r="C26" s="4">
        <v>1443.2621310000002</v>
      </c>
      <c r="D26" s="4">
        <v>1477.8500039999999</v>
      </c>
      <c r="E26" s="4">
        <f t="shared" si="1"/>
        <v>2.3965066537174815</v>
      </c>
      <c r="F26" s="4">
        <f>IFERROR((D26-C26)/C46*100,"-")</f>
        <v>0.37787182519251433</v>
      </c>
    </row>
    <row r="27" spans="2:6" ht="14.1" customHeight="1">
      <c r="B27" s="338" t="str">
        <f>IF(Indice_index!$Z$1=1,"Fundo Social Municipal","Municipal Social Fund")</f>
        <v>Fundo Social Municipal</v>
      </c>
      <c r="C27" s="4">
        <v>190.82449799999998</v>
      </c>
      <c r="D27" s="4">
        <v>215.09557200000003</v>
      </c>
      <c r="E27" s="4">
        <f t="shared" si="1"/>
        <v>12.719055600502646</v>
      </c>
      <c r="F27" s="4">
        <f>IFERROR((D27-C27)/C46*100,"-")</f>
        <v>0.26516100113362495</v>
      </c>
    </row>
    <row r="28" spans="2:6" ht="14.1" customHeight="1">
      <c r="B28" s="338" t="str">
        <f>IF(Indice_index!$Z$1=1,"Participação IRS","Personal income tax (IRS) participation")</f>
        <v>Participação IRS</v>
      </c>
      <c r="C28" s="4">
        <v>411.63336900000002</v>
      </c>
      <c r="D28" s="4">
        <v>409.71051899999998</v>
      </c>
      <c r="E28" s="4">
        <f t="shared" si="1"/>
        <v>-0.46712685239083213</v>
      </c>
      <c r="F28" s="4">
        <f>IFERROR((D28-C28)/C46*100,"-")</f>
        <v>-2.1007098038999018E-2</v>
      </c>
    </row>
    <row r="29" spans="2:6" ht="14.1" customHeight="1">
      <c r="B29" s="338" t="str">
        <f>IF(Indice_index!$Z$1=1,"Participação no IVA","Value-added tax (IVA) participation")</f>
        <v>Participação no IVA</v>
      </c>
      <c r="C29" s="4">
        <v>79.700417999999999</v>
      </c>
      <c r="D29" s="4">
        <v>63.979047000000001</v>
      </c>
      <c r="E29" s="4">
        <f t="shared" si="1"/>
        <v>-19.725581614891905</v>
      </c>
      <c r="F29" s="4">
        <f>IFERROR((D29-C29)/C46*100,"-")</f>
        <v>-0.17175566575888351</v>
      </c>
    </row>
    <row r="30" spans="2:6" ht="14.1" customHeight="1">
      <c r="B30" s="307" t="str">
        <f>IF(Indice_index!$Z$1=1,"Outros subsetores das Administrações Públicas","Other General Government subsectors")</f>
        <v>Outros subsetores das Administrações Públicas</v>
      </c>
      <c r="C30" s="4">
        <v>29.805265560000038</v>
      </c>
      <c r="D30" s="4">
        <v>23.654768460000042</v>
      </c>
      <c r="E30" s="4">
        <f t="shared" si="1"/>
        <v>-20.635605771130017</v>
      </c>
      <c r="F30" s="4">
        <f>IFERROR((D30-C30)/C46*100,"-")</f>
        <v>-6.7194058594417863E-2</v>
      </c>
    </row>
    <row r="31" spans="2:6" ht="14.1" customHeight="1">
      <c r="B31" s="307" t="str">
        <f>IF(Indice_index!$Z$1=1,"União Europeia","European Union")</f>
        <v>União Europeia</v>
      </c>
      <c r="C31" s="4">
        <v>52.008775861968012</v>
      </c>
      <c r="D31" s="4">
        <v>46.086473763367088</v>
      </c>
      <c r="E31" s="4">
        <f t="shared" si="1"/>
        <v>-11.387120731929535</v>
      </c>
      <c r="F31" s="4">
        <f>IFERROR((D31-C31)/C46*100,"-")</f>
        <v>-6.4701032738839037E-2</v>
      </c>
    </row>
    <row r="32" spans="2:6" ht="14.1" customHeight="1">
      <c r="B32" s="307" t="str">
        <f>IF(Indice_index!$Z$1=1,"Outras transferências","Other transfers")</f>
        <v>Outras transferências</v>
      </c>
      <c r="C32" s="4">
        <v>13.921933009999997</v>
      </c>
      <c r="D32" s="4">
        <v>14.419472454019603</v>
      </c>
      <c r="E32" s="4">
        <f t="shared" si="1"/>
        <v>3.5737813395756794</v>
      </c>
      <c r="F32" s="4">
        <f>IFERROR((D32-C32)/C46*100,"-")</f>
        <v>5.4356085387777123E-3</v>
      </c>
    </row>
    <row r="33" spans="2:6" ht="14.1" customHeight="1">
      <c r="B33" s="125" t="str">
        <f>IF(Indice_index!$Z$1=1,"Outras receitas correntes","Other current revenue")</f>
        <v>Outras receitas correntes</v>
      </c>
      <c r="C33" s="4">
        <v>1097.5640247554397</v>
      </c>
      <c r="D33" s="4">
        <v>1194.4215830411258</v>
      </c>
      <c r="E33" s="4">
        <f t="shared" si="1"/>
        <v>8.824775238717212</v>
      </c>
      <c r="F33" s="4">
        <f>IFERROR((D33-C33)/C46*100,"-")</f>
        <v>1.0581668995113644</v>
      </c>
    </row>
    <row r="34" spans="2:6" ht="14.1" customHeight="1">
      <c r="B34" s="174" t="str">
        <f>IF(Indice_index!$Z$1=1,"Receita de capital","Capital revenue")</f>
        <v>Receita de capital</v>
      </c>
      <c r="C34" s="134">
        <f>+C35+C36+C45</f>
        <v>1104.9315888248341</v>
      </c>
      <c r="D34" s="134">
        <f>+D35+D36+D45</f>
        <v>1767.4440894229037</v>
      </c>
      <c r="E34" s="134">
        <f t="shared" si="1"/>
        <v>59.95959453948587</v>
      </c>
      <c r="F34" s="134">
        <f>IFERROR((D34-C34)/C46*100,"-")</f>
        <v>7.237935903542013</v>
      </c>
    </row>
    <row r="35" spans="2:6" ht="14.1" customHeight="1">
      <c r="B35" s="125" t="str">
        <f>IF(Indice_index!$Z$1=1,"Venda de bens de investimento","Sale of investment goods")</f>
        <v>Venda de bens de investimento</v>
      </c>
      <c r="C35" s="4">
        <v>68.855484506646633</v>
      </c>
      <c r="D35" s="4">
        <v>67.001933448544079</v>
      </c>
      <c r="E35" s="4">
        <f t="shared" si="1"/>
        <v>-2.6919439626100226</v>
      </c>
      <c r="F35" s="4">
        <f>IFERROR((D35-C35)/C46*100,"-")</f>
        <v>-2.0250008475882104E-2</v>
      </c>
    </row>
    <row r="36" spans="2:6" ht="14.1" customHeight="1">
      <c r="B36" s="125" t="str">
        <f>IF(Indice_index!$Z$1=1,"Transferências de capital","Capital transfers")</f>
        <v>Transferências de capital</v>
      </c>
      <c r="C36" s="4">
        <f>+C37+C42+C43+C44</f>
        <v>1021.9313286881875</v>
      </c>
      <c r="D36" s="4">
        <f>+D37+D42+D43+D44</f>
        <v>1691.4486396046461</v>
      </c>
      <c r="E36" s="4">
        <f t="shared" si="1"/>
        <v>65.51490223671793</v>
      </c>
      <c r="F36" s="4">
        <f>IFERROR((D36-C36)/C46*100,"-")</f>
        <v>7.3144633170703619</v>
      </c>
    </row>
    <row r="37" spans="2:6" ht="14.1" customHeight="1">
      <c r="B37" s="172" t="str">
        <f>IF(Indice_index!$Z$1=1,"Administração Central","Central Administration")</f>
        <v>Administração Central</v>
      </c>
      <c r="C37" s="4">
        <v>615.56654466999998</v>
      </c>
      <c r="D37" s="4">
        <v>1020.8504502099997</v>
      </c>
      <c r="E37" s="4">
        <f t="shared" si="1"/>
        <v>65.839170281300625</v>
      </c>
      <c r="F37" s="4">
        <f>IFERROR((D37-C37)/C46*100,"-")</f>
        <v>4.4277186141961238</v>
      </c>
    </row>
    <row r="38" spans="2:6" ht="14.1" customHeight="1">
      <c r="B38" s="326" t="str">
        <f>IF(Indice_index!$Z$1=1,"das quais:","of which:")</f>
        <v>das quais:</v>
      </c>
      <c r="C38" s="4"/>
      <c r="D38" s="4"/>
      <c r="E38" s="4"/>
      <c r="F38" s="4"/>
    </row>
    <row r="39" spans="2:6" ht="14.1" customHeight="1">
      <c r="B39" s="325" t="str">
        <f>IF(Indice_index!$Z$1=1,"Transferências do Orçamento do Estado","State Budget transfers")</f>
        <v>Transferências do Orçamento do Estado</v>
      </c>
      <c r="C39" s="4">
        <v>401.99383781999995</v>
      </c>
      <c r="D39" s="4">
        <v>527.34387599999991</v>
      </c>
      <c r="E39" s="4">
        <f t="shared" ref="E39:E65" si="2">IFERROR(IF(ABS((D39-C39)/C39)*100&gt;500,"-",((D39-C39)/C39)*100),0)</f>
        <v>31.182079521360155</v>
      </c>
      <c r="F39" s="4">
        <f>IFERROR((D39-C39)/C46*100,"-")</f>
        <v>1.369446676152313</v>
      </c>
    </row>
    <row r="40" spans="2:6" ht="14.1" customHeight="1">
      <c r="B40" s="338" t="str">
        <f>IF(Indice_index!$Z$1=1,"Fundo de Equilíbrio Financeiro","Financial Balance Fund")</f>
        <v>Fundo de Equilíbrio Financeiro</v>
      </c>
      <c r="C40" s="4">
        <v>160.49789981999999</v>
      </c>
      <c r="D40" s="4">
        <v>164.55345299999999</v>
      </c>
      <c r="E40" s="4">
        <f t="shared" si="2"/>
        <v>2.5268574757354134</v>
      </c>
      <c r="F40" s="4">
        <f>IFERROR((D40-C40)/C46*100,"-")</f>
        <v>4.4306837899281047E-2</v>
      </c>
    </row>
    <row r="41" spans="2:6" ht="14.1" customHeight="1">
      <c r="B41" s="338" t="str">
        <f>IF(Indice_index!$Z$1=1,"Excedente (n.º 3 do artigo 35.º da Lei n.º 73/2013)","Surplus (Number 3 of article 35th of law number 73/2013)")</f>
        <v>Excedente (n.º 3 do artigo 35.º da Lei n.º 73/2013)</v>
      </c>
      <c r="C41" s="4">
        <v>241.495938</v>
      </c>
      <c r="D41" s="4">
        <v>362.79042299999998</v>
      </c>
      <c r="E41" s="4">
        <f t="shared" si="2"/>
        <v>50.226304427530366</v>
      </c>
      <c r="F41" s="4">
        <f>IFERROR((D41-C41)/C46*100,"-")</f>
        <v>1.3251398382530322</v>
      </c>
    </row>
    <row r="42" spans="2:6" ht="14.1" customHeight="1">
      <c r="B42" s="172" t="str">
        <f>IF(Indice_index!$Z$1=1,"Outros subsetores das Administrações Públicas","Other General Government subsectors")</f>
        <v>Outros subsetores das Administrações Públicas</v>
      </c>
      <c r="C42" s="4">
        <v>6.3306328199999768</v>
      </c>
      <c r="D42" s="4">
        <v>11.422523489999975</v>
      </c>
      <c r="E42" s="4">
        <f t="shared" si="2"/>
        <v>80.432569930663206</v>
      </c>
      <c r="F42" s="4">
        <f>IFERROR((D42-C42)/C46*100,"-")</f>
        <v>5.5628804383364358E-2</v>
      </c>
    </row>
    <row r="43" spans="2:6" ht="14.1" customHeight="1">
      <c r="B43" s="172" t="str">
        <f>IF(Indice_index!$Z$1=1,"União Europeia","European Union")</f>
        <v>União Europeia</v>
      </c>
      <c r="C43" s="4">
        <v>390.35689186818752</v>
      </c>
      <c r="D43" s="4">
        <v>651.22050941915165</v>
      </c>
      <c r="E43" s="4">
        <f t="shared" si="2"/>
        <v>66.826953227983594</v>
      </c>
      <c r="F43" s="4">
        <f>IFERROR((D43-C43)/C46*100,"-")</f>
        <v>2.8499298378453526</v>
      </c>
    </row>
    <row r="44" spans="2:6" ht="14.1" customHeight="1">
      <c r="B44" s="172" t="str">
        <f>IF(Indice_index!$Z$1=1,"Outras transferências","Other transfers")</f>
        <v>Outras transferências</v>
      </c>
      <c r="C44" s="4">
        <v>9.67725933</v>
      </c>
      <c r="D44" s="4">
        <v>7.9551564854948076</v>
      </c>
      <c r="E44" s="4">
        <f t="shared" si="2"/>
        <v>-17.795356988797288</v>
      </c>
      <c r="F44" s="4">
        <f>IFERROR((D44-C44)/C46*100,"-")</f>
        <v>-1.8813939354478462E-2</v>
      </c>
    </row>
    <row r="45" spans="2:6" ht="14.1" customHeight="1">
      <c r="B45" s="125" t="str">
        <f>IF(Indice_index!$Z$1=1,"Outras receitas de capital","Other capital revenue")</f>
        <v>Outras receitas de capital</v>
      </c>
      <c r="C45" s="4">
        <v>14.144775629999991</v>
      </c>
      <c r="D45" s="4">
        <v>8.9935163697135128</v>
      </c>
      <c r="E45" s="4">
        <f t="shared" si="2"/>
        <v>-36.418105136719525</v>
      </c>
      <c r="F45" s="4">
        <f>IFERROR((D45-C45)/C46*100,"-")</f>
        <v>-5.627740505246763E-2</v>
      </c>
    </row>
    <row r="46" spans="2:6" ht="14.1" customHeight="1">
      <c r="B46" s="30" t="str">
        <f>IF(Indice_index!$Z$1=1,"Receita efetiva","Effective revenue")</f>
        <v>Receita efetiva</v>
      </c>
      <c r="C46" s="18">
        <f>+C12+C34</f>
        <v>9153.3347272923129</v>
      </c>
      <c r="D46" s="18">
        <f>+D12+D34</f>
        <v>10767.5270413945</v>
      </c>
      <c r="E46" s="18">
        <f t="shared" si="2"/>
        <v>17.635018954230773</v>
      </c>
      <c r="F46" s="18">
        <f>IFERROR((D46-C46)/C46*100,"-")</f>
        <v>17.635018954230773</v>
      </c>
    </row>
    <row r="47" spans="2:6" ht="14.1" customHeight="1">
      <c r="B47" s="174" t="str">
        <f>IF(Indice_index!$Z$1=1,"Despesa corrente","Current expenditure")</f>
        <v>Despesa corrente</v>
      </c>
      <c r="C47" s="134">
        <f>+C48+C52+C53+C54+C57+C58</f>
        <v>6380.8146035058253</v>
      </c>
      <c r="D47" s="134">
        <f>+D48+D52+D53+D54+D57+D58</f>
        <v>6951.6327374186831</v>
      </c>
      <c r="E47" s="134">
        <f t="shared" si="2"/>
        <v>8.9458504812102184</v>
      </c>
      <c r="F47" s="134">
        <f>IFERROR((D47-C47)/C65*100,"-")</f>
        <v>6.9480353735358475</v>
      </c>
    </row>
    <row r="48" spans="2:6" ht="14.1" customHeight="1">
      <c r="B48" s="125" t="str">
        <f>IF(Indice_index!$Z$1=1,"Despesas com o pessoal","Employees")</f>
        <v>Despesas com o pessoal</v>
      </c>
      <c r="C48" s="4">
        <f>+C49+C50+C51</f>
        <v>2855.0732260470963</v>
      </c>
      <c r="D48" s="4">
        <f>+D49+D50+D51</f>
        <v>3093.2700930258029</v>
      </c>
      <c r="E48" s="4">
        <f t="shared" si="2"/>
        <v>8.3429337225264337</v>
      </c>
      <c r="F48" s="4">
        <f>IFERROR((D48-C48)/C65*100,"-")</f>
        <v>2.8993477244472432</v>
      </c>
    </row>
    <row r="49" spans="2:6" ht="14.1" customHeight="1">
      <c r="B49" s="172" t="str">
        <f>IF(Indice_index!$Z$1=1,"Remunerações certas e permanentes","Certain and permanent wages")</f>
        <v>Remunerações certas e permanentes</v>
      </c>
      <c r="C49" s="4">
        <v>2175.4515698447467</v>
      </c>
      <c r="D49" s="4">
        <v>2364.1045080184458</v>
      </c>
      <c r="E49" s="4">
        <f t="shared" si="2"/>
        <v>8.6718978619764222</v>
      </c>
      <c r="F49" s="4">
        <f>IFERROR((D49-C49)/C65*100,"-")</f>
        <v>2.2962958075057176</v>
      </c>
    </row>
    <row r="50" spans="2:6" ht="14.1" customHeight="1">
      <c r="B50" s="172" t="str">
        <f>IF(Indice_index!$Z$1=1,"Abonos variáveis ou eventuais","Variable or contingent bonuses")</f>
        <v>Abonos variáveis ou eventuais</v>
      </c>
      <c r="C50" s="4">
        <v>137.81868123899122</v>
      </c>
      <c r="D50" s="4">
        <v>155.01712284447584</v>
      </c>
      <c r="E50" s="4">
        <f t="shared" si="2"/>
        <v>12.479035099502092</v>
      </c>
      <c r="F50" s="4">
        <f>IFERROR((D50-C50)/C65*100,"-")</f>
        <v>0.20934054744455644</v>
      </c>
    </row>
    <row r="51" spans="2:6" ht="14.1" customHeight="1">
      <c r="B51" s="172" t="str">
        <f>IF(Indice_index!$Z$1=1,"Segurança Social","Social security")</f>
        <v>Segurança Social</v>
      </c>
      <c r="C51" s="4">
        <v>541.80297496335822</v>
      </c>
      <c r="D51" s="4">
        <v>574.14846216288106</v>
      </c>
      <c r="E51" s="4">
        <f t="shared" si="2"/>
        <v>5.9699722397630506</v>
      </c>
      <c r="F51" s="4">
        <f>IFERROR((D51-C51)/C65*100,"-")</f>
        <v>0.39371136949696917</v>
      </c>
    </row>
    <row r="52" spans="2:6" ht="14.1" customHeight="1">
      <c r="B52" s="125" t="str">
        <f>IF(Indice_index!$Z$1=1,"Aquisição de bens e serviços","Purchase of goods and services")</f>
        <v>Aquisição de bens e serviços</v>
      </c>
      <c r="C52" s="4">
        <v>2328.1503818536548</v>
      </c>
      <c r="D52" s="4">
        <v>2571.8080150161782</v>
      </c>
      <c r="E52" s="4">
        <f t="shared" si="2"/>
        <v>10.46571712298606</v>
      </c>
      <c r="F52" s="4">
        <f>IFERROR((D52-C52)/C65*100,"-")</f>
        <v>2.9658165248542736</v>
      </c>
    </row>
    <row r="53" spans="2:6" ht="14.1" customHeight="1">
      <c r="B53" s="125" t="str">
        <f>IF(Indice_index!$Z$1=1,"Juros e outros encargos","Interests and other charges")</f>
        <v>Juros e outros encargos</v>
      </c>
      <c r="C53" s="4">
        <v>78.271284150000056</v>
      </c>
      <c r="D53" s="4">
        <v>68.030309952597932</v>
      </c>
      <c r="E53" s="4">
        <f t="shared" si="2"/>
        <v>-13.083948102571302</v>
      </c>
      <c r="F53" s="4">
        <f>IFERROR((D53-C53)/C65*100,"-")</f>
        <v>-0.12465380259604796</v>
      </c>
    </row>
    <row r="54" spans="2:6" ht="14.1" customHeight="1">
      <c r="B54" s="125" t="str">
        <f>IF(Indice_index!$Z$1=1,"Transferências correntes","Current transfers")</f>
        <v>Transferências correntes</v>
      </c>
      <c r="C54" s="4">
        <f>+C55+C56</f>
        <v>831.93255226372889</v>
      </c>
      <c r="D54" s="4">
        <f>+D55+D56</f>
        <v>867.14517394953532</v>
      </c>
      <c r="E54" s="4">
        <f t="shared" si="2"/>
        <v>4.2326293868404568</v>
      </c>
      <c r="F54" s="4">
        <f>IFERROR((D54-C54)/C65*100,"-")</f>
        <v>0.4286103165483327</v>
      </c>
    </row>
    <row r="55" spans="2:6" ht="14.1" customHeight="1">
      <c r="B55" s="172" t="str">
        <f>IF(Indice_index!$Z$1=1,"Subsetores das Administrações Públicas","General Government subsectors")</f>
        <v>Subsetores das Administrações Públicas</v>
      </c>
      <c r="C55" s="4">
        <v>323.88234780749991</v>
      </c>
      <c r="D55" s="4">
        <v>306.7127154074999</v>
      </c>
      <c r="E55" s="4">
        <f t="shared" si="2"/>
        <v>-5.3011942503902114</v>
      </c>
      <c r="F55" s="4">
        <f>IFERROR((D55-C55)/C65*100,"-")</f>
        <v>-0.20898987992560714</v>
      </c>
    </row>
    <row r="56" spans="2:6" ht="14.1" customHeight="1">
      <c r="B56" s="172" t="str">
        <f>IF(Indice_index!$Z$1=1,"Outras transferências","Other transfers")</f>
        <v>Outras transferências</v>
      </c>
      <c r="C56" s="4">
        <v>508.05020445622898</v>
      </c>
      <c r="D56" s="4">
        <v>560.43245854203542</v>
      </c>
      <c r="E56" s="4">
        <f t="shared" si="2"/>
        <v>10.310448382138073</v>
      </c>
      <c r="F56" s="4">
        <f>IFERROR((D56-C56)/C65*100,"-")</f>
        <v>0.63760019647393973</v>
      </c>
    </row>
    <row r="57" spans="2:6" ht="14.1" customHeight="1">
      <c r="B57" s="125" t="str">
        <f>IF(Indice_index!$Z$1=1,"Subsídios","Subsidies")</f>
        <v>Subsídios</v>
      </c>
      <c r="C57" s="4">
        <v>161.85280049815694</v>
      </c>
      <c r="D57" s="4">
        <v>224.70642838454259</v>
      </c>
      <c r="E57" s="4">
        <f t="shared" si="2"/>
        <v>38.833821653337033</v>
      </c>
      <c r="F57" s="4">
        <f>IFERROR((D57-C57)/C65*100,"-")</f>
        <v>0.76505843799337947</v>
      </c>
    </row>
    <row r="58" spans="2:6" ht="14.1" customHeight="1">
      <c r="B58" s="125" t="str">
        <f>IF(Indice_index!$Z$1=1,"Outras despesas correntes","Other current expenditure")</f>
        <v>Outras despesas correntes</v>
      </c>
      <c r="C58" s="4">
        <v>125.53435869318889</v>
      </c>
      <c r="D58" s="4">
        <v>126.67271709002574</v>
      </c>
      <c r="E58" s="4">
        <f t="shared" si="2"/>
        <v>0.90681022206760487</v>
      </c>
      <c r="F58" s="4">
        <f>IFERROR((D58-C58)/C65*100,"-")</f>
        <v>1.3856172288653058E-2</v>
      </c>
    </row>
    <row r="59" spans="2:6" ht="14.1" customHeight="1">
      <c r="B59" s="174" t="str">
        <f>IF(Indice_index!$Z$1=1,"Despesa de capital","Capital expenditure")</f>
        <v>Despesa de capital</v>
      </c>
      <c r="C59" s="134">
        <f>+C60+C61+C64</f>
        <v>1834.7183237879669</v>
      </c>
      <c r="D59" s="134">
        <f>+D60+D61+D64</f>
        <v>2413.8712090575341</v>
      </c>
      <c r="E59" s="134">
        <f t="shared" si="2"/>
        <v>31.566310629843482</v>
      </c>
      <c r="F59" s="134">
        <f>IFERROR((D59-C59)/C65*100,"-")</f>
        <v>7.0494865079962734</v>
      </c>
    </row>
    <row r="60" spans="2:6" ht="14.1" customHeight="1">
      <c r="B60" s="125" t="str">
        <f>IF(Indice_index!$Z$1=1,"Aquisição de bens de capital","Purchase of capital goods")</f>
        <v>Aquisição de bens de capital</v>
      </c>
      <c r="C60" s="4">
        <v>1586.354933635547</v>
      </c>
      <c r="D60" s="4">
        <v>2139.9019665304586</v>
      </c>
      <c r="E60" s="4">
        <f t="shared" si="2"/>
        <v>34.894273731434986</v>
      </c>
      <c r="F60" s="4">
        <f>IFERROR((D60-C60)/C65*100,"-")</f>
        <v>6.737810411007028</v>
      </c>
    </row>
    <row r="61" spans="2:6" ht="14.1" customHeight="1">
      <c r="B61" s="125" t="str">
        <f>IF(Indice_index!$Z$1=1,"Transferências de capital","Capital transfers")</f>
        <v>Transferências de capital</v>
      </c>
      <c r="C61" s="4">
        <f>+C62+C63</f>
        <v>228.68239743241998</v>
      </c>
      <c r="D61" s="4">
        <f>+D62+D63</f>
        <v>259.99469413188302</v>
      </c>
      <c r="E61" s="4">
        <f t="shared" si="2"/>
        <v>13.692482259687885</v>
      </c>
      <c r="F61" s="4">
        <f>IFERROR((D61-C61)/C65*100,"-")</f>
        <v>0.38113530767355053</v>
      </c>
    </row>
    <row r="62" spans="2:6" ht="14.1" customHeight="1">
      <c r="B62" s="172" t="str">
        <f>IF(Indice_index!$Z$1=1,"Subsetores das Administrações Públicas","General Government subsectors")</f>
        <v>Subsetores das Administrações Públicas</v>
      </c>
      <c r="C62" s="4">
        <v>135.98959885000014</v>
      </c>
      <c r="D62" s="4">
        <v>135.86376635000013</v>
      </c>
      <c r="E62" s="4">
        <f t="shared" si="2"/>
        <v>-9.2530973739247291E-2</v>
      </c>
      <c r="F62" s="4">
        <f>IFERROR((D62-C62)/C65*100,"-")</f>
        <v>-1.531641356849272E-3</v>
      </c>
    </row>
    <row r="63" spans="2:6" ht="14.1" customHeight="1">
      <c r="B63" s="172" t="str">
        <f>IF(Indice_index!$Z$1=1,"Outras transferências","Other transfers")</f>
        <v>Outras transferências</v>
      </c>
      <c r="C63" s="4">
        <v>92.69279858241984</v>
      </c>
      <c r="D63" s="4">
        <v>124.1309277818829</v>
      </c>
      <c r="E63" s="4">
        <f t="shared" si="2"/>
        <v>33.916474289541661</v>
      </c>
      <c r="F63" s="4">
        <f>IFERROR((D63-C63)/C65*100,"-")</f>
        <v>0.38266694903039994</v>
      </c>
    </row>
    <row r="64" spans="2:6" ht="14.1" customHeight="1">
      <c r="B64" s="125" t="str">
        <f>IF(Indice_index!$Z$1=1,"Outras despesas de capital","Other capital expenditure")</f>
        <v>Outras despesas de capital</v>
      </c>
      <c r="C64" s="4">
        <v>19.680992720000003</v>
      </c>
      <c r="D64" s="4">
        <v>13.974548395192206</v>
      </c>
      <c r="E64" s="4">
        <f t="shared" si="2"/>
        <v>-28.994697604907177</v>
      </c>
      <c r="F64" s="4">
        <f>IFERROR((D64-C64)/C65*100,"-")</f>
        <v>-6.9459210684309269E-2</v>
      </c>
    </row>
    <row r="65" spans="2:6" ht="14.1" customHeight="1">
      <c r="B65" s="30" t="str">
        <f>IF(Indice_index!$Z$1=1,"Despesa efetiva","Effective expenditure")</f>
        <v>Despesa efetiva</v>
      </c>
      <c r="C65" s="18">
        <f>+C47+C59</f>
        <v>8215.5329272937925</v>
      </c>
      <c r="D65" s="18">
        <f>+D47+D59</f>
        <v>9365.5039464762176</v>
      </c>
      <c r="E65" s="18">
        <f t="shared" si="2"/>
        <v>13.997521881532125</v>
      </c>
      <c r="F65" s="18">
        <f>IFERROR((D65-C65)/C65*100,"-")</f>
        <v>13.997521881532125</v>
      </c>
    </row>
    <row r="66" spans="2:6" ht="14.1" customHeight="1">
      <c r="B66" s="30" t="str">
        <f>IF(Indice_index!$Z$1=1,"Saldo global","Overall balance")</f>
        <v>Saldo global</v>
      </c>
      <c r="C66" s="18">
        <f>+C46-C65</f>
        <v>937.80179999852044</v>
      </c>
      <c r="D66" s="18">
        <f>+D46-D65</f>
        <v>1402.0230949182824</v>
      </c>
      <c r="E66" s="18"/>
      <c r="F66" s="18"/>
    </row>
    <row r="67" spans="2:6" ht="14.1" customHeight="1">
      <c r="B67" s="125" t="str">
        <f>IF(Indice_index!$Z$1=1,"Despesa  primária","Primary Expenditure")</f>
        <v>Despesa  primária</v>
      </c>
      <c r="C67" s="4">
        <f>+C65-C53</f>
        <v>8137.2616431437928</v>
      </c>
      <c r="D67" s="4">
        <f>+D65-D53</f>
        <v>9297.4736365236204</v>
      </c>
      <c r="E67" s="4">
        <f>IFERROR(IF(ABS((D67-C67)/C67)*100&gt;500,"-",((D67-C67)/C67)*100),0)</f>
        <v>14.258015094763318</v>
      </c>
      <c r="F67" s="4">
        <f>IFERROR((D67-C67)/C65*100,"-")</f>
        <v>14.122175684128175</v>
      </c>
    </row>
    <row r="68" spans="2:6" ht="14.1" customHeight="1">
      <c r="B68" s="125" t="str">
        <f>IF(Indice_index!$Z$1=1,"Saldo primário","Primary balance")</f>
        <v>Saldo primário</v>
      </c>
      <c r="C68" s="4">
        <f>+C46-C67</f>
        <v>1016.0730841485201</v>
      </c>
      <c r="D68" s="4">
        <f>+D46-D67</f>
        <v>1470.0534048708796</v>
      </c>
      <c r="E68" s="4"/>
      <c r="F68" s="4"/>
    </row>
    <row r="69" spans="2:6" ht="14.1" customHeight="1">
      <c r="B69" s="125" t="str">
        <f>IF(Indice_index!$Z$1=1,"Saldo corrente","Current balance")</f>
        <v>Saldo corrente</v>
      </c>
      <c r="C69" s="4">
        <f>+C12-C47</f>
        <v>1667.5885349616528</v>
      </c>
      <c r="D69" s="4">
        <f>+D12-D47</f>
        <v>2048.4502145529141</v>
      </c>
      <c r="E69" s="4"/>
      <c r="F69" s="4"/>
    </row>
    <row r="70" spans="2:6" ht="14.1" customHeight="1">
      <c r="B70" s="125" t="str">
        <f>IF(Indice_index!$Z$1=1,"Saldo de capital","Capital balance")</f>
        <v>Saldo de capital</v>
      </c>
      <c r="C70" s="4">
        <f>+C34-C59</f>
        <v>-729.78673496313286</v>
      </c>
      <c r="D70" s="4">
        <f>+D34-D59</f>
        <v>-646.42711963463034</v>
      </c>
      <c r="E70" s="4"/>
      <c r="F70" s="4"/>
    </row>
    <row r="71" spans="2:6" ht="14.1" customHeight="1">
      <c r="B71" s="125" t="str">
        <f>IF(Indice_index!$Z$1=1,"Ativos financeiros líquidos de reembolsos","Financial assets net of reimbursements")</f>
        <v>Ativos financeiros líquidos de reembolsos</v>
      </c>
      <c r="C71" s="4">
        <v>-38.842523980000024</v>
      </c>
      <c r="D71" s="4">
        <v>19.584900330000011</v>
      </c>
      <c r="E71" s="4"/>
      <c r="F71" s="4"/>
    </row>
    <row r="72" spans="2:6" ht="14.1" customHeight="1">
      <c r="B72" s="287" t="str">
        <f>IF(Indice_index!$Z$1=1,"dos quais Receitas de:","of which Revenues of")</f>
        <v>dos quais Receitas de:</v>
      </c>
      <c r="C72" s="4"/>
      <c r="D72" s="4"/>
      <c r="E72" s="4"/>
      <c r="F72" s="4"/>
    </row>
    <row r="73" spans="2:6" ht="14.1" customHeight="1">
      <c r="B73" s="307" t="str">
        <f>IF(Indice_index!$Z$1=1,"Alienação de partes de capital","Divestment of company shares")</f>
        <v>Alienação de partes de capital</v>
      </c>
      <c r="C73" s="312">
        <v>0</v>
      </c>
      <c r="D73" s="312">
        <v>0</v>
      </c>
      <c r="E73" s="4"/>
      <c r="F73" s="4"/>
    </row>
    <row r="74" spans="2:6" ht="14.1" customHeight="1">
      <c r="B74" s="307" t="str">
        <f>IF(Indice_index!$Z$1=1,"Outros ativos","Other Financial assets")</f>
        <v>Outros ativos</v>
      </c>
      <c r="C74" s="4">
        <v>152.68041461000001</v>
      </c>
      <c r="D74" s="4">
        <v>154.89186945</v>
      </c>
      <c r="E74" s="4"/>
      <c r="F74" s="4"/>
    </row>
    <row r="75" spans="2:6" ht="14.1" customHeight="1">
      <c r="B75" s="125" t="str">
        <f>IF(Indice_index!$Z$1=1,"Passivos financeiros líquidos de amortizações","Financial liabilities net of amortizations")</f>
        <v>Passivos financeiros líquidos de amortizações</v>
      </c>
      <c r="C75" s="4">
        <v>-6.1460955699999715</v>
      </c>
      <c r="D75" s="4">
        <v>79.381390900000127</v>
      </c>
      <c r="E75" s="4"/>
      <c r="F75" s="4"/>
    </row>
    <row r="76" spans="2:6" ht="14.1" customHeight="1">
      <c r="B76" s="125" t="str">
        <f>IF(Indice_index!$Z$1=1,"Poupança (+) / Utilização (-) de saldo da gerência anterior","Saving (+) / Usage (-) of balance from previous management")</f>
        <v>Poupança (+) / Utilização (-) de saldo da gerência anterior</v>
      </c>
      <c r="C76" s="4">
        <f>+C66-C71+C75</f>
        <v>970.4982284085205</v>
      </c>
      <c r="D76" s="4">
        <f>+D66-D71+D75</f>
        <v>1461.8195854882824</v>
      </c>
      <c r="E76" s="4"/>
      <c r="F76" s="4"/>
    </row>
    <row r="77" spans="2:6" ht="14.1" customHeight="1">
      <c r="B77" s="173" t="str">
        <f>IF(Indice_index!$Z$1=1,"Taxa de comparticip. financiam. europeu","European financing rate")</f>
        <v>Taxa de comparticip. financiam. europeu</v>
      </c>
      <c r="C77" s="339">
        <f>+C43/C60</f>
        <v>0.24607159696196276</v>
      </c>
      <c r="D77" s="339">
        <f>+D43/D60</f>
        <v>0.30432259028903624</v>
      </c>
      <c r="E77" s="19"/>
      <c r="F77" s="19"/>
    </row>
    <row r="78" spans="2:6" ht="15">
      <c r="B78" s="9" t="str">
        <f>IF(Indice_index!$Z$1=1,"Notas:","Notes:")</f>
        <v>Notas:</v>
      </c>
      <c r="C78" s="168"/>
      <c r="D78" s="9"/>
      <c r="E78" s="9"/>
      <c r="F78" s="9"/>
    </row>
    <row r="79" spans="2:6" ht="24.75" customHeight="1">
      <c r="B79" s="428"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29"/>
      <c r="D79" s="429"/>
      <c r="E79" s="429"/>
      <c r="F79" s="429"/>
    </row>
    <row r="80" spans="2:6" ht="24.75" customHeight="1">
      <c r="B80" s="428"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28"/>
      <c r="D80" s="428"/>
      <c r="E80" s="428"/>
      <c r="F80" s="428"/>
    </row>
    <row r="81" spans="2:7" ht="15" hidden="1">
      <c r="B81" s="427"/>
      <c r="C81" s="427"/>
      <c r="D81" s="427"/>
      <c r="E81" s="427"/>
      <c r="F81" s="427"/>
      <c r="G81" s="83"/>
    </row>
    <row r="82" spans="2:7" ht="15">
      <c r="B82" s="255">
        <v>2024</v>
      </c>
      <c r="C82" s="255"/>
      <c r="D82" s="255"/>
      <c r="E82" s="255"/>
      <c r="F82" s="255"/>
      <c r="G82" s="83"/>
    </row>
    <row r="83" spans="2:7" ht="15">
      <c r="B83" s="421"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21"/>
      <c r="D83" s="421"/>
      <c r="E83" s="421"/>
      <c r="F83" s="421"/>
      <c r="G83" s="83"/>
    </row>
    <row r="84" spans="2:7" ht="15">
      <c r="B84" s="422">
        <v>2025</v>
      </c>
      <c r="C84" s="422"/>
      <c r="D84" s="422"/>
      <c r="E84" s="268"/>
      <c r="F84" s="268"/>
      <c r="G84" s="83"/>
    </row>
    <row r="85" spans="2:7" ht="15">
      <c r="B85" s="421" t="str">
        <f>IF(Indice_index!$Z$1=1,"Dados reportados de 2025: receita 283 municípios; despesa 283 municípios. Em falta: receita 25; despesa 25.","Entities in default (revenue 25 municipalities, expenditure 25 municipalities) in the reporting of budget execution, in the month under review:")</f>
        <v>Dados reportados de 2025: receita 283 municípios; despesa 283 municípios. Em falta: receita 25; despesa 25.</v>
      </c>
      <c r="C85" s="421"/>
      <c r="D85" s="421"/>
      <c r="E85" s="421"/>
      <c r="F85" s="421"/>
      <c r="G85" s="83"/>
    </row>
    <row r="86" spans="2:7" ht="24.75" customHeight="1">
      <c r="B86" s="423"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24"/>
      <c r="D86" s="424"/>
      <c r="E86" s="424"/>
      <c r="F86" s="424"/>
      <c r="G86" s="83"/>
    </row>
    <row r="87" spans="2:7" ht="24.75" customHeight="1">
      <c r="B87" s="423" t="str">
        <f>IF(Indice_index!$Z$1=1,"Fonte: Entidade Orçamental, com base nos dados da execução orçamental dos municípios reportada pela Direção-Geral das Autarquias Locais através do SIIAL/SISAL e reporte alternativo provisório.","Source: Budgetary Entity, based on the data of budget execution of municipalities reported by DGAL (General Directorate of Municioalities) through the SIIAL/SISAL and provisional alternative report.")</f>
        <v>Fonte: Entidade Orçamental, com base nos dados da execução orçamental dos municípios reportada pela Direção-Geral das Autarquias Locais através do SIIAL/SISAL e reporte alternativo provisório.</v>
      </c>
      <c r="C87" s="424"/>
      <c r="D87" s="424"/>
      <c r="E87" s="424"/>
      <c r="F87" s="424"/>
      <c r="G87" s="129"/>
    </row>
    <row r="88" spans="2:7" ht="15">
      <c r="C88" s="84"/>
      <c r="D88" s="84"/>
      <c r="E88" s="84"/>
      <c r="F88" s="84"/>
      <c r="G88" s="85"/>
    </row>
    <row r="89" spans="2:7" ht="15" hidden="1">
      <c r="B89" s="425"/>
      <c r="C89" s="426"/>
      <c r="D89" s="426"/>
      <c r="E89" s="426"/>
      <c r="F89" s="426"/>
      <c r="G89" s="85"/>
    </row>
    <row r="90" spans="2:7" ht="15" hidden="1">
      <c r="B90" s="130"/>
      <c r="C90" s="131"/>
      <c r="D90" s="131"/>
      <c r="E90" s="131"/>
      <c r="F90" s="131"/>
      <c r="G90" s="85"/>
    </row>
    <row r="91" spans="2:7" ht="15" hidden="1">
      <c r="C91" s="86"/>
      <c r="D91" s="86"/>
      <c r="E91" s="86"/>
      <c r="F91" s="86"/>
    </row>
    <row r="92" spans="2:7" ht="15" hidden="1">
      <c r="B92" s="88"/>
      <c r="C92" s="88"/>
      <c r="D92" s="88"/>
      <c r="E92" s="88"/>
      <c r="F92" s="88"/>
    </row>
    <row r="93" spans="2:7" ht="15" hidden="1">
      <c r="B93" s="417"/>
      <c r="C93" s="417"/>
      <c r="D93" s="417"/>
      <c r="E93" s="417"/>
      <c r="F93" s="417"/>
      <c r="G93" s="87"/>
    </row>
    <row r="94" spans="2:7" ht="15" hidden="1"/>
    <row r="95" spans="2:7" ht="15" hidden="1">
      <c r="B95" s="89"/>
      <c r="C95" s="90"/>
      <c r="D95" s="90"/>
      <c r="E95" s="90"/>
      <c r="F95" s="90"/>
      <c r="G95" s="90"/>
    </row>
    <row r="96" spans="2:7" ht="15" hidden="1">
      <c r="B96" s="418"/>
      <c r="C96" s="419"/>
      <c r="D96" s="419"/>
      <c r="E96" s="419"/>
      <c r="F96" s="419"/>
      <c r="G96" s="419"/>
    </row>
    <row r="98" spans="2:6" ht="15" hidden="1">
      <c r="B98" s="420"/>
      <c r="C98" s="420"/>
      <c r="D98" s="420"/>
      <c r="E98" s="420"/>
      <c r="F98" s="420"/>
    </row>
  </sheetData>
  <mergeCells count="15">
    <mergeCell ref="B81:F81"/>
    <mergeCell ref="B10:B11"/>
    <mergeCell ref="C10:D10"/>
    <mergeCell ref="E10:F10"/>
    <mergeCell ref="B79:F79"/>
    <mergeCell ref="B80:F80"/>
    <mergeCell ref="B93:F93"/>
    <mergeCell ref="B96:G96"/>
    <mergeCell ref="B98:F98"/>
    <mergeCell ref="B83:F83"/>
    <mergeCell ref="B84:D84"/>
    <mergeCell ref="B85:F85"/>
    <mergeCell ref="B86:F86"/>
    <mergeCell ref="B87:F87"/>
    <mergeCell ref="B89:F89"/>
  </mergeCells>
  <conditionalFormatting sqref="C12:F45">
    <cfRule type="cellIs" dxfId="38" priority="1" operator="equal">
      <formula>0</formula>
    </cfRule>
  </conditionalFormatting>
  <conditionalFormatting sqref="C47:F64">
    <cfRule type="cellIs" dxfId="37" priority="2" operator="equal">
      <formula>0</formula>
    </cfRule>
  </conditionalFormatting>
  <conditionalFormatting sqref="C67:F77">
    <cfRule type="cellIs" dxfId="36"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85" customHeight="1" zeroHeight="1"/>
  <cols>
    <col min="1" max="1" width="8.5703125" style="20" customWidth="1"/>
    <col min="2" max="2" width="42.42578125" style="28" customWidth="1"/>
    <col min="3" max="4" width="10.28515625" style="28" customWidth="1"/>
    <col min="5" max="5" width="10.28515625" customWidth="1"/>
    <col min="6" max="7" width="10.28515625" style="28" customWidth="1"/>
    <col min="8" max="8" width="10.28515625" customWidth="1"/>
    <col min="9" max="9" width="9.42578125" customWidth="1"/>
    <col min="10" max="16384" width="9.42578125" hidden="1"/>
  </cols>
  <sheetData>
    <row r="1" spans="1:13" ht="15">
      <c r="A1" s="10"/>
    </row>
    <row r="2" spans="1:13" ht="15">
      <c r="A2" s="11"/>
    </row>
    <row r="3" spans="1:13" ht="15">
      <c r="A3" s="11"/>
    </row>
    <row r="4" spans="1:13" ht="15">
      <c r="A4" s="11"/>
    </row>
    <row r="5" spans="1:13" ht="18" customHeight="1">
      <c r="A5"/>
      <c r="B5" s="269" t="str">
        <f>IF(Indice_index!$Z$1=1,"ANEXOS ESTATÍSTICOS","STATISTICAL ANNEXES")</f>
        <v>ANEXOS ESTATÍSTICOS</v>
      </c>
      <c r="C5"/>
      <c r="D5"/>
      <c r="F5"/>
      <c r="G5"/>
    </row>
    <row r="6" spans="1:13" ht="18" customHeight="1">
      <c r="A6"/>
      <c r="B6" s="270" t="str">
        <f>IF(Indice_index!$Z$1=1,"Setembro de 2025","September 2025")</f>
        <v>Setembro de 2025</v>
      </c>
      <c r="C6"/>
      <c r="D6"/>
      <c r="F6"/>
      <c r="G6"/>
    </row>
    <row r="7" spans="1:13" ht="48.75" customHeight="1">
      <c r="A7" s="11"/>
      <c r="B7" s="12"/>
      <c r="C7" s="13"/>
      <c r="D7" s="11"/>
      <c r="E7" s="11"/>
      <c r="F7" s="13"/>
      <c r="G7" s="11"/>
      <c r="H7" s="11"/>
      <c r="I7" s="10"/>
    </row>
    <row r="8" spans="1:13" ht="15.75">
      <c r="A8" s="80"/>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0"/>
      <c r="D8" s="80"/>
      <c r="E8" s="80"/>
      <c r="F8" s="80"/>
      <c r="G8" s="80"/>
      <c r="H8" s="80"/>
      <c r="I8" s="81"/>
      <c r="J8" s="81"/>
      <c r="K8" s="81"/>
      <c r="L8" s="43"/>
      <c r="M8" s="80"/>
    </row>
    <row r="9" spans="1:13" ht="15">
      <c r="A9" s="80"/>
      <c r="B9" s="3" t="str">
        <f>+'3 - Conta AC + SS'!B9</f>
        <v>Período: janeiro a setembro</v>
      </c>
      <c r="C9" s="80"/>
      <c r="D9" s="80"/>
      <c r="E9" s="80"/>
      <c r="F9" s="80"/>
      <c r="G9" s="80"/>
      <c r="H9" s="3" t="str">
        <f>IF(Indice_index!$Z$1=1,"€ Milhões","€ Millions")</f>
        <v>€ Milhões</v>
      </c>
      <c r="I9" s="81"/>
      <c r="J9" s="81"/>
      <c r="K9" s="81"/>
      <c r="L9" s="43"/>
      <c r="M9" s="80"/>
    </row>
    <row r="10" spans="1:13" ht="15">
      <c r="B10" s="389"/>
      <c r="C10" s="369" t="str">
        <f>IF(Indice_index!$Z$1=1,"Execução Acumulada","Accumulated Execution")</f>
        <v>Execução Acumulada</v>
      </c>
      <c r="D10" s="370"/>
      <c r="E10" s="370"/>
      <c r="F10" s="370"/>
      <c r="G10" s="370"/>
      <c r="H10" s="371"/>
    </row>
    <row r="11" spans="1:13" ht="15">
      <c r="B11" s="389"/>
      <c r="C11" s="391">
        <v>2024</v>
      </c>
      <c r="D11" s="387"/>
      <c r="E11" s="388"/>
      <c r="F11" s="391">
        <v>2025</v>
      </c>
      <c r="G11" s="387"/>
      <c r="H11" s="388"/>
    </row>
    <row r="12" spans="1:13" ht="24">
      <c r="B12" s="389"/>
      <c r="C12" s="22" t="str">
        <f>IF(Indice_index!$Z$1=1,"PRR","Recovery and Resilience Plan")</f>
        <v>PRR</v>
      </c>
      <c r="D12" s="22" t="str">
        <f>IF(Indice_index!$Z$1=1,"Esforço Nacional","National Effort")</f>
        <v>Esforço Nacional</v>
      </c>
      <c r="E12" s="22" t="s">
        <v>418</v>
      </c>
      <c r="F12" s="22" t="str">
        <f>IF(Indice_index!$Z$1=1,"PRR","Recovery and Resilience Plan")</f>
        <v>PRR</v>
      </c>
      <c r="G12" s="22" t="str">
        <f>IF(Indice_index!$Z$1=1,"Esforço Nacional","National Effort")</f>
        <v>Esforço Nacional</v>
      </c>
      <c r="H12" s="22" t="s">
        <v>418</v>
      </c>
    </row>
    <row r="13" spans="1:13" ht="14.1" customHeight="1">
      <c r="B13" s="174" t="str">
        <f>IF(Indice_index!$Z$1=1,"Receita corrente","Current revenue")</f>
        <v>Receita corrente</v>
      </c>
      <c r="C13" s="134">
        <f t="shared" ref="C13:H13" si="0">+C15+C16+C17+C18+C22+C23</f>
        <v>517.96641811999996</v>
      </c>
      <c r="D13" s="134">
        <f t="shared" si="0"/>
        <v>15.14519662</v>
      </c>
      <c r="E13" s="134">
        <f t="shared" si="0"/>
        <v>529.30419115000007</v>
      </c>
      <c r="F13" s="134">
        <f t="shared" si="0"/>
        <v>610.3587064100002</v>
      </c>
      <c r="G13" s="134">
        <f t="shared" si="0"/>
        <v>91.65479504999999</v>
      </c>
      <c r="H13" s="134">
        <f t="shared" si="0"/>
        <v>692.44811618000017</v>
      </c>
    </row>
    <row r="14" spans="1:13" ht="14.1" hidden="1" customHeight="1">
      <c r="B14" s="125" t="s">
        <v>392</v>
      </c>
      <c r="C14" s="4">
        <f t="shared" ref="C14:H14" si="1">+C15+C16</f>
        <v>0</v>
      </c>
      <c r="D14" s="4">
        <f t="shared" si="1"/>
        <v>0</v>
      </c>
      <c r="E14" s="4">
        <f t="shared" si="1"/>
        <v>0</v>
      </c>
      <c r="F14" s="4">
        <f t="shared" si="1"/>
        <v>0</v>
      </c>
      <c r="G14" s="4">
        <f t="shared" si="1"/>
        <v>0</v>
      </c>
      <c r="H14" s="4">
        <f t="shared" si="1"/>
        <v>0</v>
      </c>
    </row>
    <row r="15" spans="1:13" ht="14.1" hidden="1" customHeight="1">
      <c r="B15" s="172" t="s">
        <v>393</v>
      </c>
      <c r="C15" s="134">
        <v>0</v>
      </c>
      <c r="D15" s="134">
        <v>0</v>
      </c>
      <c r="E15" s="134">
        <v>0</v>
      </c>
      <c r="F15" s="134">
        <v>0</v>
      </c>
      <c r="G15" s="134">
        <v>0</v>
      </c>
      <c r="H15" s="134">
        <v>0</v>
      </c>
    </row>
    <row r="16" spans="1:13" ht="13.5" hidden="1" customHeight="1">
      <c r="B16" s="172" t="s">
        <v>394</v>
      </c>
      <c r="C16" s="4">
        <v>0</v>
      </c>
      <c r="D16" s="4">
        <v>0</v>
      </c>
      <c r="E16" s="4">
        <v>0</v>
      </c>
      <c r="F16" s="4">
        <v>0</v>
      </c>
      <c r="G16" s="4">
        <v>0</v>
      </c>
      <c r="H16" s="4">
        <v>0</v>
      </c>
    </row>
    <row r="17" spans="2:8" ht="13.5" hidden="1" customHeight="1">
      <c r="B17" s="125" t="s">
        <v>395</v>
      </c>
      <c r="C17" s="134">
        <v>0</v>
      </c>
      <c r="D17" s="134">
        <v>0</v>
      </c>
      <c r="E17" s="134">
        <v>0</v>
      </c>
      <c r="F17" s="134">
        <v>0</v>
      </c>
      <c r="G17" s="134">
        <v>0</v>
      </c>
      <c r="H17" s="134">
        <v>0</v>
      </c>
    </row>
    <row r="18" spans="2:8" ht="14.1" customHeight="1">
      <c r="B18" s="125" t="str">
        <f>IF(Indice_index!$Z$1=1,"Transferências correntes","Current transfers")</f>
        <v>Transferências correntes</v>
      </c>
      <c r="C18" s="4">
        <f t="shared" ref="C18:H18" si="2">+C19+C20</f>
        <v>505.04543307999995</v>
      </c>
      <c r="D18" s="4">
        <f t="shared" si="2"/>
        <v>2.8630188599999999</v>
      </c>
      <c r="E18" s="4">
        <f t="shared" si="2"/>
        <v>507.90845193999996</v>
      </c>
      <c r="F18" s="4">
        <f t="shared" si="2"/>
        <v>602.18524767000019</v>
      </c>
      <c r="G18" s="4">
        <f t="shared" si="2"/>
        <v>9.733865230000001</v>
      </c>
      <c r="H18" s="4">
        <f t="shared" si="2"/>
        <v>611.91911290000019</v>
      </c>
    </row>
    <row r="19" spans="2:8" ht="13.5" customHeight="1">
      <c r="B19" s="172" t="s">
        <v>396</v>
      </c>
      <c r="C19" s="4">
        <v>0</v>
      </c>
      <c r="D19" s="4">
        <v>0</v>
      </c>
      <c r="E19" s="4">
        <v>0</v>
      </c>
      <c r="F19" s="4">
        <v>4.7332600000000004E-3</v>
      </c>
      <c r="G19" s="4">
        <v>0</v>
      </c>
      <c r="H19" s="4">
        <v>4.7332600000000004E-3</v>
      </c>
    </row>
    <row r="20" spans="2:8" ht="14.1" customHeight="1">
      <c r="B20" s="172" t="str">
        <f>IF(Indice_index!$Z$1=1,"Outras","Others")</f>
        <v>Outras</v>
      </c>
      <c r="C20" s="4">
        <v>505.04543307999995</v>
      </c>
      <c r="D20" s="4">
        <v>2.8630188599999999</v>
      </c>
      <c r="E20" s="4">
        <v>507.90845193999996</v>
      </c>
      <c r="F20" s="4">
        <v>602.18051441000023</v>
      </c>
      <c r="G20" s="4">
        <v>9.733865230000001</v>
      </c>
      <c r="H20" s="4">
        <v>611.91437964000022</v>
      </c>
    </row>
    <row r="21" spans="2:8" ht="14.1" customHeight="1">
      <c r="B21" s="326" t="str">
        <f>IF(Indice_index!$Z$1=1,"Das quais: U.E.","of which U.E.")</f>
        <v>Das quais: U.E.</v>
      </c>
      <c r="C21" s="4">
        <v>504.33427337999996</v>
      </c>
      <c r="D21" s="4">
        <v>2.8630188599999999</v>
      </c>
      <c r="E21" s="4">
        <v>507.19729223999997</v>
      </c>
      <c r="F21" s="4">
        <v>600.46791452000036</v>
      </c>
      <c r="G21" s="4">
        <v>9.5590906999999987</v>
      </c>
      <c r="H21" s="4">
        <v>610.02700522000021</v>
      </c>
    </row>
    <row r="22" spans="2:8" ht="14.1" customHeight="1">
      <c r="B22" s="125" t="str">
        <f>IF(Indice_index!$Z$1=1,"Outras receitas correntes","Other current revenue")</f>
        <v>Outras receitas correntes</v>
      </c>
      <c r="C22" s="4">
        <v>1.08676343</v>
      </c>
      <c r="D22" s="4">
        <v>11.31124134</v>
      </c>
      <c r="E22" s="4">
        <v>12.39800477</v>
      </c>
      <c r="F22" s="4">
        <v>8.1734587399999992</v>
      </c>
      <c r="G22" s="4">
        <v>28.260963519999997</v>
      </c>
      <c r="H22" s="4">
        <v>36.434422259999998</v>
      </c>
    </row>
    <row r="23" spans="2:8" ht="14.1" customHeight="1">
      <c r="B23" s="125" t="str">
        <f>IF(Indice_index!$Z$1=1,"Diferenças de consolidação","Consolidation differences")</f>
        <v>Diferenças de consolidação</v>
      </c>
      <c r="C23" s="4">
        <v>11.834221610000004</v>
      </c>
      <c r="D23" s="4">
        <v>0.97093641999999991</v>
      </c>
      <c r="E23" s="4">
        <v>8.9977344400000039</v>
      </c>
      <c r="F23" s="4">
        <v>0</v>
      </c>
      <c r="G23" s="4">
        <v>53.659966300000001</v>
      </c>
      <c r="H23" s="4">
        <v>44.094581019999985</v>
      </c>
    </row>
    <row r="24" spans="2:8" ht="14.1" customHeight="1">
      <c r="B24" s="174" t="str">
        <f>IF(Indice_index!$Z$1=1,"Receita de capital","Capital revenue")</f>
        <v>Receita de capital</v>
      </c>
      <c r="C24" s="134">
        <f t="shared" ref="C24:H24" si="3">+C25+C26+C30+C31</f>
        <v>1191.5095038000002</v>
      </c>
      <c r="D24" s="134">
        <f t="shared" si="3"/>
        <v>2.3336183400000001</v>
      </c>
      <c r="E24" s="134">
        <f t="shared" si="3"/>
        <v>1193.8431221400003</v>
      </c>
      <c r="F24" s="134">
        <f t="shared" si="3"/>
        <v>1240.3573745099998</v>
      </c>
      <c r="G24" s="134">
        <f t="shared" si="3"/>
        <v>14.37959755</v>
      </c>
      <c r="H24" s="134">
        <f t="shared" si="3"/>
        <v>1250.0693050299999</v>
      </c>
    </row>
    <row r="25" spans="2:8" ht="13.5" hidden="1" customHeight="1">
      <c r="B25" s="125" t="s">
        <v>397</v>
      </c>
      <c r="C25" s="134">
        <v>0</v>
      </c>
      <c r="D25" s="134">
        <v>0</v>
      </c>
      <c r="E25" s="134">
        <v>0</v>
      </c>
      <c r="F25" s="134">
        <v>0</v>
      </c>
      <c r="G25" s="134">
        <v>0</v>
      </c>
      <c r="H25" s="134">
        <v>0</v>
      </c>
    </row>
    <row r="26" spans="2:8" ht="14.1" customHeight="1">
      <c r="B26" s="125" t="str">
        <f>IF(Indice_index!$Z$1=1,"Transferências de capital","Capital transfers")</f>
        <v>Transferências de capital</v>
      </c>
      <c r="C26" s="4">
        <f t="shared" ref="C26:H26" si="4">+C27+C28</f>
        <v>1191.5095038000002</v>
      </c>
      <c r="D26" s="4">
        <f t="shared" si="4"/>
        <v>2.2996982699999999</v>
      </c>
      <c r="E26" s="4">
        <f t="shared" si="4"/>
        <v>1193.8092020700003</v>
      </c>
      <c r="F26" s="4">
        <f t="shared" si="4"/>
        <v>1233.7905436199999</v>
      </c>
      <c r="G26" s="4">
        <f t="shared" si="4"/>
        <v>3.5212747499999999</v>
      </c>
      <c r="H26" s="4">
        <f t="shared" si="4"/>
        <v>1237.3118183699999</v>
      </c>
    </row>
    <row r="27" spans="2:8" ht="13.5" customHeight="1">
      <c r="B27" s="172" t="s">
        <v>396</v>
      </c>
      <c r="C27" s="4">
        <v>0</v>
      </c>
      <c r="D27" s="4">
        <v>0</v>
      </c>
      <c r="E27" s="4">
        <v>0</v>
      </c>
      <c r="F27" s="4">
        <v>1.933431E-2</v>
      </c>
      <c r="G27" s="4">
        <v>0</v>
      </c>
      <c r="H27" s="4">
        <v>1.933431E-2</v>
      </c>
    </row>
    <row r="28" spans="2:8" ht="14.1" customHeight="1">
      <c r="B28" s="172" t="str">
        <f>IF(Indice_index!$Z$1=1,"Outras","Others")</f>
        <v>Outras</v>
      </c>
      <c r="C28" s="4">
        <v>1191.5095038000002</v>
      </c>
      <c r="D28" s="4">
        <v>2.2996982699999999</v>
      </c>
      <c r="E28" s="4">
        <v>1193.8092020700003</v>
      </c>
      <c r="F28" s="4">
        <v>1233.7712093099999</v>
      </c>
      <c r="G28" s="4">
        <v>3.5212747499999999</v>
      </c>
      <c r="H28" s="4">
        <v>1237.2924840599999</v>
      </c>
    </row>
    <row r="29" spans="2:8" ht="14.1" customHeight="1">
      <c r="B29" s="326" t="str">
        <f>IF(Indice_index!$Z$1=1,"Das quais: U.E.","of which U.E.")</f>
        <v>Das quais: U.E.</v>
      </c>
      <c r="C29" s="4">
        <v>1191.4137259400004</v>
      </c>
      <c r="D29" s="4">
        <v>2.2996982699999999</v>
      </c>
      <c r="E29" s="4">
        <v>1193.7134242100003</v>
      </c>
      <c r="F29" s="4">
        <v>1232.33712924</v>
      </c>
      <c r="G29" s="4">
        <v>3.5212747499999999</v>
      </c>
      <c r="H29" s="4">
        <v>1235.8584039899999</v>
      </c>
    </row>
    <row r="30" spans="2:8" ht="13.5" hidden="1" customHeight="1">
      <c r="B30" s="125" t="s">
        <v>398</v>
      </c>
      <c r="C30" s="4">
        <v>0</v>
      </c>
      <c r="D30" s="4">
        <v>3.3920069999999997E-2</v>
      </c>
      <c r="E30" s="4">
        <v>3.3920069999999997E-2</v>
      </c>
      <c r="F30" s="4">
        <v>0</v>
      </c>
      <c r="G30" s="4">
        <v>0</v>
      </c>
      <c r="H30" s="4">
        <v>0</v>
      </c>
    </row>
    <row r="31" spans="2:8" ht="14.1" customHeight="1">
      <c r="B31" s="125" t="str">
        <f>IF(Indice_index!$Z$1=1,"Diferenças de consolidação","Consolidation differences")</f>
        <v>Diferenças de consolidação</v>
      </c>
      <c r="C31" s="4">
        <v>0</v>
      </c>
      <c r="D31" s="4">
        <v>0</v>
      </c>
      <c r="E31" s="4">
        <v>0</v>
      </c>
      <c r="F31" s="4">
        <v>6.566830889999892</v>
      </c>
      <c r="G31" s="4">
        <v>10.8583228</v>
      </c>
      <c r="H31" s="4">
        <v>12.757486660000001</v>
      </c>
    </row>
    <row r="32" spans="2:8" ht="14.1" customHeight="1">
      <c r="B32" s="30" t="str">
        <f>IF(Indice_index!$Z$1=1,"Receita efetiva","Effective revenue")</f>
        <v>Receita efetiva</v>
      </c>
      <c r="C32" s="18">
        <f t="shared" ref="C32:H32" si="5">+C13+C24</f>
        <v>1709.47592192</v>
      </c>
      <c r="D32" s="18">
        <f t="shared" si="5"/>
        <v>17.478814960000001</v>
      </c>
      <c r="E32" s="18">
        <f t="shared" si="5"/>
        <v>1723.1473132900005</v>
      </c>
      <c r="F32" s="18">
        <f t="shared" si="5"/>
        <v>1850.71608092</v>
      </c>
      <c r="G32" s="18">
        <f t="shared" si="5"/>
        <v>106.03439259999999</v>
      </c>
      <c r="H32" s="18">
        <f t="shared" si="5"/>
        <v>1942.5174212100001</v>
      </c>
    </row>
    <row r="33" spans="2:8" ht="14.1" customHeight="1">
      <c r="B33" s="174" t="str">
        <f>IF(Indice_index!$Z$1=1,"Despesa corrente","Current expenditure")</f>
        <v>Despesa corrente</v>
      </c>
      <c r="C33" s="134">
        <f t="shared" ref="C33:H33" si="6">+C34+C38+C39+C40+C44+C45+C46</f>
        <v>364.50745506999988</v>
      </c>
      <c r="D33" s="134">
        <f>+D34+D38+D39+D40+D44+D45+D46</f>
        <v>6.4087325100000001</v>
      </c>
      <c r="E33" s="134">
        <f t="shared" si="6"/>
        <v>367.10876399</v>
      </c>
      <c r="F33" s="134">
        <f t="shared" si="6"/>
        <v>406.32084592000001</v>
      </c>
      <c r="G33" s="134">
        <f t="shared" si="6"/>
        <v>29.836280540000004</v>
      </c>
      <c r="H33" s="134">
        <f t="shared" si="6"/>
        <v>426.59174117999999</v>
      </c>
    </row>
    <row r="34" spans="2:8" ht="14.1" customHeight="1">
      <c r="B34" s="125" t="str">
        <f>IF(Indice_index!$Z$1=1,"Despesas com o pessoal","Employees")</f>
        <v>Despesas com o pessoal</v>
      </c>
      <c r="C34" s="4">
        <f t="shared" ref="C34:H34" si="7">+C35+C36+C37</f>
        <v>28.257757329999997</v>
      </c>
      <c r="D34" s="4">
        <f t="shared" si="7"/>
        <v>1.4132224900000001</v>
      </c>
      <c r="E34" s="4">
        <f t="shared" si="7"/>
        <v>29.670979819999999</v>
      </c>
      <c r="F34" s="4">
        <f t="shared" si="7"/>
        <v>41.932790640000007</v>
      </c>
      <c r="G34" s="4">
        <f t="shared" si="7"/>
        <v>1.5085383499999998</v>
      </c>
      <c r="H34" s="4">
        <f t="shared" si="7"/>
        <v>43.441328989999988</v>
      </c>
    </row>
    <row r="35" spans="2:8" ht="14.1" customHeight="1">
      <c r="B35" s="172" t="str">
        <f>IF(Indice_index!$Z$1=1,"Remunerações certas e permanentes","Certain and permanent wages")</f>
        <v>Remunerações certas e permanentes</v>
      </c>
      <c r="C35" s="4">
        <v>23.321261829999997</v>
      </c>
      <c r="D35" s="4">
        <v>1.1156576700000003</v>
      </c>
      <c r="E35" s="4">
        <v>24.436919499999998</v>
      </c>
      <c r="F35" s="4">
        <v>33.274074519999999</v>
      </c>
      <c r="G35" s="4">
        <v>1.0291610099999999</v>
      </c>
      <c r="H35" s="4">
        <v>34.303235529999988</v>
      </c>
    </row>
    <row r="36" spans="2:8" ht="14.1" customHeight="1">
      <c r="B36" s="172" t="str">
        <f>IF(Indice_index!$Z$1=1,"Abonos variáveis ou eventuais","Variable or contingent bonuses")</f>
        <v>Abonos variáveis ou eventuais</v>
      </c>
      <c r="C36" s="4">
        <v>0.42807624</v>
      </c>
      <c r="D36" s="4">
        <v>3.296756E-2</v>
      </c>
      <c r="E36" s="4">
        <v>0.46104379999999995</v>
      </c>
      <c r="F36" s="4">
        <v>0.79980255</v>
      </c>
      <c r="G36" s="4">
        <v>4.2468370000000012E-2</v>
      </c>
      <c r="H36" s="4">
        <v>0.84227091999999992</v>
      </c>
    </row>
    <row r="37" spans="2:8" ht="14.1" customHeight="1">
      <c r="B37" s="172" t="str">
        <f>IF(Indice_index!$Z$1=1,"Segurança social","Social security")</f>
        <v>Segurança social</v>
      </c>
      <c r="C37" s="4">
        <v>4.5084192599999993</v>
      </c>
      <c r="D37" s="4">
        <v>0.26459726</v>
      </c>
      <c r="E37" s="4">
        <v>4.7730165200000005</v>
      </c>
      <c r="F37" s="4">
        <v>7.8589135700000021</v>
      </c>
      <c r="G37" s="4">
        <v>0.43690897000000001</v>
      </c>
      <c r="H37" s="4">
        <v>8.2958225400000014</v>
      </c>
    </row>
    <row r="38" spans="2:8" ht="14.1" customHeight="1">
      <c r="B38" s="125" t="str">
        <f>IF(Indice_index!$Z$1=1,"Aquisição de bens e serviços","Purchase of goods and services")</f>
        <v>Aquisição de bens e serviços</v>
      </c>
      <c r="C38" s="4">
        <v>100.08393767999998</v>
      </c>
      <c r="D38" s="4">
        <v>1.3217379899999999</v>
      </c>
      <c r="E38" s="4">
        <v>101.40567566999998</v>
      </c>
      <c r="F38" s="4">
        <v>129.04456171999999</v>
      </c>
      <c r="G38" s="4">
        <v>11.843673580000003</v>
      </c>
      <c r="H38" s="4">
        <v>140.88823529999999</v>
      </c>
    </row>
    <row r="39" spans="2:8" ht="14.1" customHeight="1">
      <c r="B39" s="125" t="str">
        <f>IF(Indice_index!$Z$1=1,"Juros e outros encargos","Interests and other charges")</f>
        <v>Juros e outros encargos</v>
      </c>
      <c r="C39" s="4">
        <v>5.0831899999999996E-3</v>
      </c>
      <c r="D39" s="4">
        <v>0</v>
      </c>
      <c r="E39" s="4">
        <v>5.0831899999999996E-3</v>
      </c>
      <c r="F39" s="4">
        <v>1.257288E-2</v>
      </c>
      <c r="G39" s="4">
        <v>0</v>
      </c>
      <c r="H39" s="4">
        <v>1.257288E-2</v>
      </c>
    </row>
    <row r="40" spans="2:8" ht="14.1" customHeight="1">
      <c r="B40" s="125" t="str">
        <f>IF(Indice_index!$Z$1=1,"Transferências correntes","Current transfers")</f>
        <v>Transferências correntes</v>
      </c>
      <c r="C40" s="4">
        <f t="shared" ref="C40:H40" si="8">+C41+C43</f>
        <v>125.80994975</v>
      </c>
      <c r="D40" s="4">
        <f t="shared" si="8"/>
        <v>0.78913211999999999</v>
      </c>
      <c r="E40" s="4">
        <f t="shared" si="8"/>
        <v>126.59908187000002</v>
      </c>
      <c r="F40" s="4">
        <f t="shared" si="8"/>
        <v>160.88746122000001</v>
      </c>
      <c r="G40" s="4">
        <f t="shared" si="8"/>
        <v>0.86198576999999998</v>
      </c>
      <c r="H40" s="4">
        <f t="shared" si="8"/>
        <v>161.74944699</v>
      </c>
    </row>
    <row r="41" spans="2:8" ht="14.1" customHeight="1">
      <c r="B41" s="172" t="str">
        <f>IF(Indice_index!$Z$1=1,"Administrações Públicas","General Government subsectors")</f>
        <v>Administrações Públicas</v>
      </c>
      <c r="C41" s="4">
        <v>52.718488669999999</v>
      </c>
      <c r="D41" s="4">
        <v>1.5378E-3</v>
      </c>
      <c r="E41" s="4">
        <v>52.720026470000001</v>
      </c>
      <c r="F41" s="4">
        <v>32.583044480000005</v>
      </c>
      <c r="G41" s="4">
        <v>0</v>
      </c>
      <c r="H41" s="4">
        <v>32.583044480000005</v>
      </c>
    </row>
    <row r="42" spans="2:8" ht="14.1" customHeight="1">
      <c r="B42" s="326" t="str">
        <f>IF(Indice_index!$Z$1=1,"Das quais: Administração Local","of which Local Administration")</f>
        <v>Das quais: Administração Local</v>
      </c>
      <c r="C42" s="4">
        <v>52.65038758</v>
      </c>
      <c r="D42" s="4">
        <v>0</v>
      </c>
      <c r="E42" s="4">
        <v>52.65038758</v>
      </c>
      <c r="F42" s="4">
        <v>32.582919480000008</v>
      </c>
      <c r="G42" s="4">
        <v>0</v>
      </c>
      <c r="H42" s="4">
        <v>32.582919480000008</v>
      </c>
    </row>
    <row r="43" spans="2:8" ht="14.1" customHeight="1">
      <c r="B43" s="172" t="str">
        <f>IF(Indice_index!$Z$1=1,"Outras","Others")</f>
        <v>Outras</v>
      </c>
      <c r="C43" s="4">
        <v>73.091461080000002</v>
      </c>
      <c r="D43" s="4">
        <v>0.78759431999999996</v>
      </c>
      <c r="E43" s="4">
        <v>73.879055400000013</v>
      </c>
      <c r="F43" s="4">
        <v>128.30441673999999</v>
      </c>
      <c r="G43" s="4">
        <v>0.86198576999999998</v>
      </c>
      <c r="H43" s="4">
        <v>129.16640250999998</v>
      </c>
    </row>
    <row r="44" spans="2:8" ht="14.1" customHeight="1">
      <c r="B44" s="125" t="str">
        <f>IF(Indice_index!$Z$1=1,"Subsídios","Subsidies")</f>
        <v>Subsídios</v>
      </c>
      <c r="C44" s="4">
        <v>67.195045370000003</v>
      </c>
      <c r="D44" s="4">
        <v>0</v>
      </c>
      <c r="E44" s="4">
        <v>67.195045370000003</v>
      </c>
      <c r="F44" s="4">
        <v>42.655973420000002</v>
      </c>
      <c r="G44" s="4">
        <v>0</v>
      </c>
      <c r="H44" s="4">
        <v>42.655973420000002</v>
      </c>
    </row>
    <row r="45" spans="2:8" ht="14.1" customHeight="1">
      <c r="B45" s="125" t="str">
        <f>IF(Indice_index!$Z$1=1,"Outras despesas correntes","Other current expenditure")</f>
        <v>Outras despesas correntes</v>
      </c>
      <c r="C45" s="4">
        <v>27.331954609999997</v>
      </c>
      <c r="D45" s="4">
        <v>4.8152739999999999E-2</v>
      </c>
      <c r="E45" s="4">
        <v>27.380107349999999</v>
      </c>
      <c r="F45" s="4">
        <v>21.464564769999999</v>
      </c>
      <c r="G45" s="4">
        <v>15.577013299999999</v>
      </c>
      <c r="H45" s="4">
        <v>37.04157807</v>
      </c>
    </row>
    <row r="46" spans="2:8" ht="14.1" customHeight="1">
      <c r="B46" s="125" t="str">
        <f>IF(Indice_index!$Z$1=1,"Diferenças de consolidação","Consolidation differences")</f>
        <v>Diferenças de consolidação</v>
      </c>
      <c r="C46" s="4">
        <v>15.823727139999988</v>
      </c>
      <c r="D46" s="4">
        <v>2.8364871699999998</v>
      </c>
      <c r="E46" s="4">
        <v>14.852790719999987</v>
      </c>
      <c r="F46" s="4">
        <v>10.322921269999995</v>
      </c>
      <c r="G46" s="4">
        <v>4.5069539999999998E-2</v>
      </c>
      <c r="H46" s="4">
        <v>0.80260553000000034</v>
      </c>
    </row>
    <row r="47" spans="2:8" ht="14.1" customHeight="1">
      <c r="B47" s="174" t="str">
        <f>IF(Indice_index!$Z$1=1,"Despesa de capital","Capital expenditure")</f>
        <v>Despesa de capital</v>
      </c>
      <c r="C47" s="134">
        <f t="shared" ref="C47:H47" si="9">+C48+C49+C53+C54</f>
        <v>1472.0155563400001</v>
      </c>
      <c r="D47" s="134">
        <f t="shared" si="9"/>
        <v>20.202544839999998</v>
      </c>
      <c r="E47" s="134">
        <f t="shared" si="9"/>
        <v>1492.2181011800001</v>
      </c>
      <c r="F47" s="134">
        <f t="shared" si="9"/>
        <v>1752.8542665</v>
      </c>
      <c r="G47" s="134">
        <f t="shared" si="9"/>
        <v>18.209481050000001</v>
      </c>
      <c r="H47" s="134">
        <f t="shared" si="9"/>
        <v>1766.3960805200002</v>
      </c>
    </row>
    <row r="48" spans="2:8" ht="14.1" customHeight="1">
      <c r="B48" s="125" t="str">
        <f>IF(Indice_index!$Z$1=1,"Investimento","Investments")</f>
        <v>Investimento</v>
      </c>
      <c r="C48" s="4">
        <v>333.72500792000005</v>
      </c>
      <c r="D48" s="4">
        <v>20.202544839999998</v>
      </c>
      <c r="E48" s="4">
        <v>353.92755276000003</v>
      </c>
      <c r="F48" s="4">
        <v>624.94682541000009</v>
      </c>
      <c r="G48" s="4">
        <v>17.63468838</v>
      </c>
      <c r="H48" s="4">
        <v>642.58151379000014</v>
      </c>
    </row>
    <row r="49" spans="2:8" ht="14.1" customHeight="1">
      <c r="B49" s="125" t="str">
        <f>IF(Indice_index!$Z$1=1,"Transferências de capital","Capital transfers")</f>
        <v>Transferências de capital</v>
      </c>
      <c r="C49" s="4">
        <f t="shared" ref="C49:H49" si="10">+C50+C52</f>
        <v>666.66020426000011</v>
      </c>
      <c r="D49" s="4">
        <f t="shared" si="10"/>
        <v>0</v>
      </c>
      <c r="E49" s="4">
        <f t="shared" si="10"/>
        <v>666.66020426000011</v>
      </c>
      <c r="F49" s="4">
        <f t="shared" si="10"/>
        <v>1096.3010115300001</v>
      </c>
      <c r="G49" s="4">
        <f t="shared" si="10"/>
        <v>0.57479267000000001</v>
      </c>
      <c r="H49" s="4">
        <f t="shared" si="10"/>
        <v>1096.8758041999999</v>
      </c>
    </row>
    <row r="50" spans="2:8" ht="14.1" customHeight="1">
      <c r="B50" s="172" t="str">
        <f>IF(Indice_index!$Z$1=1,"Administrações Públicas","General Government subsectors")</f>
        <v>Administrações Públicas</v>
      </c>
      <c r="C50" s="4">
        <v>193.38672470000003</v>
      </c>
      <c r="D50" s="4">
        <v>0</v>
      </c>
      <c r="E50" s="4">
        <v>193.38672470000003</v>
      </c>
      <c r="F50" s="4">
        <v>475.20200886999999</v>
      </c>
      <c r="G50" s="4">
        <v>9.9659950000000011E-2</v>
      </c>
      <c r="H50" s="4">
        <v>475.30166881999992</v>
      </c>
    </row>
    <row r="51" spans="2:8" ht="14.1" customHeight="1">
      <c r="B51" s="326" t="str">
        <f>IF(Indice_index!$Z$1=1,"Das quais: Administração Local","of which Local Administration")</f>
        <v>Das quais: Administração Local</v>
      </c>
      <c r="C51" s="4">
        <v>193.38672470000003</v>
      </c>
      <c r="D51" s="4">
        <v>0</v>
      </c>
      <c r="E51" s="4">
        <v>193.38672470000003</v>
      </c>
      <c r="F51" s="4">
        <v>474.18565781000001</v>
      </c>
      <c r="G51" s="4">
        <v>9.9659950000000011E-2</v>
      </c>
      <c r="H51" s="4">
        <v>474.28531775999994</v>
      </c>
    </row>
    <row r="52" spans="2:8" ht="13.5" customHeight="1">
      <c r="B52" s="172" t="str">
        <f>IF(Indice_index!$Z$1=1,"Outras","Others")</f>
        <v>Outras</v>
      </c>
      <c r="C52" s="4">
        <v>473.27347956000006</v>
      </c>
      <c r="D52" s="4">
        <v>0</v>
      </c>
      <c r="E52" s="4">
        <v>473.27347956000006</v>
      </c>
      <c r="F52" s="4">
        <v>621.09900266000011</v>
      </c>
      <c r="G52" s="4">
        <v>0.47513271999999995</v>
      </c>
      <c r="H52" s="4">
        <v>621.57413538000003</v>
      </c>
    </row>
    <row r="53" spans="2:8" ht="13.5" hidden="1" customHeight="1">
      <c r="B53" s="125" t="s">
        <v>399</v>
      </c>
      <c r="C53" s="4">
        <v>0</v>
      </c>
      <c r="D53" s="4">
        <v>0</v>
      </c>
      <c r="E53" s="4">
        <v>0</v>
      </c>
      <c r="F53" s="4">
        <v>0</v>
      </c>
      <c r="G53" s="4">
        <v>0</v>
      </c>
      <c r="H53" s="4">
        <v>0</v>
      </c>
    </row>
    <row r="54" spans="2:8" ht="14.1" customHeight="1">
      <c r="B54" s="125" t="str">
        <f>IF(Indice_index!$Z$1=1,"Diferenças de consolidação","Consolidation differences")</f>
        <v>Diferenças de consolidação</v>
      </c>
      <c r="C54" s="4">
        <v>471.63034415999999</v>
      </c>
      <c r="D54" s="4">
        <v>0</v>
      </c>
      <c r="E54" s="4">
        <v>471.63034415999999</v>
      </c>
      <c r="F54" s="4">
        <v>31.606429559999974</v>
      </c>
      <c r="G54" s="4">
        <v>0</v>
      </c>
      <c r="H54" s="4">
        <v>26.938762529999991</v>
      </c>
    </row>
    <row r="55" spans="2:8" ht="14.1" customHeight="1">
      <c r="B55" s="30" t="str">
        <f>IF(Indice_index!$Z$1=1,"Despesa efetiva","Effective Expenditure")</f>
        <v>Despesa efetiva</v>
      </c>
      <c r="C55" s="18">
        <f t="shared" ref="C55:H55" si="11">+C33+C47</f>
        <v>1836.52301141</v>
      </c>
      <c r="D55" s="18">
        <f t="shared" si="11"/>
        <v>26.611277349999998</v>
      </c>
      <c r="E55" s="18">
        <f t="shared" si="11"/>
        <v>1859.32686517</v>
      </c>
      <c r="F55" s="18">
        <f>+F33+F47</f>
        <v>2159.17511242</v>
      </c>
      <c r="G55" s="18">
        <f t="shared" si="11"/>
        <v>48.045761590000005</v>
      </c>
      <c r="H55" s="18">
        <f t="shared" si="11"/>
        <v>2192.9878217</v>
      </c>
    </row>
    <row r="56" spans="2:8" ht="14.1" customHeight="1">
      <c r="B56" s="30" t="str">
        <f>IF(Indice_index!$Z$1=1,"Saldo global","Overall balance")</f>
        <v>Saldo global</v>
      </c>
      <c r="C56" s="18">
        <f t="shared" ref="C56:H56" si="12">+C32-C55</f>
        <v>-127.04708948999996</v>
      </c>
      <c r="D56" s="18">
        <f>+D32-D55</f>
        <v>-9.132462389999997</v>
      </c>
      <c r="E56" s="18">
        <f t="shared" si="12"/>
        <v>-136.17955187999951</v>
      </c>
      <c r="F56" s="18">
        <f t="shared" si="12"/>
        <v>-308.45903150000004</v>
      </c>
      <c r="G56" s="18">
        <f t="shared" si="12"/>
        <v>57.988631009999985</v>
      </c>
      <c r="H56" s="18">
        <f t="shared" si="12"/>
        <v>-250.47040048999997</v>
      </c>
    </row>
    <row r="57" spans="2:8" ht="14.1" customHeight="1">
      <c r="B57" s="281" t="str">
        <f>IF(Indice_index!$Z$1=1,"Por memória:","Memo item:")</f>
        <v>Por memória:</v>
      </c>
      <c r="C57" s="4"/>
      <c r="D57" s="4"/>
      <c r="E57" s="4"/>
      <c r="F57" s="4"/>
      <c r="G57" s="4"/>
      <c r="H57" s="4"/>
    </row>
    <row r="58" spans="2:8" ht="14.1" customHeight="1">
      <c r="B58" s="125" t="str">
        <f>IF(Indice_index!$Z$1=1,"Despesa primária","Primary expenditure")</f>
        <v>Despesa primária</v>
      </c>
      <c r="C58" s="4">
        <f t="shared" ref="C58:H58" si="13">+C55-C39</f>
        <v>1836.5179282199999</v>
      </c>
      <c r="D58" s="4">
        <f>+D55-D39</f>
        <v>26.611277349999998</v>
      </c>
      <c r="E58" s="4">
        <f t="shared" si="13"/>
        <v>1859.32178198</v>
      </c>
      <c r="F58" s="4">
        <f>+F55-F39</f>
        <v>2159.1625395400001</v>
      </c>
      <c r="G58" s="4">
        <f t="shared" si="13"/>
        <v>48.045761590000005</v>
      </c>
      <c r="H58" s="4">
        <f t="shared" si="13"/>
        <v>2192.9752488200002</v>
      </c>
    </row>
    <row r="59" spans="2:8" ht="14.1" customHeight="1">
      <c r="B59" s="125" t="str">
        <f>IF(Indice_index!$Z$1=1,"Saldo primário","Primary balance")</f>
        <v>Saldo primário</v>
      </c>
      <c r="C59" s="4">
        <f t="shared" ref="C59:H59" si="14">+C32-C58</f>
        <v>-127.04200629999991</v>
      </c>
      <c r="D59" s="4">
        <f t="shared" si="14"/>
        <v>-9.132462389999997</v>
      </c>
      <c r="E59" s="4">
        <f t="shared" si="14"/>
        <v>-136.17446868999946</v>
      </c>
      <c r="F59" s="4">
        <f t="shared" si="14"/>
        <v>-308.44645862000016</v>
      </c>
      <c r="G59" s="4">
        <f t="shared" si="14"/>
        <v>57.988631009999985</v>
      </c>
      <c r="H59" s="4">
        <f t="shared" si="14"/>
        <v>-250.45782761000009</v>
      </c>
    </row>
    <row r="60" spans="2:8" ht="14.1" customHeight="1">
      <c r="B60" s="125" t="str">
        <f>IF(Indice_index!$Z$1=1,"Receita de ativos financeiros","Income from financial assets")</f>
        <v>Receita de ativos financeiros</v>
      </c>
      <c r="C60" s="4">
        <v>24.543486569999999</v>
      </c>
      <c r="D60" s="4"/>
      <c r="E60" s="4">
        <v>24.543486569999999</v>
      </c>
      <c r="F60" s="4">
        <v>471.48052719999998</v>
      </c>
      <c r="G60" s="4"/>
      <c r="H60" s="4">
        <v>471.48052719999998</v>
      </c>
    </row>
    <row r="61" spans="2:8" ht="14.1" customHeight="1">
      <c r="B61" s="125" t="str">
        <f>IF(Indice_index!$Z$1=1,"Receita de passivos financeiros","Income from Financial liabilities")</f>
        <v>Receita de passivos financeiros</v>
      </c>
      <c r="C61" s="4">
        <v>350.87000000000023</v>
      </c>
      <c r="D61" s="4"/>
      <c r="E61" s="4">
        <v>350.87000000000023</v>
      </c>
      <c r="F61" s="4">
        <v>495.19670093999991</v>
      </c>
      <c r="G61" s="4"/>
      <c r="H61" s="4">
        <v>495.19670093999991</v>
      </c>
    </row>
    <row r="62" spans="2:8" ht="14.1" customHeight="1">
      <c r="B62" s="173" t="str">
        <f>IF(Indice_index!$Z$1=1,"Despesa de ativos financeiros","Expense of financial assets")</f>
        <v>Despesa de ativos financeiros</v>
      </c>
      <c r="C62" s="19">
        <v>261.8891279500001</v>
      </c>
      <c r="D62" s="19"/>
      <c r="E62" s="19">
        <v>261.8891279500001</v>
      </c>
      <c r="F62" s="19">
        <v>319.46974176000003</v>
      </c>
      <c r="G62" s="19"/>
      <c r="H62" s="19">
        <v>319.46974176000003</v>
      </c>
    </row>
    <row r="63" spans="2:8" ht="15">
      <c r="B63" s="9" t="str">
        <f>IF(Indice_index!$Z$1=1,"Fonte: Entidade Orçamental.","Source: Budgetary Entity.")</f>
        <v>Fonte: Entidade Orçamental.</v>
      </c>
      <c r="C63" s="9"/>
      <c r="F63" s="9"/>
    </row>
    <row r="64" spans="2:8" ht="14.25" customHeight="1"/>
  </sheetData>
  <mergeCells count="4">
    <mergeCell ref="C11:E11"/>
    <mergeCell ref="F11:H11"/>
    <mergeCell ref="B10:B12"/>
    <mergeCell ref="C10:H10"/>
  </mergeCells>
  <conditionalFormatting sqref="C13:H31">
    <cfRule type="cellIs" dxfId="35" priority="3" operator="equal">
      <formula>0</formula>
    </cfRule>
  </conditionalFormatting>
  <conditionalFormatting sqref="C33:H54">
    <cfRule type="cellIs" dxfId="34" priority="2" operator="equal">
      <formula>0</formula>
    </cfRule>
  </conditionalFormatting>
  <conditionalFormatting sqref="C57:H62">
    <cfRule type="cellIs" dxfId="33"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40"/>
  <sheetViews>
    <sheetView showGridLines="0" zoomScaleNormal="100" workbookViewId="0"/>
  </sheetViews>
  <sheetFormatPr defaultColWidth="0" defaultRowHeight="14.85" customHeight="1" zeroHeight="1"/>
  <cols>
    <col min="1" max="1" width="8.5703125" style="50" customWidth="1"/>
    <col min="2" max="2" width="49.5703125" style="31" customWidth="1"/>
    <col min="3" max="3" width="10.5703125" style="31" customWidth="1"/>
    <col min="4" max="5" width="10.5703125" style="50" customWidth="1"/>
    <col min="6" max="8" width="10.5703125" customWidth="1"/>
    <col min="9" max="9" width="9.42578125" customWidth="1"/>
    <col min="10" max="16384" width="9.42578125" hidden="1"/>
  </cols>
  <sheetData>
    <row r="1" spans="1:13" ht="15"/>
    <row r="2" spans="1:13" ht="15"/>
    <row r="3" spans="1:13" ht="15"/>
    <row r="4" spans="1:13" ht="15"/>
    <row r="5" spans="1:13" ht="18" customHeight="1">
      <c r="A5"/>
      <c r="B5" s="269" t="str">
        <f>IF(Indice_index!$Z$1=1,"ANEXOS ESTATÍSTICOS","STATISTICAL ANNEXES")</f>
        <v>ANEXOS ESTATÍSTICOS</v>
      </c>
      <c r="C5"/>
      <c r="D5"/>
      <c r="E5"/>
    </row>
    <row r="6" spans="1:13" ht="18" customHeight="1">
      <c r="A6"/>
      <c r="B6" s="270" t="str">
        <f>IF(Indice_index!$Z$1=1,"Setembro de 2025","September 2025")</f>
        <v>Setembro de 2025</v>
      </c>
      <c r="C6"/>
      <c r="D6"/>
      <c r="E6"/>
    </row>
    <row r="7" spans="1:13" ht="48.75" customHeight="1">
      <c r="A7" s="11"/>
      <c r="B7" s="12"/>
      <c r="C7" s="13"/>
      <c r="D7" s="11"/>
      <c r="E7" s="11"/>
      <c r="F7" s="11"/>
      <c r="G7" s="11"/>
      <c r="H7" s="10"/>
      <c r="I7" s="10"/>
      <c r="J7" s="10"/>
      <c r="K7" s="10"/>
    </row>
    <row r="8" spans="1:13" ht="15.75">
      <c r="A8" s="80"/>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0"/>
      <c r="D8" s="80"/>
      <c r="E8" s="80"/>
      <c r="F8" s="80"/>
      <c r="G8" s="80"/>
      <c r="H8" s="81"/>
      <c r="I8" s="81"/>
      <c r="J8" s="81"/>
      <c r="K8" s="81"/>
      <c r="L8" s="43"/>
      <c r="M8" s="80"/>
    </row>
    <row r="9" spans="1:13" ht="15">
      <c r="A9" s="80"/>
      <c r="B9" s="3" t="str">
        <f>+'3 - Conta AC + SS'!B9</f>
        <v>Período: janeiro a setembro</v>
      </c>
      <c r="C9" s="80"/>
      <c r="D9" s="80"/>
      <c r="E9" s="80"/>
      <c r="F9" s="80"/>
      <c r="G9" s="80"/>
      <c r="H9" s="3" t="str">
        <f>IF(Indice_index!$Z$1=1,"€ Milhões","€ Millions")</f>
        <v>€ Milhões</v>
      </c>
      <c r="I9" s="81"/>
      <c r="J9" s="81"/>
      <c r="K9" s="81"/>
      <c r="L9" s="43"/>
      <c r="M9" s="80"/>
    </row>
    <row r="10" spans="1:13" ht="15">
      <c r="B10" s="430" t="str">
        <f>IF(Indice_index!$Z$1=1,"Programa Orçamental","Budget Program")</f>
        <v>Programa Orçamental</v>
      </c>
      <c r="C10" s="369" t="str">
        <f>IF(Indice_index!$Z$1=1,"Execução Acumulada","Accumulated Execution")</f>
        <v>Execução Acumulada</v>
      </c>
      <c r="D10" s="370"/>
      <c r="E10" s="370"/>
      <c r="F10" s="370"/>
      <c r="G10" s="370"/>
      <c r="H10" s="371"/>
    </row>
    <row r="11" spans="1:13" ht="15">
      <c r="B11" s="431"/>
      <c r="C11" s="391">
        <v>2024</v>
      </c>
      <c r="D11" s="387"/>
      <c r="E11" s="388"/>
      <c r="F11" s="391">
        <v>2025</v>
      </c>
      <c r="G11" s="387"/>
      <c r="H11" s="388"/>
    </row>
    <row r="12" spans="1:13" ht="24">
      <c r="B12" s="371"/>
      <c r="C12" s="22" t="str">
        <f>IF(Indice_index!$Z$1=1,"PRR","Recovery and Resilience Plan")</f>
        <v>PRR</v>
      </c>
      <c r="D12" s="22" t="str">
        <f>IF(Indice_index!$Z$1=1,"Esforço Nacional","National Effort")</f>
        <v>Esforço Nacional</v>
      </c>
      <c r="E12" s="22" t="s">
        <v>418</v>
      </c>
      <c r="F12" s="22" t="str">
        <f>IF(Indice_index!$Z$1=1,"PRR","Recovery and Resilience Plan")</f>
        <v>PRR</v>
      </c>
      <c r="G12" s="22" t="str">
        <f>IF(Indice_index!$Z$1=1,"Esforço Nacional","National Effort")</f>
        <v>Esforço Nacional</v>
      </c>
      <c r="H12" s="22" t="s">
        <v>418</v>
      </c>
    </row>
    <row r="13" spans="1:13" ht="14.1" customHeight="1">
      <c r="B13" s="236" t="str">
        <f>IF(Indice_index!$Z$1=1,"Total da Receita Orçamental","Total Budget Expenditure")</f>
        <v>Total da Receita Orçamental</v>
      </c>
      <c r="C13" s="18">
        <v>2049.9888357499995</v>
      </c>
      <c r="D13" s="18">
        <v>16.50787854</v>
      </c>
      <c r="E13" s="18">
        <v>2066.4967142899995</v>
      </c>
      <c r="F13" s="18">
        <v>2340.4452128500016</v>
      </c>
      <c r="G13" s="18">
        <v>41.5161035</v>
      </c>
      <c r="H13" s="18">
        <v>2381.9613163500012</v>
      </c>
    </row>
    <row r="14" spans="1:13" ht="14.1" customHeight="1">
      <c r="B14" s="237" t="str">
        <f>IF(Indice_index!$Z$1=1,"Total da Despesa Orçamental","Total Budget Expenditure")</f>
        <v>Total da Despesa Orçamental</v>
      </c>
      <c r="C14" s="18">
        <v>1492.95806806</v>
      </c>
      <c r="D14" s="18">
        <v>23.77479018</v>
      </c>
      <c r="E14" s="18">
        <v>1516.73285824</v>
      </c>
      <c r="F14" s="18">
        <v>2397.8835033600003</v>
      </c>
      <c r="G14" s="18">
        <v>48.000692050000005</v>
      </c>
      <c r="H14" s="18">
        <v>2445.8841954099998</v>
      </c>
    </row>
    <row r="15" spans="1:13" ht="14.1" customHeight="1">
      <c r="B15" s="329" t="str">
        <f>IF(Indice_index!$Z$1=1,"001 - Órgãos de Soberania","001 - Bodies of Sovereignty")</f>
        <v>001 - Órgãos de Soberania</v>
      </c>
      <c r="C15" s="4">
        <v>0.22294702000000002</v>
      </c>
      <c r="D15" s="4">
        <v>0</v>
      </c>
      <c r="E15" s="4">
        <v>0.22294702000000002</v>
      </c>
      <c r="F15" s="4">
        <v>0.98650341000000008</v>
      </c>
      <c r="G15" s="4">
        <v>7.4642529999999999E-2</v>
      </c>
      <c r="H15" s="4">
        <v>1.0611459399999998</v>
      </c>
    </row>
    <row r="16" spans="1:13" ht="14.1" customHeight="1">
      <c r="B16" s="329" t="str">
        <f>IF(Indice_index!$Z$1=1,"002 - Governação","002 - Governance")</f>
        <v>002 - Governação</v>
      </c>
      <c r="C16" s="4">
        <v>4.9063748</v>
      </c>
      <c r="D16" s="4">
        <v>0</v>
      </c>
      <c r="E16" s="4">
        <v>4.9063748</v>
      </c>
      <c r="F16" s="4">
        <v>7.0888577299999991</v>
      </c>
      <c r="G16" s="4">
        <v>0.67614479000000005</v>
      </c>
      <c r="H16" s="4">
        <v>7.7650025199999995</v>
      </c>
    </row>
    <row r="17" spans="2:8" ht="14.1" customHeight="1">
      <c r="B17" s="329" t="str">
        <f>IF(Indice_index!$Z$1=1,"003 - Representação Externa","003 - External Representation")</f>
        <v>003 - Representação Externa</v>
      </c>
      <c r="C17" s="4">
        <v>5.6074770999999997</v>
      </c>
      <c r="D17" s="4">
        <v>0</v>
      </c>
      <c r="E17" s="4">
        <v>5.6074770999999997</v>
      </c>
      <c r="F17" s="4">
        <v>10.06766988</v>
      </c>
      <c r="G17" s="4">
        <v>2.2652284599999994</v>
      </c>
      <c r="H17" s="4">
        <v>12.332898340000002</v>
      </c>
    </row>
    <row r="18" spans="2:8" ht="14.1" customHeight="1">
      <c r="B18" s="329" t="str">
        <f>IF(Indice_index!$Z$1=1,"004 - Finanças","004 - Finance")</f>
        <v>004 - Finanças</v>
      </c>
      <c r="C18" s="4">
        <v>4.4841330300000006</v>
      </c>
      <c r="D18" s="4">
        <v>0</v>
      </c>
      <c r="E18" s="4">
        <v>4.4841330300000006</v>
      </c>
      <c r="F18" s="4">
        <v>14.102792390000001</v>
      </c>
      <c r="G18" s="4">
        <v>6.2814049999999996E-2</v>
      </c>
      <c r="H18" s="4">
        <v>14.165606440000001</v>
      </c>
    </row>
    <row r="19" spans="2:8" ht="14.1" customHeight="1">
      <c r="B19" s="329" t="str">
        <f>IF(Indice_index!$Z$1=1,"006 - Defesa","006 - Defense")</f>
        <v>006 - Defesa</v>
      </c>
      <c r="C19" s="4">
        <v>53.357750379999992</v>
      </c>
      <c r="D19" s="4">
        <v>0</v>
      </c>
      <c r="E19" s="4">
        <v>53.357750379999992</v>
      </c>
      <c r="F19" s="4">
        <v>55.320389390000003</v>
      </c>
      <c r="G19" s="4">
        <v>9.4965117499999998</v>
      </c>
      <c r="H19" s="4">
        <v>64.816901139999999</v>
      </c>
    </row>
    <row r="20" spans="2:8" ht="14.1" customHeight="1">
      <c r="B20" s="329" t="str">
        <f>IF(Indice_index!$Z$1=1,"007 - Justiça","007 - Justice")</f>
        <v>007 - Justiça</v>
      </c>
      <c r="C20" s="4">
        <v>45.393269019999998</v>
      </c>
      <c r="D20" s="4">
        <v>0.21621481000000001</v>
      </c>
      <c r="E20" s="4">
        <v>45.609483829999995</v>
      </c>
      <c r="F20" s="4">
        <v>58.970449190000011</v>
      </c>
      <c r="G20" s="4">
        <v>8.8407003100000026</v>
      </c>
      <c r="H20" s="4">
        <v>67.811149499999999</v>
      </c>
    </row>
    <row r="21" spans="2:8" ht="14.1" customHeight="1">
      <c r="B21" s="329" t="str">
        <f>IF(Indice_index!$Z$1=1,"008 - Segurança Interna","008 - Internal Security")</f>
        <v>008 - Segurança Interna</v>
      </c>
      <c r="C21" s="4">
        <v>29.653383859999998</v>
      </c>
      <c r="D21" s="4">
        <v>0</v>
      </c>
      <c r="E21" s="4">
        <v>29.653383859999998</v>
      </c>
      <c r="F21" s="4">
        <v>19.121603669999999</v>
      </c>
      <c r="G21" s="4">
        <v>1.09102331</v>
      </c>
      <c r="H21" s="4">
        <v>20.212626979999996</v>
      </c>
    </row>
    <row r="22" spans="2:8" ht="14.1" customHeight="1">
      <c r="B22" s="329" t="str">
        <f>IF(Indice_index!$Z$1=1,"009 - Educação","009 - Education")</f>
        <v>009 - Educação</v>
      </c>
      <c r="C22" s="4">
        <v>68.217796889999988</v>
      </c>
      <c r="D22" s="4">
        <v>14.02047</v>
      </c>
      <c r="E22" s="4">
        <v>82.238266890000006</v>
      </c>
      <c r="F22" s="4">
        <v>89.670660719999987</v>
      </c>
      <c r="G22" s="4">
        <v>1.4986058799999999</v>
      </c>
      <c r="H22" s="4">
        <v>91.1692666</v>
      </c>
    </row>
    <row r="23" spans="2:8" ht="14.1" customHeight="1">
      <c r="B23" s="329" t="str">
        <f>IF(Indice_index!$Z$1=1,"010 - Ensino Superior, Ciência e Inovação","010 - Science and Inovation")</f>
        <v>010 - Ensino Superior, Ciência e Inovação</v>
      </c>
      <c r="C23" s="4">
        <v>126.90416436999998</v>
      </c>
      <c r="D23" s="4">
        <v>9.1846343700000013</v>
      </c>
      <c r="E23" s="4">
        <v>136.08879873999996</v>
      </c>
      <c r="F23" s="4">
        <v>216.88775201999991</v>
      </c>
      <c r="G23" s="4">
        <v>16.306749820000004</v>
      </c>
      <c r="H23" s="4">
        <v>233.1945018399999</v>
      </c>
    </row>
    <row r="24" spans="2:8" ht="14.1" customHeight="1">
      <c r="B24" s="329" t="str">
        <f>IF(Indice_index!$Z$1=1,"011 - Saúde","011 - Health")</f>
        <v>011 - Saúde</v>
      </c>
      <c r="C24" s="4">
        <v>61.741519759999981</v>
      </c>
      <c r="D24" s="4">
        <v>0</v>
      </c>
      <c r="E24" s="4">
        <v>61.741519759999981</v>
      </c>
      <c r="F24" s="4">
        <v>138.33912108000001</v>
      </c>
      <c r="G24" s="4">
        <v>4.1934875700000003</v>
      </c>
      <c r="H24" s="4">
        <v>142.53260865000001</v>
      </c>
    </row>
    <row r="25" spans="2:8" ht="14.1" customHeight="1">
      <c r="B25" s="329" t="str">
        <f>IF(Indice_index!$Z$1=1,"012 - Infraestruturas e Habitação","012 - Infrastructure and Housing")</f>
        <v>012 - Infraestruturas e Habitação</v>
      </c>
      <c r="C25" s="4">
        <v>260.81979125999999</v>
      </c>
      <c r="D25" s="4">
        <v>0.34408738999999999</v>
      </c>
      <c r="E25" s="4">
        <v>261.16387864999996</v>
      </c>
      <c r="F25" s="4">
        <v>598.23844904999987</v>
      </c>
      <c r="G25" s="4">
        <v>1.7658044499999996</v>
      </c>
      <c r="H25" s="4">
        <v>600.00425349999989</v>
      </c>
    </row>
    <row r="26" spans="2:8" ht="14.1" customHeight="1">
      <c r="B26" s="329" t="str">
        <f>IF(Indice_index!$Z$1=1,"013 - Economia","013 - Economy")</f>
        <v>013 - Economia</v>
      </c>
      <c r="C26" s="4">
        <v>567.03687609000008</v>
      </c>
      <c r="D26" s="4">
        <v>9.3836100000000006E-3</v>
      </c>
      <c r="E26" s="4">
        <v>567.04625970000006</v>
      </c>
      <c r="F26" s="4">
        <v>851.65782756999988</v>
      </c>
      <c r="G26" s="4">
        <v>0.62803708999999996</v>
      </c>
      <c r="H26" s="4">
        <v>852.2858646599999</v>
      </c>
    </row>
    <row r="27" spans="2:8" ht="14.1" customHeight="1">
      <c r="B27" s="329" t="str">
        <f>IF(Indice_index!$Z$1=1,"014 - Trabalho, Solidariedade e Segurança Social","014 - Work, Solidarity and Social Security")</f>
        <v>014 - Trabalho, Solidariedade e Segurança Social</v>
      </c>
      <c r="C27" s="4">
        <v>77.990663670000004</v>
      </c>
      <c r="D27" s="4">
        <v>0</v>
      </c>
      <c r="E27" s="4">
        <v>77.990663670000004</v>
      </c>
      <c r="F27" s="4">
        <v>67.10555927999998</v>
      </c>
      <c r="G27" s="4">
        <v>0.10820675000000002</v>
      </c>
      <c r="H27" s="4">
        <v>67.213766029999988</v>
      </c>
    </row>
    <row r="28" spans="2:8" ht="14.1" customHeight="1">
      <c r="B28" s="329" t="str">
        <f>IF(Indice_index!$Z$1=1,"015 - Ambiente e Energia","015 - Environment and Energy")</f>
        <v>015 - Ambiente e Energia</v>
      </c>
      <c r="C28" s="4">
        <v>52.023441300000002</v>
      </c>
      <c r="D28" s="4">
        <v>0</v>
      </c>
      <c r="E28" s="4">
        <v>52.023441300000002</v>
      </c>
      <c r="F28" s="4">
        <v>101.62026330999997</v>
      </c>
      <c r="G28" s="4">
        <v>0.10799292999999999</v>
      </c>
      <c r="H28" s="4">
        <v>101.72825623999998</v>
      </c>
    </row>
    <row r="29" spans="2:8" ht="14.1" customHeight="1">
      <c r="B29" s="329" t="str">
        <f>IF(Indice_index!$Z$1=1,"016 - Juventude e Desporto","016 - Youth and modernization")</f>
        <v>016 - Juventude e Desporto</v>
      </c>
      <c r="C29" s="4">
        <v>1.0730844199999998</v>
      </c>
      <c r="D29" s="4">
        <v>0</v>
      </c>
      <c r="E29" s="4">
        <v>1.0730844199999998</v>
      </c>
      <c r="F29" s="4">
        <v>2.4012539500000001</v>
      </c>
      <c r="G29" s="4">
        <v>0</v>
      </c>
      <c r="H29" s="4">
        <v>2.4012539500000001</v>
      </c>
    </row>
    <row r="30" spans="2:8" ht="14.1" customHeight="1">
      <c r="B30" s="329" t="str">
        <f>IF(Indice_index!$Z$1=1,"017 - Agricultura e Mar","017 - Agriculture and Fisheries")</f>
        <v>017 - Agricultura e Mar</v>
      </c>
      <c r="C30" s="4">
        <v>19.316117549999998</v>
      </c>
      <c r="D30" s="4">
        <v>0</v>
      </c>
      <c r="E30" s="4">
        <v>19.316117549999998</v>
      </c>
      <c r="F30" s="4">
        <v>29.855122709999993</v>
      </c>
      <c r="G30" s="4">
        <v>0.87486215999999994</v>
      </c>
      <c r="H30" s="4">
        <v>30.729984869999996</v>
      </c>
    </row>
    <row r="31" spans="2:8" ht="14.1" customHeight="1">
      <c r="B31" s="329" t="str">
        <f>IF(Indice_index!$Z$1=1,"018 - Cultura","018 - Culture")</f>
        <v>018 - Cultura</v>
      </c>
      <c r="C31" s="4">
        <v>24.02295097</v>
      </c>
      <c r="D31" s="4">
        <v>0</v>
      </c>
      <c r="E31" s="4">
        <v>24.02295097</v>
      </c>
      <c r="F31" s="4">
        <v>20.071489679999999</v>
      </c>
      <c r="G31" s="4"/>
      <c r="H31" s="4">
        <v>20.071489679999999</v>
      </c>
    </row>
    <row r="32" spans="2:8" ht="14.1" customHeight="1">
      <c r="B32" s="329" t="str">
        <f>IF(Indice_index!$Z$1=1,"019 - Coesão Territorial","019 - Territorial Cohesion")</f>
        <v>019 - Coesão Territorial</v>
      </c>
      <c r="C32" s="4">
        <v>74.525680810000011</v>
      </c>
      <c r="D32" s="4"/>
      <c r="E32" s="4">
        <v>74.525680810000011</v>
      </c>
      <c r="F32" s="4">
        <v>89.59590049000002</v>
      </c>
      <c r="G32" s="4">
        <v>9.8802000000000004E-3</v>
      </c>
      <c r="H32" s="4">
        <v>89.605780690000032</v>
      </c>
    </row>
    <row r="33" spans="2:9" ht="14.1" customHeight="1">
      <c r="B33" s="330" t="str">
        <f>IF(Indice_index!$Z$1=1,"020 - Reforma do Estado","020 - State Reform")</f>
        <v>020 - Reforma do Estado</v>
      </c>
      <c r="C33" s="19">
        <v>15.66064576</v>
      </c>
      <c r="D33" s="19">
        <v>0</v>
      </c>
      <c r="E33" s="19">
        <v>15.66064576</v>
      </c>
      <c r="F33" s="19">
        <v>26.781837840000001</v>
      </c>
      <c r="G33" s="19">
        <v>0</v>
      </c>
      <c r="H33" s="19">
        <v>26.781837840000001</v>
      </c>
    </row>
    <row r="34" spans="2:9" ht="15">
      <c r="B34" s="9" t="str">
        <f>IF(Indice_index!$Z$1=1,"Notas:","Notes:")</f>
        <v>Notas:</v>
      </c>
      <c r="C34" s="9"/>
      <c r="D34" s="9"/>
      <c r="E34" s="9"/>
      <c r="F34" s="9"/>
      <c r="G34" s="9"/>
      <c r="H34" s="9"/>
      <c r="I34" s="9"/>
    </row>
    <row r="35" spans="2:9" ht="15">
      <c r="B35" s="392"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5" s="392"/>
      <c r="D35" s="392"/>
      <c r="E35" s="392"/>
      <c r="F35" s="392"/>
      <c r="G35" s="392"/>
      <c r="H35" s="392"/>
      <c r="I35" s="31"/>
    </row>
    <row r="36" spans="2:9" ht="15">
      <c r="B36" s="152" t="str">
        <f>IF(Indice_index!$Z$1=1,"Fonte: Entidade Orçamental.","Source: Budgetary Entity.")</f>
        <v>Fonte: Entidade Orçamental.</v>
      </c>
      <c r="C36" s="152"/>
      <c r="D36" s="152"/>
      <c r="E36" s="29"/>
      <c r="F36" s="189"/>
      <c r="G36" s="28"/>
      <c r="H36" s="28"/>
      <c r="I36" s="153"/>
    </row>
    <row r="37" spans="2:9" ht="15">
      <c r="B37" s="398"/>
      <c r="C37" s="398"/>
      <c r="D37" s="62"/>
      <c r="E37" s="62"/>
    </row>
    <row r="38" spans="2:9" ht="15" hidden="1">
      <c r="B38" s="397"/>
      <c r="C38" s="397"/>
    </row>
    <row r="39" spans="2:9" ht="15" hidden="1">
      <c r="B39" s="397"/>
      <c r="C39" s="397"/>
    </row>
    <row r="40" spans="2:9" ht="15" hidden="1">
      <c r="B40" s="398"/>
      <c r="C40" s="398"/>
    </row>
  </sheetData>
  <mergeCells count="9">
    <mergeCell ref="C11:E11"/>
    <mergeCell ref="F11:H11"/>
    <mergeCell ref="B40:C40"/>
    <mergeCell ref="B37:C37"/>
    <mergeCell ref="B38:C38"/>
    <mergeCell ref="B39:C39"/>
    <mergeCell ref="B10:B12"/>
    <mergeCell ref="C10:H10"/>
    <mergeCell ref="B35:H35"/>
  </mergeCells>
  <conditionalFormatting sqref="B33">
    <cfRule type="cellIs" dxfId="32" priority="1" operator="equal">
      <formula>0</formula>
    </cfRule>
  </conditionalFormatting>
  <conditionalFormatting sqref="C15:H33">
    <cfRule type="cellIs" dxfId="31" priority="3"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6"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85" customHeight="1" zeroHeight="1"/>
  <cols>
    <col min="1" max="1" width="8.5703125" style="50" customWidth="1"/>
    <col min="2" max="2" width="46.5703125" style="31" customWidth="1"/>
    <col min="3" max="5" width="10.5703125" style="31" customWidth="1"/>
    <col min="6" max="7" width="10.5703125" style="50" customWidth="1"/>
    <col min="8" max="10" width="10.5703125" customWidth="1"/>
    <col min="11" max="11" width="9.42578125" customWidth="1"/>
    <col min="12" max="16384" width="9.42578125" hidden="1"/>
  </cols>
  <sheetData>
    <row r="1" spans="1:13" ht="15"/>
    <row r="2" spans="1:13" ht="15"/>
    <row r="3" spans="1:13" ht="15"/>
    <row r="4" spans="1:13" ht="15"/>
    <row r="5" spans="1:13" ht="18" customHeight="1">
      <c r="A5"/>
      <c r="B5" s="269" t="str">
        <f>IF(Indice_index!$Z$1=1,"ANEXOS ESTATÍSTICOS","STATISTICAL ANNEXES")</f>
        <v>ANEXOS ESTATÍSTICOS</v>
      </c>
      <c r="C5"/>
      <c r="D5"/>
      <c r="E5"/>
      <c r="F5"/>
      <c r="G5"/>
    </row>
    <row r="6" spans="1:13" ht="18" customHeight="1">
      <c r="A6"/>
      <c r="B6" s="270" t="str">
        <f>IF(Indice_index!$Z$1=1,"Setembro de 2025","September 2025")</f>
        <v>Setembro de 2025</v>
      </c>
      <c r="C6"/>
      <c r="D6"/>
      <c r="E6"/>
      <c r="F6"/>
      <c r="G6"/>
    </row>
    <row r="7" spans="1:13" ht="48.75" customHeight="1">
      <c r="A7" s="11"/>
      <c r="B7" s="12"/>
      <c r="C7" s="12"/>
      <c r="D7" s="12"/>
      <c r="E7" s="13"/>
      <c r="F7" s="11"/>
      <c r="G7" s="11"/>
      <c r="H7" s="11"/>
      <c r="I7" s="11"/>
      <c r="J7" s="10"/>
      <c r="K7" s="10"/>
      <c r="L7" s="10"/>
      <c r="M7" s="10"/>
    </row>
    <row r="8" spans="1:13" ht="15.75">
      <c r="B8" s="116"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6"/>
      <c r="D8" s="116"/>
      <c r="E8" s="2"/>
      <c r="F8" s="2"/>
      <c r="G8" s="2"/>
    </row>
    <row r="9" spans="1:13" ht="15.75">
      <c r="B9" s="3" t="str">
        <f>+'3 - Conta AC + SS'!B9</f>
        <v>Período: janeiro a setembro</v>
      </c>
      <c r="C9" s="116"/>
      <c r="D9" s="116"/>
      <c r="E9" s="2"/>
      <c r="F9" s="2"/>
      <c r="G9" s="2"/>
      <c r="J9" s="3" t="str">
        <f>IF(Indice_index!$Z$1=1,"€ Milhões","€ Millions")</f>
        <v>€ Milhões</v>
      </c>
    </row>
    <row r="10" spans="1:13" ht="15" customHeight="1">
      <c r="B10" s="430" t="str">
        <f>IF(Indice_index!$Z$1=1,"Dimensão/Componente","Dimension/Component")</f>
        <v>Dimensão/Componente</v>
      </c>
      <c r="C10" s="373" t="str">
        <f>IF(Indice_index!$Z$1=1,"Anos Anteriores (2021-2023)","Previous Years (2021-2023)")</f>
        <v>Anos Anteriores (2021-2023)</v>
      </c>
      <c r="D10" s="390" t="str">
        <f>IF(Indice_index!$Z$1=1,"CGE","Final execution")</f>
        <v>CGE</v>
      </c>
      <c r="E10" s="370" t="str">
        <f>IF(Indice_index!$Z$1=1,"Execução Acumulada","Accumulated Execution")</f>
        <v>Execução Acumulada</v>
      </c>
      <c r="F10" s="370"/>
      <c r="G10" s="370"/>
      <c r="H10" s="370"/>
      <c r="I10" s="370"/>
      <c r="J10" s="371"/>
    </row>
    <row r="11" spans="1:13" ht="15" customHeight="1">
      <c r="B11" s="431"/>
      <c r="C11" s="373"/>
      <c r="D11" s="389"/>
      <c r="E11" s="391">
        <v>2024</v>
      </c>
      <c r="F11" s="387"/>
      <c r="G11" s="388"/>
      <c r="H11" s="391">
        <v>2025</v>
      </c>
      <c r="I11" s="387"/>
      <c r="J11" s="388"/>
    </row>
    <row r="12" spans="1:13" ht="24">
      <c r="B12" s="371"/>
      <c r="C12" s="433"/>
      <c r="D12" s="432"/>
      <c r="E12" s="22" t="str">
        <f>IF(Indice_index!$Z$1=1,"PRR","Recovery and Resilience Plan")</f>
        <v>PRR</v>
      </c>
      <c r="F12" s="22" t="str">
        <f>IF(Indice_index!$Z$1=1,"Esforço Nacional","National Effort")</f>
        <v>Esforço Nacional</v>
      </c>
      <c r="G12" s="22" t="s">
        <v>418</v>
      </c>
      <c r="H12" s="22" t="str">
        <f>IF(Indice_index!$Z$1=1,"PRR","Recovery and Resilience Plan")</f>
        <v>PRR</v>
      </c>
      <c r="I12" s="22" t="str">
        <f>IF(Indice_index!$Z$1=1,"Esforço Nacional","National Effort")</f>
        <v>Esforço Nacional</v>
      </c>
      <c r="J12" s="22" t="s">
        <v>418</v>
      </c>
    </row>
    <row r="13" spans="1:13" ht="14.1" customHeight="1">
      <c r="B13" s="30" t="str">
        <f>IF(Indice_index!$Z$1=1,"RESILIÊNCIA","RESILIENCE")</f>
        <v>RESILIÊNCIA</v>
      </c>
      <c r="C13" s="18">
        <f t="shared" ref="C13:J13" si="0">+SUM(C14:C22)</f>
        <v>1879.9047453600006</v>
      </c>
      <c r="D13" s="18">
        <f t="shared" si="0"/>
        <v>1938.6497451500006</v>
      </c>
      <c r="E13" s="18">
        <f t="shared" si="0"/>
        <v>1070.29180277</v>
      </c>
      <c r="F13" s="18">
        <f t="shared" si="0"/>
        <v>8.9348225199999973</v>
      </c>
      <c r="G13" s="18">
        <f t="shared" si="0"/>
        <v>1079.2266252899999</v>
      </c>
      <c r="H13" s="18">
        <f t="shared" si="0"/>
        <v>1796.2297858899997</v>
      </c>
      <c r="I13" s="18">
        <f t="shared" si="0"/>
        <v>24.223080459999998</v>
      </c>
      <c r="J13" s="18">
        <f t="shared" si="0"/>
        <v>1820.45286635</v>
      </c>
    </row>
    <row r="14" spans="1:13" ht="14.1" customHeight="1">
      <c r="B14" s="125" t="str">
        <f>IF(Indice_index!$Z$1=1,"C1. SNS","C1. NATIONAL HEALTH SERVICE")</f>
        <v>C1. SNS</v>
      </c>
      <c r="C14" s="4">
        <v>74.398825920000107</v>
      </c>
      <c r="D14" s="4">
        <v>142.36729003999989</v>
      </c>
      <c r="E14" s="4">
        <v>62.156624379999997</v>
      </c>
      <c r="F14" s="4">
        <v>0</v>
      </c>
      <c r="G14" s="4">
        <v>62.156624379999997</v>
      </c>
      <c r="H14" s="4">
        <v>137.37784377999998</v>
      </c>
      <c r="I14" s="4">
        <v>4.1934875700000003</v>
      </c>
      <c r="J14" s="4">
        <v>141.57133134999995</v>
      </c>
    </row>
    <row r="15" spans="1:13" ht="14.1" customHeight="1">
      <c r="B15" s="125" t="str">
        <f>IF(Indice_index!$Z$1=1,"C2. HABITAÇÃO","C2. HOUSING")</f>
        <v>C2. HABITAÇÃO</v>
      </c>
      <c r="C15" s="4">
        <v>282.49961124999987</v>
      </c>
      <c r="D15" s="4">
        <v>474.42235347000013</v>
      </c>
      <c r="E15" s="4">
        <v>208.87090585000001</v>
      </c>
      <c r="F15" s="4">
        <v>0.14525758999999999</v>
      </c>
      <c r="G15" s="4">
        <v>209.01616344000001</v>
      </c>
      <c r="H15" s="4">
        <v>519.63205084000015</v>
      </c>
      <c r="I15" s="4">
        <v>12.251464479999999</v>
      </c>
      <c r="J15" s="4">
        <v>531.88351532000013</v>
      </c>
    </row>
    <row r="16" spans="1:13" ht="14.1" customHeight="1">
      <c r="B16" s="125" t="str">
        <f>IF(Indice_index!$Z$1=1,"C3. RESPOSTAS SOCIAIS","C3. SOCIAL RESPONSES")</f>
        <v>C3. RESPOSTAS SOCIAIS</v>
      </c>
      <c r="C16" s="4">
        <v>10.09029696</v>
      </c>
      <c r="D16" s="4">
        <v>5.326351830000001</v>
      </c>
      <c r="E16" s="4">
        <v>2.4529533800000003</v>
      </c>
      <c r="F16" s="4">
        <v>0</v>
      </c>
      <c r="G16" s="4">
        <v>2.4529533800000003</v>
      </c>
      <c r="H16" s="4">
        <v>8.1329229900000009</v>
      </c>
      <c r="I16" s="4">
        <v>0.13543145000000001</v>
      </c>
      <c r="J16" s="4">
        <v>8.2683544399999995</v>
      </c>
    </row>
    <row r="17" spans="2:10" ht="14.1" customHeight="1">
      <c r="B17" s="125" t="str">
        <f>IF(Indice_index!$Z$1=1,"C4. CULTURA","C4. CULTURE")</f>
        <v>C4. CULTURA</v>
      </c>
      <c r="C17" s="4">
        <v>37.792584319999996</v>
      </c>
      <c r="D17" s="4">
        <v>42.72033076999999</v>
      </c>
      <c r="E17" s="4">
        <v>23.950005729999997</v>
      </c>
      <c r="F17" s="4">
        <v>0</v>
      </c>
      <c r="G17" s="4">
        <v>23.950005729999997</v>
      </c>
      <c r="H17" s="4">
        <v>20.187746159999996</v>
      </c>
      <c r="I17" s="4">
        <v>0</v>
      </c>
      <c r="J17" s="4">
        <v>20.187746159999996</v>
      </c>
    </row>
    <row r="18" spans="2:10" ht="14.1" customHeight="1">
      <c r="B18" s="125" t="str">
        <f>IF(Indice_index!$Z$1=1,"C5. CAPITALIZAÇÃO E INOVAÇÃO EMPRESARIAL","C5. CAPITALIZATION AND BUSINESS INNOVATION")</f>
        <v>C5. CAPITALIZAÇÃO E INOVAÇÃO EMPRESARIAL</v>
      </c>
      <c r="C18" s="4">
        <v>1050.2212134800006</v>
      </c>
      <c r="D18" s="4">
        <v>679.27897924000047</v>
      </c>
      <c r="E18" s="4">
        <v>454.65264063999996</v>
      </c>
      <c r="F18" s="4">
        <v>1.5156330899999999</v>
      </c>
      <c r="G18" s="4">
        <v>456.16827372999995</v>
      </c>
      <c r="H18" s="4">
        <v>712.00786093999989</v>
      </c>
      <c r="I18" s="4">
        <v>4.1442947600000002</v>
      </c>
      <c r="J18" s="4">
        <v>716.15215569999998</v>
      </c>
    </row>
    <row r="19" spans="2:10" ht="14.1" customHeight="1">
      <c r="B19" s="125" t="str">
        <f>IF(Indice_index!$Z$1=1,"C6. QUALIFICAÇÕES E COMPETÊNCIAS","C6. QUALIFICATIONS AND SKILLS")</f>
        <v>C6. QUALIFICAÇÕES E COMPETÊNCIAS</v>
      </c>
      <c r="C19" s="4">
        <v>292.56648226999982</v>
      </c>
      <c r="D19" s="4">
        <v>384.54941596999987</v>
      </c>
      <c r="E19" s="4">
        <v>201.31678815999996</v>
      </c>
      <c r="F19" s="4">
        <v>7.2739318399999977</v>
      </c>
      <c r="G19" s="4">
        <v>208.59071999999998</v>
      </c>
      <c r="H19" s="4">
        <v>224.83065958</v>
      </c>
      <c r="I19" s="4">
        <v>2.7644540000000002</v>
      </c>
      <c r="J19" s="4">
        <v>227.59511358</v>
      </c>
    </row>
    <row r="20" spans="2:10" ht="14.1" customHeight="1">
      <c r="B20" s="125" t="str">
        <f>IF(Indice_index!$Z$1=1,"C7. INFRAESTRUTURAS","C7. INFRASTRUCTURES")</f>
        <v>C7. INFRAESTRUTURAS</v>
      </c>
      <c r="C20" s="4">
        <v>86.169656910000015</v>
      </c>
      <c r="D20" s="4">
        <v>100.31600331000001</v>
      </c>
      <c r="E20" s="4">
        <v>66.128888400000008</v>
      </c>
      <c r="F20" s="4">
        <v>0</v>
      </c>
      <c r="G20" s="4">
        <v>66.128888400000008</v>
      </c>
      <c r="H20" s="4">
        <v>114.07877626999999</v>
      </c>
      <c r="I20" s="4">
        <v>0</v>
      </c>
      <c r="J20" s="4">
        <v>114.07877626999999</v>
      </c>
    </row>
    <row r="21" spans="2:10" ht="14.1" customHeight="1">
      <c r="B21" s="125" t="str">
        <f>IF(Indice_index!$Z$1=1,"C8. FLORESTAS","C8. FORESTS")</f>
        <v>C8. FLORESTAS</v>
      </c>
      <c r="C21" s="4">
        <v>45.813418760000005</v>
      </c>
      <c r="D21" s="4">
        <v>107.94007355999999</v>
      </c>
      <c r="E21" s="4">
        <v>49.932557480000007</v>
      </c>
      <c r="F21" s="4">
        <v>0</v>
      </c>
      <c r="G21" s="4">
        <v>49.932557480000007</v>
      </c>
      <c r="H21" s="4">
        <v>58.597607050000008</v>
      </c>
      <c r="I21" s="4">
        <v>0.62595527000000006</v>
      </c>
      <c r="J21" s="4">
        <v>59.223562320000006</v>
      </c>
    </row>
    <row r="22" spans="2:10" ht="14.1" customHeight="1">
      <c r="B22" s="125" t="str">
        <f>IF(Indice_index!$Z$1=1,"C9. GESTÃO HÍDRICA","C9. WATER MANAGEMENT")</f>
        <v>C9. GESTÃO HÍDRICA</v>
      </c>
      <c r="C22" s="4">
        <v>0.35265548999999996</v>
      </c>
      <c r="D22" s="4">
        <v>1.72894696</v>
      </c>
      <c r="E22" s="4">
        <v>0.83043875</v>
      </c>
      <c r="F22" s="4">
        <v>0</v>
      </c>
      <c r="G22" s="4">
        <v>0.83043875</v>
      </c>
      <c r="H22" s="4">
        <v>1.38431828</v>
      </c>
      <c r="I22" s="4">
        <v>0.10799292999999999</v>
      </c>
      <c r="J22" s="4">
        <v>1.49231121</v>
      </c>
    </row>
    <row r="23" spans="2:10" ht="14.1" customHeight="1">
      <c r="B23" s="30" t="str">
        <f>IF(Indice_index!$Z$1=1,"TRANSIÇÃO CLIMÁTICA","CLIMATE TRANSITION")</f>
        <v>TRANSIÇÃO CLIMÁTICA</v>
      </c>
      <c r="C23" s="18">
        <f>+SUM(C24:C30)</f>
        <v>376.14170951999995</v>
      </c>
      <c r="D23" s="18">
        <f t="shared" ref="D23:J23" si="1">+SUM(D24:D30)</f>
        <v>429.57283283999993</v>
      </c>
      <c r="E23" s="18">
        <f t="shared" si="1"/>
        <v>270.26790820000002</v>
      </c>
      <c r="F23" s="18">
        <f t="shared" si="1"/>
        <v>0.59721338999999996</v>
      </c>
      <c r="G23" s="18">
        <f t="shared" si="1"/>
        <v>270.86512159000006</v>
      </c>
      <c r="H23" s="18">
        <f t="shared" si="1"/>
        <v>357.68809438999995</v>
      </c>
      <c r="I23" s="18">
        <f t="shared" si="1"/>
        <v>9.8090918300000016</v>
      </c>
      <c r="J23" s="18">
        <f t="shared" si="1"/>
        <v>367.49718621999995</v>
      </c>
    </row>
    <row r="24" spans="2:10" ht="14.1" customHeight="1">
      <c r="B24" s="125" t="str">
        <f>IF(Indice_index!$Z$1=1,"C10. MAR","C10. SEA")</f>
        <v>C10. MAR</v>
      </c>
      <c r="C24" s="4">
        <v>33.626921900000006</v>
      </c>
      <c r="D24" s="4">
        <v>112.52029207999999</v>
      </c>
      <c r="E24" s="4">
        <v>62.801774259999995</v>
      </c>
      <c r="F24" s="4">
        <v>5.7360499999999995E-3</v>
      </c>
      <c r="G24" s="4">
        <v>62.807510309999998</v>
      </c>
      <c r="H24" s="4">
        <v>61.746741219999997</v>
      </c>
      <c r="I24" s="4">
        <v>9.0567288800000014</v>
      </c>
      <c r="J24" s="4">
        <v>70.803470099999998</v>
      </c>
    </row>
    <row r="25" spans="2:10" ht="14.1" customHeight="1">
      <c r="B25" s="125" t="str">
        <f>IF(Indice_index!$Z$1=1,"C11. DESCARBONIZAÇÃO DA INDÚSTRIA","C11. DECARBONIZATION OF INDUSTRY")</f>
        <v>C11. DESCARBONIZAÇÃO DA INDÚSTRIA</v>
      </c>
      <c r="C25" s="4">
        <v>103.05356763999998</v>
      </c>
      <c r="D25" s="4">
        <v>174.42872280999998</v>
      </c>
      <c r="E25" s="4">
        <v>122.51791166000001</v>
      </c>
      <c r="F25" s="4">
        <v>0</v>
      </c>
      <c r="G25" s="4">
        <v>122.51791166000001</v>
      </c>
      <c r="H25" s="4">
        <v>125.49029138</v>
      </c>
      <c r="I25" s="4">
        <v>4.9640500000000002E-3</v>
      </c>
      <c r="J25" s="4">
        <v>125.49525542999999</v>
      </c>
    </row>
    <row r="26" spans="2:10" ht="14.1" customHeight="1">
      <c r="B26" s="125" t="str">
        <f>IF(Indice_index!$Z$1=1,"C12. BIOECONOMIA SUSTENTÁVEL","C12. SUSTAINABLE BIOECONOMY")</f>
        <v>C12. BIOECONOMIA SUSTENTÁVEL</v>
      </c>
      <c r="C26" s="4">
        <v>24.527136640000002</v>
      </c>
      <c r="D26" s="4">
        <v>16.715382639999998</v>
      </c>
      <c r="E26" s="4">
        <v>11.843926740000009</v>
      </c>
      <c r="F26" s="4">
        <v>0.10440337999999999</v>
      </c>
      <c r="G26" s="4">
        <v>11.94833012000001</v>
      </c>
      <c r="H26" s="4">
        <v>24.641111660000007</v>
      </c>
      <c r="I26" s="4">
        <v>3.1961169999999997E-2</v>
      </c>
      <c r="J26" s="4">
        <v>24.67307283000001</v>
      </c>
    </row>
    <row r="27" spans="2:10" ht="14.1" customHeight="1">
      <c r="B27" s="125" t="str">
        <f>IF(Indice_index!$Z$1=1,"C13. EFICIÊNCIA ENERGÉTICA DOS EDIFÍCIOS","C13. ENERGY EFFICIENCY IN BUILDINGS")</f>
        <v>C13. EFICIÊNCIA ENERGÉTICA DOS EDIFÍCIOS</v>
      </c>
      <c r="C27" s="4">
        <v>161.37992128000002</v>
      </c>
      <c r="D27" s="4">
        <v>42.031048329999997</v>
      </c>
      <c r="E27" s="4">
        <v>16.93039095</v>
      </c>
      <c r="F27" s="4">
        <v>0.48707395999999997</v>
      </c>
      <c r="G27" s="4">
        <v>17.41746491</v>
      </c>
      <c r="H27" s="4">
        <v>24.765729540000006</v>
      </c>
      <c r="I27" s="4">
        <v>0.71543772999999999</v>
      </c>
      <c r="J27" s="4">
        <v>25.481167270000007</v>
      </c>
    </row>
    <row r="28" spans="2:10" ht="14.1" customHeight="1">
      <c r="B28" s="125" t="str">
        <f>IF(Indice_index!$Z$1=1,"C14. HIDROGÉNIO E RENOVÁVEIS","C14. HYDROGEN AND RENEWABLES")</f>
        <v>C14. HIDROGÉNIO E RENOVÁVEIS</v>
      </c>
      <c r="C28" s="4">
        <v>5.8077750000000004</v>
      </c>
      <c r="D28" s="4">
        <v>4.4088152799999989</v>
      </c>
      <c r="E28" s="4">
        <v>1.1286738399999998</v>
      </c>
      <c r="F28" s="4">
        <v>0</v>
      </c>
      <c r="G28" s="4">
        <v>1.1286738399999998</v>
      </c>
      <c r="H28" s="4">
        <v>2.4660799999999998</v>
      </c>
      <c r="I28" s="4">
        <v>0</v>
      </c>
      <c r="J28" s="4">
        <v>2.4660799999999998</v>
      </c>
    </row>
    <row r="29" spans="2:10" ht="14.1" customHeight="1">
      <c r="B29" s="125" t="str">
        <f>IF(Indice_index!$Z$1=1,"C15. MOBILIDADE SUSTENTÁVEL","C15. SUSTAINABLE MOBILITY")</f>
        <v>C15. MOBILIDADE SUSTENTÁVEL</v>
      </c>
      <c r="C29" s="4">
        <v>47.746387059999989</v>
      </c>
      <c r="D29" s="4">
        <v>79.468571700000012</v>
      </c>
      <c r="E29" s="4">
        <v>55.045230750000002</v>
      </c>
      <c r="F29" s="4">
        <v>0</v>
      </c>
      <c r="G29" s="4">
        <v>55.045230750000002</v>
      </c>
      <c r="H29" s="4">
        <v>67.554412349999993</v>
      </c>
      <c r="I29" s="4">
        <v>0</v>
      </c>
      <c r="J29" s="4">
        <v>67.554412349999993</v>
      </c>
    </row>
    <row r="30" spans="2:10" ht="14.1" customHeight="1">
      <c r="B30" s="125" t="s">
        <v>419</v>
      </c>
      <c r="C30" s="4">
        <v>0</v>
      </c>
      <c r="D30" s="4">
        <v>0</v>
      </c>
      <c r="E30" s="4">
        <v>0</v>
      </c>
      <c r="F30" s="4">
        <v>0</v>
      </c>
      <c r="G30" s="4">
        <v>0</v>
      </c>
      <c r="H30" s="4">
        <v>51.02372823999999</v>
      </c>
      <c r="I30" s="4">
        <v>0</v>
      </c>
      <c r="J30" s="4">
        <v>51.02372823999999</v>
      </c>
    </row>
    <row r="31" spans="2:10" ht="14.1" customHeight="1">
      <c r="B31" s="30" t="str">
        <f>IF(Indice_index!$Z$1=1,"TRANSIÇÃO DIGITAL","DIGITAL TRANSITION")</f>
        <v>TRANSIÇÃO DIGITAL</v>
      </c>
      <c r="C31" s="18">
        <f t="shared" ref="C31:J31" si="2">+SUM(C32:C36)</f>
        <v>448.2095915700001</v>
      </c>
      <c r="D31" s="18">
        <f t="shared" si="2"/>
        <v>326.45758424999997</v>
      </c>
      <c r="E31" s="18">
        <f t="shared" si="2"/>
        <v>152.39835708999999</v>
      </c>
      <c r="F31" s="18">
        <f t="shared" si="2"/>
        <v>14.242754269999999</v>
      </c>
      <c r="G31" s="18">
        <f t="shared" si="2"/>
        <v>166.64111136</v>
      </c>
      <c r="H31" s="18">
        <f t="shared" si="2"/>
        <v>243.96562308</v>
      </c>
      <c r="I31" s="18">
        <f t="shared" si="2"/>
        <v>13.968519760000001</v>
      </c>
      <c r="J31" s="18">
        <f t="shared" si="2"/>
        <v>257.93414283999999</v>
      </c>
    </row>
    <row r="32" spans="2:10" ht="14.1" customHeight="1">
      <c r="B32" s="125" t="str">
        <f>IF(Indice_index!$Z$1=1,"C16. EMPRESAS 4.0","C16. COMPANIES 4.0")</f>
        <v>C16. EMPRESAS 4.0</v>
      </c>
      <c r="C32" s="4">
        <v>58.891054800000006</v>
      </c>
      <c r="D32" s="4">
        <v>99.224137990000031</v>
      </c>
      <c r="E32" s="4">
        <v>64.424102550000001</v>
      </c>
      <c r="F32" s="4">
        <v>3.4014000000000002E-3</v>
      </c>
      <c r="G32" s="4">
        <v>64.427503950000002</v>
      </c>
      <c r="H32" s="4">
        <v>103.85486483999999</v>
      </c>
      <c r="I32" s="4">
        <v>0.17000065000000006</v>
      </c>
      <c r="J32" s="4">
        <v>104.02486549</v>
      </c>
    </row>
    <row r="33" spans="2:11" ht="14.1" customHeight="1">
      <c r="B33" s="125" t="str">
        <f>IF(Indice_index!$Z$1=1,"C17. QUALIDADE E SUSTENTABILIDADE DAS FINANÇAS PÚBLICAS","C17. QUALITY AND SUSTAINABILITY OF PUBLIC FINANCES")</f>
        <v>C17. QUALIDADE E SUSTENTABILIDADE DAS FINANÇAS PÚBLICAS</v>
      </c>
      <c r="C33" s="4">
        <v>15.047137060000004</v>
      </c>
      <c r="D33" s="4">
        <v>9.3699776999999997</v>
      </c>
      <c r="E33" s="4">
        <v>3.9556759399999999</v>
      </c>
      <c r="F33" s="4">
        <v>0</v>
      </c>
      <c r="G33" s="4">
        <v>3.9556759399999999</v>
      </c>
      <c r="H33" s="4">
        <v>13.54714091</v>
      </c>
      <c r="I33" s="4">
        <v>6.2814049999999996E-2</v>
      </c>
      <c r="J33" s="4">
        <v>13.609954960000001</v>
      </c>
    </row>
    <row r="34" spans="2:11" ht="14.1" customHeight="1">
      <c r="B34" s="125" t="str">
        <f>IF(Indice_index!$Z$1=1,"C18. JUSTIÇA ECONÓMICA E AMBIENTE DE NEGÓCIOS","C18. ECONOMIC JUSTICE AND BUSINESS ENVIRONMENT")</f>
        <v>C18. JUSTIÇA ECONÓMICA E AMBIENTE DE NEGÓCIOS</v>
      </c>
      <c r="C34" s="4">
        <v>26.369206410000004</v>
      </c>
      <c r="D34" s="4">
        <v>55.629534709999987</v>
      </c>
      <c r="E34" s="4">
        <v>36.665174190000002</v>
      </c>
      <c r="F34" s="4">
        <v>0</v>
      </c>
      <c r="G34" s="4">
        <v>36.665174190000002</v>
      </c>
      <c r="H34" s="4">
        <v>49.77276444999999</v>
      </c>
      <c r="I34" s="4">
        <v>8.2893875699999988</v>
      </c>
      <c r="J34" s="4">
        <v>58.062152019999985</v>
      </c>
    </row>
    <row r="35" spans="2:11" ht="14.1" customHeight="1">
      <c r="B35" s="125" t="str">
        <f>IF(Indice_index!$Z$1=1,"C19. ADMINISTRAÇÃO PÚBLICA MAIS EFICIENTE","C19. MORE EFFICIENT PUBLIC ADMINISTRATION")</f>
        <v>C19. ADMINISTRAÇÃO PÚBLICA MAIS EFICIENTE</v>
      </c>
      <c r="C35" s="4">
        <v>110.48285386000006</v>
      </c>
      <c r="D35" s="4">
        <v>68.94992603</v>
      </c>
      <c r="E35" s="4">
        <v>35.080768699999979</v>
      </c>
      <c r="F35" s="4">
        <v>0.21888287000000001</v>
      </c>
      <c r="G35" s="4">
        <v>35.29965156999998</v>
      </c>
      <c r="H35" s="4">
        <v>53.940841610000007</v>
      </c>
      <c r="I35" s="4">
        <v>4.0537612200000019</v>
      </c>
      <c r="J35" s="4">
        <v>57.994602830000005</v>
      </c>
    </row>
    <row r="36" spans="2:11" ht="14.1" customHeight="1">
      <c r="B36" s="125" t="str">
        <f>IF(Indice_index!$Z$1=1,"C20. ESCOLA DIGITAL","C20. DIGITAL SCHOOL")</f>
        <v>C20. ESCOLA DIGITAL</v>
      </c>
      <c r="C36" s="4">
        <v>237.41933944000002</v>
      </c>
      <c r="D36" s="4">
        <v>93.284007819999999</v>
      </c>
      <c r="E36" s="4">
        <v>12.272635710000001</v>
      </c>
      <c r="F36" s="4">
        <v>14.02047</v>
      </c>
      <c r="G36" s="4">
        <v>26.293105710000003</v>
      </c>
      <c r="H36" s="4">
        <v>22.85001127</v>
      </c>
      <c r="I36" s="4">
        <v>1.39255627</v>
      </c>
      <c r="J36" s="4">
        <v>24.24256754</v>
      </c>
    </row>
    <row r="37" spans="2:11" ht="14.1" customHeight="1">
      <c r="B37" s="92" t="str">
        <f>IF(Indice_index!$Z$1=1,"Despesa Total","Total Expenditure")</f>
        <v>Despesa Total</v>
      </c>
      <c r="C37" s="27">
        <f t="shared" ref="C37:J37" si="3">+C13+C23+C31</f>
        <v>2704.2560464500007</v>
      </c>
      <c r="D37" s="27">
        <f t="shared" si="3"/>
        <v>2694.6801622400003</v>
      </c>
      <c r="E37" s="27">
        <f t="shared" si="3"/>
        <v>1492.95806806</v>
      </c>
      <c r="F37" s="27">
        <f t="shared" si="3"/>
        <v>23.774790179999997</v>
      </c>
      <c r="G37" s="27">
        <f t="shared" si="3"/>
        <v>1516.7328582399998</v>
      </c>
      <c r="H37" s="27">
        <f t="shared" si="3"/>
        <v>2397.8835033599998</v>
      </c>
      <c r="I37" s="27">
        <f t="shared" si="3"/>
        <v>48.000692049999998</v>
      </c>
      <c r="J37" s="27">
        <f t="shared" si="3"/>
        <v>2445.8841954099998</v>
      </c>
    </row>
    <row r="38" spans="2:11" ht="15">
      <c r="B38" s="9" t="str">
        <f>IF(Indice_index!$Z$1=1,"Notas:","Notes:")</f>
        <v>Notas:</v>
      </c>
      <c r="C38" s="9"/>
      <c r="D38" s="9"/>
      <c r="E38" s="9"/>
      <c r="F38" s="9"/>
      <c r="G38" s="9"/>
      <c r="H38" s="9"/>
      <c r="I38" s="9"/>
      <c r="J38" s="9"/>
      <c r="K38" s="9"/>
    </row>
    <row r="39" spans="2:11" ht="15">
      <c r="B39" s="392"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392"/>
      <c r="D39" s="392"/>
      <c r="E39" s="392"/>
      <c r="F39" s="392"/>
      <c r="G39" s="392"/>
      <c r="H39" s="392"/>
      <c r="I39" s="392"/>
      <c r="J39" s="392"/>
      <c r="K39" s="31"/>
    </row>
    <row r="40" spans="2:11" ht="15">
      <c r="B40" s="152" t="str">
        <f>IF(Indice_index!$Z$1=1,"Fonte: Entidade Orçamental.","Source: Budgetary Entity.")</f>
        <v>Fonte: Entidade Orçamental.</v>
      </c>
      <c r="C40" s="152"/>
      <c r="D40" s="152"/>
      <c r="E40" s="152"/>
      <c r="F40" s="152"/>
      <c r="G40" s="29"/>
      <c r="H40" s="189"/>
      <c r="I40" s="28"/>
      <c r="J40" s="28"/>
      <c r="K40" s="153"/>
    </row>
    <row r="41" spans="2:11" ht="15">
      <c r="B41" s="398"/>
      <c r="C41" s="398"/>
      <c r="D41" s="398"/>
      <c r="E41" s="398"/>
      <c r="F41" s="62"/>
      <c r="G41" s="62"/>
    </row>
    <row r="42" spans="2:11" ht="15" hidden="1">
      <c r="B42" s="397"/>
      <c r="C42" s="397"/>
      <c r="D42" s="397"/>
      <c r="E42" s="397"/>
      <c r="F42" s="62"/>
      <c r="G42" s="62"/>
    </row>
    <row r="43" spans="2:11" ht="15" hidden="1">
      <c r="B43" s="397"/>
      <c r="C43" s="397"/>
      <c r="D43" s="397"/>
      <c r="E43" s="397"/>
      <c r="F43" s="62"/>
      <c r="G43" s="62"/>
    </row>
    <row r="44" spans="2:11" ht="15" hidden="1">
      <c r="B44" s="398"/>
      <c r="C44" s="398"/>
      <c r="D44" s="398"/>
      <c r="E44" s="398"/>
      <c r="F44" s="54"/>
      <c r="G44" s="54"/>
    </row>
  </sheetData>
  <mergeCells count="11">
    <mergeCell ref="B41:E41"/>
    <mergeCell ref="B42:E42"/>
    <mergeCell ref="B43:E43"/>
    <mergeCell ref="B44:E44"/>
    <mergeCell ref="B39:J39"/>
    <mergeCell ref="E11:G11"/>
    <mergeCell ref="H11:J11"/>
    <mergeCell ref="B10:B12"/>
    <mergeCell ref="E10:J10"/>
    <mergeCell ref="D10:D12"/>
    <mergeCell ref="C10:C12"/>
  </mergeCells>
  <conditionalFormatting sqref="C14:J22 C24:J30 C32:J36">
    <cfRule type="cellIs" dxfId="3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election activeCell="C8" sqref="C8"/>
    </sheetView>
  </sheetViews>
  <sheetFormatPr defaultColWidth="0" defaultRowHeight="15" zeroHeight="1"/>
  <cols>
    <col min="1" max="2" width="3.5703125" style="34" customWidth="1"/>
    <col min="3" max="3" width="125.5703125" style="34" customWidth="1"/>
    <col min="4" max="6" width="16.28515625" style="34" customWidth="1"/>
    <col min="7" max="7" width="9.42578125" style="34" customWidth="1"/>
    <col min="8" max="28" width="9.42578125" style="34" hidden="1" customWidth="1"/>
    <col min="29" max="16384" width="9.42578125" hidden="1"/>
  </cols>
  <sheetData>
    <row r="1" spans="2:26">
      <c r="B1"/>
      <c r="C1"/>
      <c r="D1"/>
      <c r="E1"/>
      <c r="F1"/>
      <c r="G1"/>
      <c r="H1"/>
      <c r="I1"/>
      <c r="J1"/>
      <c r="K1"/>
      <c r="L1"/>
      <c r="M1"/>
      <c r="N1"/>
      <c r="O1"/>
      <c r="P1"/>
      <c r="Q1"/>
      <c r="R1"/>
      <c r="S1"/>
      <c r="T1"/>
      <c r="U1"/>
      <c r="V1"/>
      <c r="W1"/>
      <c r="X1" s="46">
        <v>1</v>
      </c>
      <c r="Y1" s="40" t="s">
        <v>7</v>
      </c>
      <c r="Z1" s="46">
        <v>1</v>
      </c>
    </row>
    <row r="2" spans="2:26" ht="32.25" customHeight="1">
      <c r="B2" s="45"/>
      <c r="C2"/>
      <c r="D2"/>
      <c r="E2"/>
      <c r="F2"/>
      <c r="G2"/>
      <c r="H2"/>
      <c r="I2"/>
      <c r="J2"/>
      <c r="K2"/>
      <c r="L2"/>
      <c r="M2"/>
      <c r="N2"/>
      <c r="O2"/>
      <c r="P2"/>
      <c r="Q2"/>
      <c r="R2"/>
      <c r="S2"/>
      <c r="T2"/>
      <c r="U2"/>
      <c r="V2"/>
      <c r="W2"/>
      <c r="X2" s="46">
        <v>2</v>
      </c>
      <c r="Y2" s="40" t="s">
        <v>6</v>
      </c>
      <c r="Z2" s="46"/>
    </row>
    <row r="3" spans="2:26" ht="30" customHeight="1">
      <c r="B3" s="45"/>
      <c r="C3"/>
      <c r="D3" s="352" t="str">
        <f>IF(Indice_index!$Z$1=1,"ANEXOS ESTATÍSTICOS","STATISTICAL ANNEXES")</f>
        <v>ANEXOS ESTATÍSTICOS</v>
      </c>
      <c r="E3" s="352"/>
      <c r="F3"/>
      <c r="G3"/>
      <c r="H3"/>
      <c r="I3"/>
      <c r="J3"/>
      <c r="K3"/>
      <c r="L3"/>
      <c r="M3"/>
      <c r="N3"/>
      <c r="O3"/>
      <c r="P3"/>
      <c r="Q3"/>
      <c r="R3"/>
      <c r="S3"/>
      <c r="T3"/>
      <c r="U3"/>
      <c r="V3"/>
      <c r="W3"/>
      <c r="X3"/>
      <c r="Y3"/>
      <c r="Z3"/>
    </row>
    <row r="4" spans="2:26" ht="49.5" customHeight="1">
      <c r="B4" s="36"/>
      <c r="C4" s="44"/>
      <c r="D4" s="353" t="str">
        <f>IF(Indice_index!$Z$1=1,"Setembro de 2025","September 2025")</f>
        <v>Setembro de 2025</v>
      </c>
      <c r="E4" s="353"/>
      <c r="F4"/>
      <c r="G4"/>
      <c r="H4"/>
      <c r="I4"/>
      <c r="J4"/>
      <c r="K4"/>
      <c r="L4"/>
      <c r="M4"/>
      <c r="N4"/>
      <c r="O4"/>
      <c r="P4"/>
      <c r="Q4"/>
      <c r="R4"/>
      <c r="S4"/>
      <c r="T4"/>
      <c r="U4"/>
      <c r="V4"/>
      <c r="W4"/>
      <c r="X4"/>
      <c r="Y4"/>
      <c r="Z4"/>
    </row>
    <row r="5" spans="2:26">
      <c r="B5" s="349" t="s">
        <v>5</v>
      </c>
      <c r="C5" s="349"/>
      <c r="D5" s="41"/>
      <c r="E5" s="40"/>
      <c r="F5" s="40"/>
      <c r="G5" s="43"/>
      <c r="H5" s="43"/>
      <c r="I5" s="40"/>
      <c r="J5" s="40"/>
      <c r="K5" s="40"/>
      <c r="L5" s="40"/>
      <c r="M5" s="40"/>
      <c r="N5" s="40"/>
      <c r="O5" s="40"/>
      <c r="P5" s="40"/>
      <c r="Q5" s="40"/>
      <c r="R5" s="40"/>
      <c r="S5" s="40"/>
      <c r="T5" s="40"/>
      <c r="U5" s="40"/>
      <c r="V5" s="40"/>
      <c r="W5" s="40"/>
      <c r="X5" s="40"/>
      <c r="Y5" s="40"/>
      <c r="Z5" s="40"/>
    </row>
    <row r="6" spans="2:26">
      <c r="B6" s="42"/>
      <c r="C6" s="42"/>
      <c r="D6" s="41"/>
      <c r="E6" s="40"/>
      <c r="F6" s="40"/>
      <c r="G6" s="40"/>
      <c r="H6" s="40"/>
      <c r="I6" s="40"/>
      <c r="J6" s="40"/>
      <c r="K6" s="40"/>
      <c r="L6" s="40"/>
      <c r="M6" s="40"/>
      <c r="N6" s="40"/>
      <c r="O6" s="40"/>
      <c r="P6" s="40"/>
      <c r="Q6" s="40"/>
      <c r="R6" s="40"/>
      <c r="S6" s="40"/>
      <c r="T6" s="40"/>
      <c r="U6" s="40"/>
      <c r="V6" s="40"/>
      <c r="W6" s="40"/>
      <c r="X6" s="40"/>
      <c r="Y6" s="40"/>
      <c r="Z6" s="40"/>
    </row>
    <row r="7" spans="2:26"/>
    <row r="8" spans="2:26" ht="30">
      <c r="C8" s="39"/>
      <c r="D8" s="38" t="str">
        <f>IF(Indice_index!$Z$1=1,"Última actualização","Last updated on")</f>
        <v>Última actualização</v>
      </c>
      <c r="E8" s="38" t="str">
        <f>IF(Indice_index!$Z$1=1,"Próxima actualização","Next update")</f>
        <v>Próxima actualização</v>
      </c>
      <c r="F8" s="38" t="str">
        <f>IF(Indice_index!$Z$1=1,"Último valor disponível","Last available figures")</f>
        <v>Último valor disponível</v>
      </c>
    </row>
    <row r="9" spans="2:26" ht="20.85" customHeight="1">
      <c r="C9" s="35" t="str">
        <f>+'1 - Saldo Global Rec Desp'!B8</f>
        <v>Quadro 1 - Receita, despesa e saldo das Administrações Públicas</v>
      </c>
      <c r="D9" s="350" t="str">
        <f>IF(Indice_index!$Z$1=1,"31-outubro-25","31-October-25")</f>
        <v>31-outubro-25</v>
      </c>
      <c r="E9" s="350" t="str">
        <f>IF(Indice_index!$Z$1=1,"28-novembro-25","28-November-25")</f>
        <v>28-novembro-25</v>
      </c>
      <c r="F9" s="351" t="str">
        <f>IF(Indice_index!$Z$1=1,"setembro 2025","September 2025")</f>
        <v>setembro 2025</v>
      </c>
    </row>
    <row r="10" spans="2:26" ht="20.85" customHeight="1">
      <c r="C10" s="35" t="str">
        <f>+'2 - Conta Consol AP'!B8</f>
        <v>Quadro 2 - Conta Consolidada das Administrações Públicas</v>
      </c>
      <c r="D10" s="350"/>
      <c r="E10" s="350"/>
      <c r="F10" s="351"/>
    </row>
    <row r="11" spans="2:26" ht="20.85" customHeight="1">
      <c r="C11" s="35" t="str">
        <f>+'3 - Conta AC + SS'!B8</f>
        <v>Quadro 3 - Conta Consolidada da Administração Central e Segurança Social</v>
      </c>
      <c r="D11" s="350"/>
      <c r="E11" s="350"/>
      <c r="F11" s="351"/>
    </row>
    <row r="12" spans="2:26" ht="20.85" customHeight="1">
      <c r="C12" s="35" t="str">
        <f>+'4 - Conta AC'!B8</f>
        <v>Quadro 4 - Conta Consolidada da Administração Central</v>
      </c>
      <c r="D12" s="350"/>
      <c r="E12" s="350"/>
      <c r="F12" s="351"/>
    </row>
    <row r="13" spans="2:26" ht="20.85" customHeight="1">
      <c r="C13" s="35" t="str">
        <f>+'5 - Estado'!B8</f>
        <v>Quadro 5 - Execução Orçamental do Estado</v>
      </c>
      <c r="D13" s="350"/>
      <c r="E13" s="350"/>
      <c r="F13" s="351"/>
      <c r="J13" s="37"/>
    </row>
    <row r="14" spans="2:26" ht="20.85" customHeight="1">
      <c r="C14" s="35" t="str">
        <f>+'6 - R_Est'!B8</f>
        <v>Quadro 6 - Receita do Estado</v>
      </c>
      <c r="D14" s="350"/>
      <c r="E14" s="350"/>
      <c r="F14" s="351"/>
    </row>
    <row r="15" spans="2:26" ht="20.85" customHeight="1">
      <c r="C15" s="35" t="str">
        <f>+'7 - SFA'!B8</f>
        <v>Quadro 7 - Execução Orçamental dos Serviços e Fundos Autónomos (inclui Entidades Públicas Reclassificadas da Administração Central)</v>
      </c>
      <c r="D15" s="350"/>
      <c r="E15" s="350"/>
      <c r="F15" s="351"/>
    </row>
    <row r="16" spans="2:26" ht="20.85" customHeight="1">
      <c r="C16" s="35" t="str">
        <f>+'8 - EPR'!B8</f>
        <v>Quadro 8 - Execução Orçamental das Entidades Públicas Reclassificadas da Administração Central</v>
      </c>
      <c r="D16" s="350"/>
      <c r="E16" s="350"/>
      <c r="F16" s="351"/>
    </row>
    <row r="17" spans="3:6" ht="20.85" customHeight="1">
      <c r="C17" s="35" t="str">
        <f>+'9 - CGA'!B8</f>
        <v>Quadro 9 - Execução Orçamental da Caixa Geral de Aposentações</v>
      </c>
      <c r="D17" s="350"/>
      <c r="E17" s="350"/>
      <c r="F17" s="351"/>
    </row>
    <row r="18" spans="3:6" ht="20.85" customHeight="1">
      <c r="C18" s="35" t="str">
        <f>+'10 - SS'!B8</f>
        <v>Quadro 10 - Execução Orçamental da Segurança Social</v>
      </c>
      <c r="D18" s="350"/>
      <c r="E18" s="350"/>
      <c r="F18" s="351"/>
    </row>
    <row r="19" spans="3:6" ht="20.85" customHeight="1">
      <c r="C19" s="35" t="str">
        <f>+'11 - SS Eco'!B8</f>
        <v>Quadro 11 - Execução Orçamental da Segurança Social por Classificação Económica</v>
      </c>
      <c r="D19" s="350"/>
      <c r="E19" s="350"/>
      <c r="F19" s="351"/>
    </row>
    <row r="20" spans="3:6" ht="20.85" customHeight="1">
      <c r="C20" s="35" t="str">
        <f>+'12 - Adm R'!B8</f>
        <v>Quadro 12 - Execução Orçamental da Administração Regional</v>
      </c>
      <c r="D20" s="350"/>
      <c r="E20" s="350"/>
      <c r="F20" s="351"/>
    </row>
    <row r="21" spans="3:6" ht="20.85" customHeight="1">
      <c r="C21" s="35" t="str">
        <f>+'13 - Adm Loc'!B8</f>
        <v>Quadro 13 - Execução Orçamental dos Municípios</v>
      </c>
      <c r="D21" s="350"/>
      <c r="E21" s="350"/>
      <c r="F21" s="351"/>
    </row>
    <row r="22" spans="3:6" ht="20.85" customHeight="1">
      <c r="C22" s="35" t="str">
        <f>'14 - PRR Conta AC'!B8</f>
        <v>Quadro 14 - Plano de Recuperação e Resiliência - Conta Consolidada da Administração Central</v>
      </c>
      <c r="D22" s="350"/>
      <c r="E22" s="350"/>
      <c r="F22" s="351"/>
    </row>
    <row r="23" spans="3:6" ht="20.85" customHeight="1">
      <c r="C23" s="35" t="str">
        <f>'15 - PRR Exec Programa'!B8</f>
        <v>Quadro 15 - Plano de Recuperação e Resiliência - Administração Central por Programa Orçamental</v>
      </c>
      <c r="D23" s="350"/>
      <c r="E23" s="350"/>
      <c r="F23" s="351"/>
    </row>
    <row r="24" spans="3:6" ht="20.85" customHeight="1">
      <c r="C24" s="35" t="str">
        <f>'16 - PRR Exec Componente'!B8</f>
        <v>Quadro 16 - Plano de Recuperação e Resiliência - Administração Central por Dimensão e Componente</v>
      </c>
      <c r="D24" s="350"/>
      <c r="E24" s="350"/>
      <c r="F24" s="351"/>
    </row>
    <row r="25" spans="3:6" ht="20.85" customHeight="1">
      <c r="C25" s="35" t="str">
        <f>'17 - Despesa Ativos '!B8</f>
        <v>Quadro 17 - Despesa com Ativos Financeiros do Estado</v>
      </c>
      <c r="D25" s="350"/>
      <c r="E25" s="350"/>
      <c r="F25" s="351"/>
    </row>
    <row r="26" spans="3:6" ht="20.85" customHeight="1">
      <c r="C26" s="35" t="str">
        <f>'18 - SNS exec fin'!B8</f>
        <v>Quadro 18 - Execução Financeira Consolidada do Serviço Nacional de Saúde</v>
      </c>
      <c r="D26" s="350"/>
      <c r="E26" s="350"/>
      <c r="F26" s="351"/>
    </row>
    <row r="27" spans="3:6" ht="20.85" customHeight="1">
      <c r="C27" s="35" t="str">
        <f>'19 - Dív não Fin'!B8</f>
        <v>Quadro 19 - Dívida não Financeira das Administrações Públicas</v>
      </c>
      <c r="D27" s="350"/>
      <c r="E27" s="350"/>
      <c r="F27" s="351"/>
    </row>
    <row r="28" spans="3:6" ht="20.85" customHeight="1">
      <c r="C28" s="35" t="str">
        <f>'20 - CGA Ind'!B8</f>
        <v>Quadro 20 - Indicadores Físicos e Financeiros do Sistema de Proteção Social da Função Pública</v>
      </c>
      <c r="D28" s="350"/>
      <c r="E28" s="350"/>
      <c r="F28" s="351"/>
    </row>
    <row r="29" spans="3:6" ht="20.85" customHeight="1">
      <c r="C29" s="35" t="str">
        <f>'21 - Ef Temp AC+SS'!B8</f>
        <v>Quadro 21 - Efeitos temporários/especiais na conta da Administração Central e Segurança Social</v>
      </c>
      <c r="D29" s="350"/>
      <c r="E29" s="350"/>
      <c r="F29" s="351"/>
    </row>
    <row r="30" spans="3:6" ht="20.85" customHeight="1">
      <c r="C30" s="35" t="str">
        <f>'22 - Estimativas'!B8</f>
        <v>Quadro 22 - Estimativas de execução consideradas na conta da Administração Central</v>
      </c>
      <c r="D30" s="350"/>
      <c r="E30" s="350"/>
      <c r="F30" s="351"/>
    </row>
    <row r="31" spans="3:6" ht="20.85" customHeight="1">
      <c r="C31" s="35" t="str">
        <f>'23 - Util. Cond. Dot. Orç'!B8</f>
        <v>Quadro 23 - Utilização condicionada das dotações orçamentais do OE 2025</v>
      </c>
      <c r="D31" s="350"/>
      <c r="E31" s="350"/>
      <c r="F31" s="351"/>
    </row>
    <row r="32" spans="3:6" ht="20.85" customHeight="1">
      <c r="C32" s="35" t="str">
        <f>'24 - Desp. Efetiva por PO'!B8</f>
        <v>Quadro 24 - Despesa Efetiva Consolidada por Programa Orçamental</v>
      </c>
      <c r="D32" s="350"/>
      <c r="E32" s="350"/>
      <c r="F32" s="351"/>
    </row>
    <row r="33" spans="1:28" ht="20.85" customHeight="1">
      <c r="C33" s="35" t="str">
        <f>'25 - Fator. explic. Contas Nac.'!B8</f>
        <v>Quadro 25 - Fatores explicativos com efeito diferenciado em Contas Nacionais</v>
      </c>
      <c r="D33" s="350"/>
      <c r="E33" s="350"/>
      <c r="F33" s="351"/>
    </row>
    <row r="34" spans="1:28" ht="20.85" customHeight="1">
      <c r="C34" s="35" t="str">
        <f>'26 - Lista Entidades AC 2025'!B8</f>
        <v>Quadro 26 - Lista de entidades da Administração Central em 2025</v>
      </c>
      <c r="D34" s="350"/>
      <c r="E34" s="350"/>
      <c r="F34" s="351"/>
    </row>
    <row r="35" spans="1:28">
      <c r="A35"/>
      <c r="B35" s="205"/>
      <c r="C35" s="205"/>
      <c r="D35" s="205"/>
      <c r="E35" s="205"/>
      <c r="F35" s="205"/>
      <c r="G35"/>
      <c r="H35"/>
      <c r="I35"/>
      <c r="J35"/>
      <c r="K35"/>
      <c r="L35"/>
      <c r="M35"/>
      <c r="N35"/>
      <c r="O35"/>
      <c r="P35"/>
      <c r="Q35"/>
      <c r="R35"/>
      <c r="S35"/>
      <c r="T35"/>
      <c r="U35"/>
      <c r="V35"/>
      <c r="W35"/>
      <c r="X35"/>
      <c r="Y35"/>
      <c r="Z35"/>
      <c r="AA35"/>
      <c r="AB35"/>
    </row>
    <row r="36" spans="1:28"/>
    <row r="37" spans="1:28"/>
    <row r="38" spans="1:28"/>
    <row r="39" spans="1:28"/>
    <row r="40" spans="1:28"/>
  </sheetData>
  <mergeCells count="6">
    <mergeCell ref="B5:C5"/>
    <mergeCell ref="D9:D34"/>
    <mergeCell ref="E9:E34"/>
    <mergeCell ref="F9:F34"/>
    <mergeCell ref="D3:E3"/>
    <mergeCell ref="D4:E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5 - Fator. explic. Contas Nac.'!A1" display="'25 - Fator. explic. Contas Nac.'!A1" xr:uid="{AABD5D43-BBDC-4EC8-B5A3-9ABAE8354A84}"/>
    <hyperlink ref="C34" location="'26 - Lista Entidades AC 2025'!A1" display="'26 - Lista Entidades AC 2025'!A1" xr:uid="{11FFDC9C-24A3-4023-B49A-CE45E277F4A0}"/>
    <hyperlink ref="C30" location="'22 - Estimativas'!Área_de_Impressão" display="'22 - Estimativas'!Área_de_Impressão" xr:uid="{E49EF073-C80B-4EAF-9021-EC51348DDDE7}"/>
  </hyperlinks>
  <pageMargins left="0.70866141732283472" right="0.70866141732283472" top="0.74803149606299213" bottom="0.74803149606299213" header="0.31496062992125984" footer="0.31496062992125984"/>
  <pageSetup paperSize="9" scale="58" orientation="portrait" r:id="rId1"/>
  <ignoredErrors>
    <ignoredError sqref="F10:F34 D10:E34 D9:E9"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heetViews>
  <sheetFormatPr defaultColWidth="0" defaultRowHeight="14.85" customHeight="1" zeroHeight="1"/>
  <cols>
    <col min="1" max="1" width="8.5703125" style="91" customWidth="1"/>
    <col min="2" max="2" width="35.42578125" style="91" customWidth="1"/>
    <col min="3" max="9" width="9.42578125" style="91" customWidth="1"/>
    <col min="10" max="10" width="8.5703125" style="91" customWidth="1"/>
    <col min="11" max="18" width="0" hidden="1" customWidth="1"/>
    <col min="19" max="16384" width="9.42578125" hidden="1"/>
  </cols>
  <sheetData>
    <row r="1" spans="1:11" ht="14.85" customHeight="1">
      <c r="K1" s="91"/>
    </row>
    <row r="2" spans="1:11" ht="15">
      <c r="K2" s="91"/>
    </row>
    <row r="3" spans="1:11" ht="15">
      <c r="K3" s="91"/>
    </row>
    <row r="4" spans="1:11" ht="15">
      <c r="K4" s="91"/>
    </row>
    <row r="5" spans="1:11" ht="18" customHeight="1">
      <c r="A5"/>
      <c r="B5" s="269" t="str">
        <f>IF(Indice_index!$Z$1=1,"ANEXOS ESTATÍSTICOS","STATISTICAL ANNEXES")</f>
        <v>ANEXOS ESTATÍSTICOS</v>
      </c>
      <c r="C5"/>
      <c r="D5"/>
      <c r="E5"/>
      <c r="F5"/>
      <c r="G5"/>
      <c r="H5"/>
      <c r="I5"/>
      <c r="J5"/>
    </row>
    <row r="6" spans="1:11" ht="18" customHeight="1">
      <c r="A6"/>
      <c r="B6" s="270" t="str">
        <f>IF(Indice_index!$Z$1=1,"Setembro de 2025","September 2025")</f>
        <v>Setembro de 2025</v>
      </c>
      <c r="C6"/>
      <c r="D6"/>
      <c r="E6"/>
      <c r="F6"/>
      <c r="G6"/>
      <c r="H6"/>
      <c r="I6"/>
      <c r="J6"/>
    </row>
    <row r="7" spans="1:11" ht="50.1" customHeight="1">
      <c r="B7" s="12"/>
      <c r="C7" s="13"/>
      <c r="D7" s="11"/>
      <c r="E7" s="11"/>
      <c r="F7" s="11"/>
      <c r="G7" s="11"/>
      <c r="H7" s="11"/>
      <c r="I7" s="11"/>
      <c r="J7" s="11"/>
      <c r="K7" s="91"/>
    </row>
    <row r="8" spans="1:11" ht="15.75">
      <c r="B8" s="1" t="str">
        <f>IF(Indice_index!$Z$1=1,"Quadro 17 - Despesa com Ativos Financeiros do Estado","17 - State Financial assets expenditure")</f>
        <v>Quadro 17 - Despesa com Ativos Financeiros do Estado</v>
      </c>
      <c r="C8" s="2"/>
      <c r="D8" s="2"/>
      <c r="E8" s="2"/>
      <c r="F8" s="2"/>
      <c r="G8" s="2"/>
      <c r="H8" s="2"/>
      <c r="I8" s="2"/>
    </row>
    <row r="9" spans="1:11" ht="15">
      <c r="B9" s="3" t="str">
        <f>IF(Indice_index!$Z$1=1,"Período: janeiro a setembro","Period: January to September")</f>
        <v>Período: janeiro a setembro</v>
      </c>
      <c r="C9" s="3"/>
      <c r="D9" s="3"/>
      <c r="E9" s="118"/>
      <c r="F9" s="118"/>
      <c r="G9" s="3"/>
      <c r="H9" s="3" t="str">
        <f>IF(Indice_index!$Z$1=1,"€ Milhões","€ Millions")</f>
        <v>€ Milhões</v>
      </c>
    </row>
    <row r="10" spans="1:11" ht="26.85" customHeight="1">
      <c r="B10" s="390"/>
      <c r="C10" s="22" t="str">
        <f>IF(Indice_index!$Z$1=1,"CGE","Final execution")</f>
        <v>CGE</v>
      </c>
      <c r="D10" s="22" t="str">
        <f>IF(Indice_index!$Z$1=1,"Orçamento Inicial","Budget")</f>
        <v>Orçamento Inicial</v>
      </c>
      <c r="E10" s="391" t="str">
        <f>IF(Indice_index!$Z$1=1,"Execução","Execution")</f>
        <v>Execução</v>
      </c>
      <c r="F10" s="388"/>
      <c r="G10" s="390" t="str">
        <f>IF(Indice_index!$Z$1=1,"Execução Acumulada","Accumulated Execution")</f>
        <v>Execução Acumulada</v>
      </c>
      <c r="H10" s="390" t="str">
        <f>IF(Indice_index!$Z$1=1,"Grau de Execução (%)","Execution Rate (%)")</f>
        <v>Grau de Execução (%)</v>
      </c>
    </row>
    <row r="11" spans="1:11" ht="15" customHeight="1">
      <c r="B11" s="389"/>
      <c r="C11" s="22">
        <v>2024</v>
      </c>
      <c r="D11" s="22">
        <v>2025</v>
      </c>
      <c r="E11" s="250" t="str">
        <f>IF(Indice_index!$Z$1=1,"ago/2025","Aug/2025")</f>
        <v>ago/2025</v>
      </c>
      <c r="F11" s="250" t="str">
        <f>IF(Indice_index!$Z$1=1,"set/2025","Sep/2025")</f>
        <v>set/2025</v>
      </c>
      <c r="G11" s="389"/>
      <c r="H11" s="389"/>
    </row>
    <row r="12" spans="1:11" ht="14.1" customHeight="1">
      <c r="B12" s="174" t="str">
        <f>IF(Indice_index!$Z$1=1,"Empréstimos a curto prazo","Short term loans")</f>
        <v>Empréstimos a curto prazo</v>
      </c>
      <c r="C12" s="134">
        <v>0</v>
      </c>
      <c r="D12" s="134">
        <v>50</v>
      </c>
      <c r="E12" s="134">
        <v>0</v>
      </c>
      <c r="F12" s="134">
        <v>0</v>
      </c>
      <c r="G12" s="134">
        <v>0</v>
      </c>
      <c r="H12" s="134">
        <f>IFERROR(G12/D12*100,0)</f>
        <v>0</v>
      </c>
      <c r="I12" s="253"/>
    </row>
    <row r="13" spans="1:11" ht="14.1" customHeight="1">
      <c r="B13" s="174" t="str">
        <f>IF(Indice_index!$Z$1=1,"Empréstimos a médio e longo prazos","Medium-long term loans")</f>
        <v>Empréstimos a médio e longo prazos</v>
      </c>
      <c r="C13" s="134">
        <f>SUM(C14:C23)</f>
        <v>607.59621805000006</v>
      </c>
      <c r="D13" s="134">
        <f t="shared" ref="D13" si="0">SUM(D14:D23)</f>
        <v>6406.6647029999995</v>
      </c>
      <c r="E13" s="134">
        <v>0.69087600000000005</v>
      </c>
      <c r="F13" s="134">
        <v>84.727131999999997</v>
      </c>
      <c r="G13" s="134">
        <v>477.34158135999996</v>
      </c>
      <c r="H13" s="134">
        <f t="shared" ref="H13:H34" si="1">IFERROR(G13/D13*100,0)</f>
        <v>7.4507033454783249</v>
      </c>
      <c r="I13" s="253"/>
      <c r="J13" s="212"/>
    </row>
    <row r="14" spans="1:11" ht="14.1" customHeight="1">
      <c r="B14" s="125" t="str">
        <f>IF(Indice_index!$Z$1=1,"Entidades Públicas","Public Entities")</f>
        <v>Entidades Públicas</v>
      </c>
      <c r="C14" s="4">
        <v>0</v>
      </c>
      <c r="D14" s="4">
        <v>5126</v>
      </c>
      <c r="E14" s="4">
        <v>0</v>
      </c>
      <c r="F14" s="4">
        <v>0</v>
      </c>
      <c r="G14" s="4">
        <v>0</v>
      </c>
      <c r="H14" s="4">
        <f t="shared" si="1"/>
        <v>0</v>
      </c>
      <c r="I14" s="253"/>
      <c r="J14" s="212"/>
    </row>
    <row r="15" spans="1:11" ht="14.1" customHeight="1">
      <c r="B15" s="125" t="str">
        <f>IF(Indice_index!$Z$1=1,"Serviços e Fundos Autónomos","Autonomous Services and Funds ")</f>
        <v>Serviços e Fundos Autónomos</v>
      </c>
      <c r="C15" s="4">
        <v>425.15077845999997</v>
      </c>
      <c r="D15" s="4">
        <v>1209.063165</v>
      </c>
      <c r="E15" s="4">
        <v>0</v>
      </c>
      <c r="F15" s="4">
        <v>80</v>
      </c>
      <c r="G15" s="4">
        <v>287.73780635999998</v>
      </c>
      <c r="H15" s="4">
        <f t="shared" si="1"/>
        <v>23.798409767946239</v>
      </c>
      <c r="I15" s="253"/>
      <c r="J15" s="212"/>
    </row>
    <row r="16" spans="1:11" ht="14.1" customHeight="1">
      <c r="B16" s="125" t="str">
        <f>IF(Indice_index!$Z$1=1,"Entidades Públicas Reclassificadas","Reclassified Public Entities")</f>
        <v>Entidades Públicas Reclassificadas</v>
      </c>
      <c r="C16" s="4">
        <v>27.42010887</v>
      </c>
      <c r="D16" s="4">
        <v>55.254197999999995</v>
      </c>
      <c r="E16" s="4">
        <v>0</v>
      </c>
      <c r="F16" s="4">
        <v>0</v>
      </c>
      <c r="G16" s="4">
        <v>32.185766999999998</v>
      </c>
      <c r="H16" s="4">
        <f t="shared" si="1"/>
        <v>58.250355927707062</v>
      </c>
      <c r="I16" s="253"/>
      <c r="J16" s="212"/>
    </row>
    <row r="17" spans="2:10" ht="14.1" customHeight="1">
      <c r="B17" s="125" t="str">
        <f>IF(Indice_index!$Z$1=1,"Administração Regional","Regional Government")</f>
        <v>Administração Regional</v>
      </c>
      <c r="C17" s="4">
        <v>110</v>
      </c>
      <c r="D17" s="4">
        <v>0</v>
      </c>
      <c r="E17" s="4">
        <v>0</v>
      </c>
      <c r="F17" s="4">
        <v>0</v>
      </c>
      <c r="G17" s="4">
        <v>150</v>
      </c>
      <c r="H17" s="4">
        <f t="shared" si="1"/>
        <v>0</v>
      </c>
      <c r="I17" s="253"/>
      <c r="J17" s="212"/>
    </row>
    <row r="18" spans="2:10" ht="14.1" customHeight="1">
      <c r="B18" s="125" t="str">
        <f>IF(Indice_index!$Z$1=1," Administração Local (Portugal 2020)","Local Administration (Portugal 2020)")</f>
        <v xml:space="preserve"> Administração Local (Portugal 2020)</v>
      </c>
      <c r="C18" s="4">
        <v>27.520077000000001</v>
      </c>
      <c r="D18" s="4">
        <v>0</v>
      </c>
      <c r="E18" s="4">
        <v>0</v>
      </c>
      <c r="F18" s="4">
        <v>4.7271320000000001</v>
      </c>
      <c r="G18" s="4">
        <v>4.7271320000000001</v>
      </c>
      <c r="H18" s="4">
        <f t="shared" si="1"/>
        <v>0</v>
      </c>
      <c r="I18" s="253"/>
      <c r="J18" s="212"/>
    </row>
    <row r="19" spans="2:10" ht="14.1" customHeight="1">
      <c r="B19" s="125" t="str">
        <f>IF(Indice_index!$Z$1=1,"Administração Local (IFRRU)","Local Administration (IFRRU)")</f>
        <v>Administração Local (IFRRU)</v>
      </c>
      <c r="C19" s="4">
        <v>0</v>
      </c>
      <c r="D19" s="4">
        <v>0</v>
      </c>
      <c r="E19" s="4">
        <v>0</v>
      </c>
      <c r="F19" s="4">
        <v>0</v>
      </c>
      <c r="G19" s="4">
        <v>0</v>
      </c>
      <c r="H19" s="4">
        <f t="shared" si="1"/>
        <v>0</v>
      </c>
      <c r="I19" s="253"/>
      <c r="J19" s="212"/>
    </row>
    <row r="20" spans="2:10" ht="14.1" customHeight="1">
      <c r="B20" s="125" t="str">
        <f>IF(Indice_index!$Z$1=1,"Fundos Públicos","Public Funds")</f>
        <v>Fundos Públicos</v>
      </c>
      <c r="C20" s="4">
        <v>0</v>
      </c>
      <c r="D20" s="4">
        <v>0</v>
      </c>
      <c r="E20" s="4">
        <v>0</v>
      </c>
      <c r="F20" s="4">
        <v>0</v>
      </c>
      <c r="G20" s="4">
        <v>0</v>
      </c>
      <c r="H20" s="4">
        <f t="shared" si="1"/>
        <v>0</v>
      </c>
      <c r="I20" s="253"/>
      <c r="J20" s="212"/>
    </row>
    <row r="21" spans="2:10" ht="14.1" customHeight="1">
      <c r="B21" s="125" t="str">
        <f>IF(Indice_index!$Z$1=1,"Outros Fundos","Other Funds")</f>
        <v>Outros Fundos</v>
      </c>
      <c r="C21" s="4">
        <v>0.50525372000000002</v>
      </c>
      <c r="D21" s="4">
        <v>1.34734</v>
      </c>
      <c r="E21" s="4">
        <v>0.69087600000000005</v>
      </c>
      <c r="F21" s="4">
        <v>0</v>
      </c>
      <c r="G21" s="4">
        <v>0.69087600000000005</v>
      </c>
      <c r="H21" s="4">
        <f t="shared" si="1"/>
        <v>51.277034749951753</v>
      </c>
      <c r="I21" s="253"/>
      <c r="J21" s="212"/>
    </row>
    <row r="22" spans="2:10" ht="14.1" customHeight="1">
      <c r="B22" s="125" t="str">
        <f>IF(Indice_index!$Z$1=1,"Fundo de Resolução Europeu","European Resolution Fund")</f>
        <v>Fundo de Resolução Europeu</v>
      </c>
      <c r="C22" s="4">
        <v>0</v>
      </c>
      <c r="D22" s="4">
        <v>0</v>
      </c>
      <c r="E22" s="4">
        <v>0</v>
      </c>
      <c r="F22" s="4">
        <v>0</v>
      </c>
      <c r="G22" s="4">
        <v>0</v>
      </c>
      <c r="H22" s="4">
        <f t="shared" si="1"/>
        <v>0</v>
      </c>
      <c r="I22" s="253"/>
      <c r="J22" s="212"/>
    </row>
    <row r="23" spans="2:10" ht="14.1" customHeight="1">
      <c r="B23" s="125" t="str">
        <f>IF(Indice_index!$Z$1=1,"Países Terceiros","Other Countries")</f>
        <v>Países Terceiros</v>
      </c>
      <c r="C23" s="4">
        <v>17</v>
      </c>
      <c r="D23" s="4">
        <v>15</v>
      </c>
      <c r="E23" s="4">
        <v>0</v>
      </c>
      <c r="F23" s="4">
        <v>0</v>
      </c>
      <c r="G23" s="4">
        <v>2</v>
      </c>
      <c r="H23" s="4">
        <f t="shared" si="1"/>
        <v>13.333333333333334</v>
      </c>
      <c r="I23" s="253"/>
      <c r="J23" s="212"/>
    </row>
    <row r="24" spans="2:10" ht="14.1" customHeight="1">
      <c r="B24" s="174" t="str">
        <f>IF(Indice_index!$Z$1=1,"Dotações de capital","Capital injections")</f>
        <v>Dotações de capital</v>
      </c>
      <c r="C24" s="134">
        <f>SUM(C25:C28)</f>
        <v>3814.9470678599996</v>
      </c>
      <c r="D24" s="134">
        <f t="shared" ref="D24" si="2">SUM(D25:D28)</f>
        <v>3729.8816500000003</v>
      </c>
      <c r="E24" s="134">
        <v>234.91278999999986</v>
      </c>
      <c r="F24" s="134">
        <v>76.450000000000045</v>
      </c>
      <c r="G24" s="134">
        <v>1643.668416</v>
      </c>
      <c r="H24" s="134">
        <f t="shared" si="1"/>
        <v>44.067575602566365</v>
      </c>
      <c r="I24" s="253"/>
      <c r="J24" s="212"/>
    </row>
    <row r="25" spans="2:10" ht="14.1" customHeight="1">
      <c r="B25" s="125" t="str">
        <f>IF(Indice_index!$Z$1=1,"Empresas Públicas não Financeiras","Non Financial Public Enterprises")</f>
        <v>Empresas Públicas não Financeiras</v>
      </c>
      <c r="C25" s="4">
        <v>343</v>
      </c>
      <c r="D25" s="4">
        <v>1750</v>
      </c>
      <c r="E25" s="4">
        <v>0</v>
      </c>
      <c r="F25" s="4">
        <v>0</v>
      </c>
      <c r="G25" s="4">
        <v>343</v>
      </c>
      <c r="H25" s="4">
        <f t="shared" si="1"/>
        <v>19.600000000000001</v>
      </c>
      <c r="I25" s="253"/>
      <c r="J25" s="212"/>
    </row>
    <row r="26" spans="2:10" ht="14.1" customHeight="1">
      <c r="B26" s="125" t="str">
        <f>IF(Indice_index!$Z$1=1,"Entidades Públicas Reclassificadas","Reclassified Public Entities")</f>
        <v>Entidades Públicas Reclassificadas</v>
      </c>
      <c r="C26" s="4">
        <v>3461.9123554699995</v>
      </c>
      <c r="D26" s="4">
        <v>1953.2429490000002</v>
      </c>
      <c r="E26" s="4">
        <v>234.91279</v>
      </c>
      <c r="F26" s="4">
        <v>76.449999999999932</v>
      </c>
      <c r="G26" s="4">
        <v>1300.668416</v>
      </c>
      <c r="H26" s="4">
        <f t="shared" si="1"/>
        <v>66.590201524388036</v>
      </c>
      <c r="I26" s="253"/>
      <c r="J26" s="212"/>
    </row>
    <row r="27" spans="2:10" ht="14.1" customHeight="1">
      <c r="B27" s="125" t="str">
        <f>IF(Indice_index!$Z$1=1,"Fundos Públicos","Public Funds")</f>
        <v>Fundos Públicos</v>
      </c>
      <c r="C27" s="4">
        <v>10</v>
      </c>
      <c r="D27" s="4">
        <v>20</v>
      </c>
      <c r="E27" s="4">
        <v>0</v>
      </c>
      <c r="F27" s="4">
        <v>0</v>
      </c>
      <c r="G27" s="4">
        <v>0</v>
      </c>
      <c r="H27" s="4">
        <f t="shared" si="1"/>
        <v>0</v>
      </c>
      <c r="I27" s="253"/>
      <c r="J27" s="212"/>
    </row>
    <row r="28" spans="2:10" ht="14.1" customHeight="1">
      <c r="B28" s="125" t="str">
        <f>IF(Indice_index!$Z$1=1,"Outros Fundos","Other Funds")</f>
        <v>Outros Fundos</v>
      </c>
      <c r="C28" s="4">
        <v>3.4712390000000003E-2</v>
      </c>
      <c r="D28" s="4">
        <v>6.6387010000000002</v>
      </c>
      <c r="E28" s="4">
        <v>0</v>
      </c>
      <c r="F28" s="4">
        <v>0</v>
      </c>
      <c r="G28" s="4">
        <v>0</v>
      </c>
      <c r="H28" s="4">
        <f t="shared" si="1"/>
        <v>0</v>
      </c>
      <c r="I28" s="253"/>
      <c r="J28" s="212"/>
    </row>
    <row r="29" spans="2:10" ht="14.1" customHeight="1">
      <c r="B29" s="174" t="str">
        <f>IF(Indice_index!$Z$1=1,"Aquisição de Participações","Acquisition of Shares")</f>
        <v>Aquisição de Participações</v>
      </c>
      <c r="C29" s="134">
        <v>2.57249236</v>
      </c>
      <c r="D29" s="134">
        <v>0</v>
      </c>
      <c r="E29" s="134">
        <v>0</v>
      </c>
      <c r="F29" s="134">
        <v>1.7290299999999999E-3</v>
      </c>
      <c r="G29" s="134">
        <v>2.3062299999999998E-3</v>
      </c>
      <c r="H29" s="134">
        <f t="shared" si="1"/>
        <v>0</v>
      </c>
      <c r="I29" s="253"/>
      <c r="J29" s="212"/>
    </row>
    <row r="30" spans="2:10" ht="14.1" customHeight="1">
      <c r="B30" s="174" t="str">
        <f>IF(Indice_index!$Z$1=1,"Execução de garantias","Guarantees executions")</f>
        <v>Execução de garantias</v>
      </c>
      <c r="C30" s="134">
        <v>116.00802499</v>
      </c>
      <c r="D30" s="134">
        <v>74.100000000000009</v>
      </c>
      <c r="E30" s="134">
        <v>4.9404450000000377E-2</v>
      </c>
      <c r="F30" s="134">
        <v>4.4361161400000082</v>
      </c>
      <c r="G30" s="134">
        <v>45.032115520000005</v>
      </c>
      <c r="H30" s="134">
        <f t="shared" si="1"/>
        <v>60.772085721997307</v>
      </c>
      <c r="I30" s="253"/>
      <c r="J30" s="212"/>
    </row>
    <row r="31" spans="2:10" ht="14.1" customHeight="1">
      <c r="B31" s="174" t="str">
        <f>IF(Indice_index!$Z$1=1,"Expropriações","Expropriations")</f>
        <v>Expropriações</v>
      </c>
      <c r="C31" s="134">
        <v>4.4863599999999997E-2</v>
      </c>
      <c r="D31" s="134">
        <v>1</v>
      </c>
      <c r="E31" s="134">
        <v>0</v>
      </c>
      <c r="F31" s="134">
        <v>0</v>
      </c>
      <c r="G31" s="134">
        <v>0</v>
      </c>
      <c r="H31" s="134">
        <f t="shared" si="1"/>
        <v>0</v>
      </c>
      <c r="I31" s="253"/>
      <c r="J31" s="212"/>
    </row>
    <row r="32" spans="2:10" ht="14.1" customHeight="1">
      <c r="B32" s="174" t="str">
        <f>IF(Indice_index!$Z$1=1,"Participações em organizações internacionais","International Organizations membership")</f>
        <v>Participações em organizações internacionais</v>
      </c>
      <c r="C32" s="134">
        <v>59.854262069999997</v>
      </c>
      <c r="D32" s="134">
        <v>30.387734999999999</v>
      </c>
      <c r="E32" s="134">
        <v>0</v>
      </c>
      <c r="F32" s="134">
        <v>0</v>
      </c>
      <c r="G32" s="134">
        <v>16.355146229999999</v>
      </c>
      <c r="H32" s="134">
        <f t="shared" si="1"/>
        <v>53.821537636813012</v>
      </c>
      <c r="I32" s="253"/>
      <c r="J32" s="212"/>
    </row>
    <row r="33" spans="2:10" ht="14.1" customHeight="1">
      <c r="B33" s="174" t="str">
        <f>IF(Indice_index!$Z$1=1,"Outros ativos","Other assets")</f>
        <v>Outros ativos</v>
      </c>
      <c r="C33" s="134">
        <v>0</v>
      </c>
      <c r="D33" s="134">
        <v>20</v>
      </c>
      <c r="E33" s="134">
        <v>0</v>
      </c>
      <c r="F33" s="134">
        <v>0</v>
      </c>
      <c r="G33" s="134">
        <v>0</v>
      </c>
      <c r="H33" s="134">
        <f t="shared" si="1"/>
        <v>0</v>
      </c>
      <c r="I33" s="253"/>
      <c r="J33" s="212"/>
    </row>
    <row r="34" spans="2:10" ht="14.1" customHeight="1">
      <c r="B34" s="92" t="str">
        <f>IF(Indice_index!$Z$1=1,"Total dos ativos financeiros","Financial Assets - Total")</f>
        <v>Total dos ativos financeiros</v>
      </c>
      <c r="C34" s="27">
        <f>C12+C13+C24+C29+C30+C31+C32+C33</f>
        <v>4601.0229289300005</v>
      </c>
      <c r="D34" s="27">
        <f t="shared" ref="D34" si="3">D12+D13+D24+D29+D30+D31+D32+D33</f>
        <v>10312.034088</v>
      </c>
      <c r="E34" s="27">
        <v>235.65307044999986</v>
      </c>
      <c r="F34" s="27">
        <v>165.61497717000003</v>
      </c>
      <c r="G34" s="27">
        <v>2182.3995653400002</v>
      </c>
      <c r="H34" s="27">
        <f t="shared" si="1"/>
        <v>21.16361861021808</v>
      </c>
      <c r="I34" s="253"/>
      <c r="J34" s="212"/>
    </row>
    <row r="35" spans="2:10" ht="15" customHeight="1">
      <c r="B35" s="161" t="str">
        <f>IF(Indice_index!$Z$1=1,"Fonte: Ministério das Finanças.","Source: Ministry of Finance.")</f>
        <v>Fonte: Ministério das Finanças.</v>
      </c>
      <c r="C35" s="9"/>
      <c r="D35" s="9"/>
      <c r="E35" s="9"/>
      <c r="F35" s="9"/>
      <c r="G35" s="9"/>
      <c r="H35" s="9"/>
      <c r="I35" s="9"/>
    </row>
    <row r="36" spans="2:10" ht="15" customHeight="1">
      <c r="B36" s="434"/>
      <c r="C36" s="434"/>
      <c r="D36" s="434"/>
      <c r="E36" s="434"/>
      <c r="F36" s="434"/>
      <c r="G36" s="434"/>
      <c r="H36" s="434"/>
    </row>
    <row r="37" spans="2:10" ht="15" customHeight="1"/>
    <row r="38" spans="2:10" ht="14.85" customHeight="1"/>
  </sheetData>
  <mergeCells count="5">
    <mergeCell ref="B10:B11"/>
    <mergeCell ref="E10:F10"/>
    <mergeCell ref="H10:H11"/>
    <mergeCell ref="B36:H36"/>
    <mergeCell ref="G10:G11"/>
  </mergeCells>
  <conditionalFormatting sqref="C12:H33">
    <cfRule type="cellIs" dxfId="29"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ignoredErrors>
    <ignoredError sqref="D13 C24:D24"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5" zeroHeight="1"/>
  <cols>
    <col min="1" max="1" width="8.5703125" style="93" customWidth="1"/>
    <col min="2" max="2" width="47.42578125" style="93" customWidth="1"/>
    <col min="3" max="6" width="9.5703125" style="93" customWidth="1"/>
    <col min="7" max="9" width="8.5703125" style="93" customWidth="1"/>
    <col min="10" max="16384" width="8.5703125" hidden="1"/>
  </cols>
  <sheetData>
    <row r="1" spans="1:9"/>
    <row r="2" spans="1:9"/>
    <row r="3" spans="1:9"/>
    <row r="4" spans="1:9"/>
    <row r="5" spans="1:9" ht="18" customHeight="1">
      <c r="A5"/>
      <c r="B5" s="269" t="str">
        <f>IF(Indice_index!$Z$1=1,"ANEXOS ESTATÍSTICOS","STATISTICAL ANNEXES")</f>
        <v>ANEXOS ESTATÍSTICOS</v>
      </c>
      <c r="C5"/>
      <c r="D5"/>
      <c r="E5"/>
      <c r="F5"/>
      <c r="G5"/>
      <c r="H5"/>
      <c r="I5"/>
    </row>
    <row r="6" spans="1:9" ht="18" customHeight="1">
      <c r="A6"/>
      <c r="B6" s="270" t="str">
        <f>IF(Indice_index!$Z$1=1,"Setembro de 2025","September 2025")</f>
        <v>Setembro de 2025</v>
      </c>
      <c r="C6"/>
      <c r="D6"/>
      <c r="E6"/>
      <c r="F6"/>
      <c r="G6"/>
      <c r="H6"/>
      <c r="I6"/>
    </row>
    <row r="7" spans="1:9" ht="48.75" customHeight="1">
      <c r="B7" s="12"/>
      <c r="C7" s="13"/>
      <c r="D7" s="11"/>
      <c r="E7" s="11"/>
      <c r="F7" s="11"/>
      <c r="G7" s="11"/>
      <c r="H7" s="11"/>
    </row>
    <row r="8" spans="1:9"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1:9">
      <c r="B9" s="3" t="str">
        <f>+'3 - Conta AC + SS'!B9</f>
        <v>Período: janeiro a setembro</v>
      </c>
      <c r="C9" s="3"/>
      <c r="D9" s="3"/>
      <c r="E9" s="3"/>
      <c r="F9" s="3"/>
      <c r="G9" s="3"/>
      <c r="H9" s="3" t="str">
        <f>IF(Indice_index!$Z$1=1,"€ Milhões","€ Millions")</f>
        <v>€ Milhões</v>
      </c>
    </row>
    <row r="10" spans="1:9" ht="26.85" customHeight="1">
      <c r="B10" s="390"/>
      <c r="C10" s="22" t="str">
        <f>IF(Indice_index!$Z$1=1,"Execução provisória","Provisional execution")</f>
        <v>Execução provisória</v>
      </c>
      <c r="D10" s="22" t="str">
        <f>IF(Indice_index!$Z$1=1,"Orçamento Inicial","Budget")</f>
        <v>Orçamento Inicial</v>
      </c>
      <c r="E10" s="391" t="str">
        <f>IF(Indice_index!$Z$1=1,"Execução Acumulada","Accumulated Execution")</f>
        <v>Execução Acumulada</v>
      </c>
      <c r="F10" s="388"/>
      <c r="G10" s="391" t="str">
        <f>IF(Indice_index!$Z$1=1,"Variação Homóloga Acumulada","YOY Change Rate")</f>
        <v>Variação Homóloga Acumulada</v>
      </c>
      <c r="H10" s="388"/>
    </row>
    <row r="11" spans="1:9" ht="26.85" customHeight="1">
      <c r="B11" s="389"/>
      <c r="C11" s="22">
        <v>2024</v>
      </c>
      <c r="D11" s="22">
        <v>2025</v>
      </c>
      <c r="E11" s="22">
        <v>2024</v>
      </c>
      <c r="F11" s="22">
        <v>2025</v>
      </c>
      <c r="G11" s="22" t="str">
        <f>IF(Indice_index!$Z$1=1,"TVHA (%)","YOY Change Rate (%)")</f>
        <v>TVHA (%)</v>
      </c>
      <c r="H11" s="22" t="str">
        <f>IF(Indice_index!$Z$1=1,"Contributo VHA (pp)","YOY Change Contrib. (pp)")</f>
        <v>Contributo VHA (pp)</v>
      </c>
    </row>
    <row r="12" spans="1:9" s="193" customFormat="1" ht="14.1" customHeight="1">
      <c r="B12" s="174" t="str">
        <f>IF(Indice_index!$Z$1=1,"Receita corrente","Current revenue")</f>
        <v>Receita corrente</v>
      </c>
      <c r="C12" s="134">
        <f>C17+C13</f>
        <v>14046.44680908</v>
      </c>
      <c r="D12" s="134">
        <f t="shared" ref="D12" si="0">D17+D13</f>
        <v>15951.58</v>
      </c>
      <c r="E12" s="134">
        <v>10417.796895089999</v>
      </c>
      <c r="F12" s="134">
        <v>11016.595300039999</v>
      </c>
      <c r="G12" s="134">
        <v>5.7478410356821046</v>
      </c>
      <c r="H12" s="134">
        <v>5.7146539265420957</v>
      </c>
    </row>
    <row r="13" spans="1:9" s="193" customFormat="1" ht="14.1" customHeight="1">
      <c r="B13" s="125" t="str">
        <f>IF(Indice_index!$Z$1=1,"Receita fiscal","Tax")</f>
        <v>Receita fiscal</v>
      </c>
      <c r="C13" s="4">
        <v>108.5</v>
      </c>
      <c r="D13" s="4">
        <v>128.6</v>
      </c>
      <c r="E13" s="4">
        <v>82.2</v>
      </c>
      <c r="F13" s="4">
        <v>90.3</v>
      </c>
      <c r="G13" s="4">
        <v>9.8540145985401377</v>
      </c>
      <c r="H13" s="4">
        <v>7.7302638788518716E-2</v>
      </c>
    </row>
    <row r="14" spans="1:9" s="193" customFormat="1" ht="14.1" customHeight="1">
      <c r="B14" s="172" t="str">
        <f>IF(Indice_index!$Z$1=1,"Impostos diretos","Direct taxes")</f>
        <v>Impostos diretos</v>
      </c>
      <c r="C14" s="4">
        <v>0</v>
      </c>
      <c r="D14" s="4">
        <v>0</v>
      </c>
      <c r="E14" s="4">
        <v>0</v>
      </c>
      <c r="F14" s="4">
        <v>0</v>
      </c>
      <c r="G14" s="4">
        <v>0</v>
      </c>
      <c r="H14" s="4">
        <v>0</v>
      </c>
    </row>
    <row r="15" spans="1:9" s="193" customFormat="1" ht="14.1" customHeight="1">
      <c r="B15" s="172" t="str">
        <f>IF(Indice_index!$Z$1=1,"Impostos indiretos","Indirect taxes")</f>
        <v>Impostos indiretos</v>
      </c>
      <c r="C15" s="4">
        <v>108.5</v>
      </c>
      <c r="D15" s="4">
        <v>128.6</v>
      </c>
      <c r="E15" s="4">
        <v>82.2</v>
      </c>
      <c r="F15" s="4">
        <v>90.3</v>
      </c>
      <c r="G15" s="4">
        <v>9.8540145985401377</v>
      </c>
      <c r="H15" s="4">
        <v>7.7302638788518716E-2</v>
      </c>
    </row>
    <row r="16" spans="1:9" s="193" customFormat="1" ht="14.1" customHeight="1">
      <c r="B16" s="125" t="str">
        <f>IF(Indice_index!$Z$1=1,"Contribuições de Segurança Social","Social security contributions")</f>
        <v>Contribuições de Segurança Social</v>
      </c>
      <c r="C16" s="4">
        <v>0</v>
      </c>
      <c r="D16" s="4">
        <v>0</v>
      </c>
      <c r="E16" s="4">
        <v>0</v>
      </c>
      <c r="F16" s="4">
        <v>0</v>
      </c>
      <c r="G16" s="4">
        <v>0</v>
      </c>
      <c r="H16" s="4">
        <v>0</v>
      </c>
    </row>
    <row r="17" spans="2:8" s="193" customFormat="1" ht="14.1" customHeight="1">
      <c r="B17" s="125" t="str">
        <f>IF(Indice_index!$Z$1=1,"Outras receitas correntes","Other current revenue")</f>
        <v>Outras receitas correntes</v>
      </c>
      <c r="C17" s="4">
        <v>13937.94680908</v>
      </c>
      <c r="D17" s="4">
        <v>15822.98</v>
      </c>
      <c r="E17" s="4">
        <v>10335.596895089999</v>
      </c>
      <c r="F17" s="4">
        <v>10926.295300039999</v>
      </c>
      <c r="G17" s="4">
        <v>5.715184240889041</v>
      </c>
      <c r="H17" s="4">
        <v>5.6373512877535914</v>
      </c>
    </row>
    <row r="18" spans="2:8" s="193" customFormat="1" ht="14.1" customHeight="1">
      <c r="B18" s="174" t="str">
        <f>IF(Indice_index!$Z$1=1,"Receita de capital","Capital revenue")</f>
        <v>Receita de capital</v>
      </c>
      <c r="C18" s="134">
        <v>128.90000000000003</v>
      </c>
      <c r="D18" s="134">
        <v>578.4</v>
      </c>
      <c r="E18" s="134">
        <v>60.5</v>
      </c>
      <c r="F18" s="134">
        <v>146.70000000000002</v>
      </c>
      <c r="G18" s="134">
        <v>142.47933884297524</v>
      </c>
      <c r="H18" s="134">
        <v>0.8226527732802863</v>
      </c>
    </row>
    <row r="19" spans="2:8" ht="14.1" customHeight="1">
      <c r="B19" s="30" t="str">
        <f>IF(Indice_index!$Z$1=1,"Receita efetiva","Effective revenue")</f>
        <v>Receita efetiva</v>
      </c>
      <c r="C19" s="18">
        <f>C12+C18</f>
        <v>14175.34680908</v>
      </c>
      <c r="D19" s="18">
        <f>D12+D18</f>
        <v>16529.98</v>
      </c>
      <c r="E19" s="18">
        <v>10478.296895089999</v>
      </c>
      <c r="F19" s="18">
        <v>11163.295300039999</v>
      </c>
      <c r="G19" s="18">
        <v>6.5373066998223885</v>
      </c>
      <c r="H19" s="18"/>
    </row>
    <row r="20" spans="2:8" s="193" customFormat="1" ht="14.1" customHeight="1">
      <c r="B20" s="174" t="str">
        <f>IF(Indice_index!$Z$1=1,"Despesa corrente","Current expenditure")</f>
        <v>Despesa corrente</v>
      </c>
      <c r="C20" s="134">
        <f>C21+C25+C31+C32+C33</f>
        <v>15177.6</v>
      </c>
      <c r="D20" s="134">
        <f>D21+D25+D31+D32+D33</f>
        <v>16168.800625000002</v>
      </c>
      <c r="E20" s="134">
        <v>10757.4</v>
      </c>
      <c r="F20" s="134">
        <v>11831.199999999999</v>
      </c>
      <c r="G20" s="134">
        <v>9.9819659025415</v>
      </c>
      <c r="H20" s="134">
        <v>9.7871758647404583</v>
      </c>
    </row>
    <row r="21" spans="2:8" s="193" customFormat="1" ht="14.1" customHeight="1">
      <c r="B21" s="125" t="str">
        <f>IF(Indice_index!$Z$1=1,"Despesas com o pessoal","Employees")</f>
        <v>Despesas com o pessoal</v>
      </c>
      <c r="C21" s="4">
        <f>SUM(C22:C24)</f>
        <v>6520.4000000000005</v>
      </c>
      <c r="D21" s="4">
        <f t="shared" ref="D21" si="1">SUM(D22:D24)</f>
        <v>7055.1006250000009</v>
      </c>
      <c r="E21" s="4">
        <v>4705.2</v>
      </c>
      <c r="F21" s="4">
        <v>5255.7</v>
      </c>
      <c r="G21" s="4">
        <v>11.699821474113747</v>
      </c>
      <c r="H21" s="4">
        <v>5.0175454586884198</v>
      </c>
    </row>
    <row r="22" spans="2:8" s="193" customFormat="1" ht="14.1" customHeight="1">
      <c r="B22" s="172" t="str">
        <f>IF(Indice_index!$Z$1=1,"Remunerações certas e permanentes","Certain and permanent wages")</f>
        <v>Remunerações certas e permanentes</v>
      </c>
      <c r="C22" s="4">
        <v>4220.6000000000004</v>
      </c>
      <c r="D22" s="4">
        <v>4468.45</v>
      </c>
      <c r="E22" s="4">
        <v>3054</v>
      </c>
      <c r="F22" s="4">
        <v>3430.1</v>
      </c>
      <c r="G22" s="4">
        <v>12.314996725605761</v>
      </c>
      <c r="H22" s="4">
        <v>3.4279724741375377</v>
      </c>
    </row>
    <row r="23" spans="2:8" s="193" customFormat="1" ht="14.1" customHeight="1">
      <c r="B23" s="172" t="str">
        <f>IF(Indice_index!$Z$1=1,"Abonos variáveis ou eventuais","Variable or contingent bonuses")</f>
        <v>Abonos variáveis ou eventuais</v>
      </c>
      <c r="C23" s="4">
        <v>1100</v>
      </c>
      <c r="D23" s="4">
        <v>1256.9000000000001</v>
      </c>
      <c r="E23" s="4">
        <v>794.1</v>
      </c>
      <c r="F23" s="4">
        <v>858.40000000000009</v>
      </c>
      <c r="G23" s="4">
        <v>8.0972169751920493</v>
      </c>
      <c r="H23" s="4">
        <v>0.58606389281319848</v>
      </c>
    </row>
    <row r="24" spans="2:8" s="193" customFormat="1" ht="14.1" customHeight="1">
      <c r="B24" s="172" t="str">
        <f>IF(Indice_index!$Z$1=1,"Segurança Social","Social security")</f>
        <v>Segurança Social</v>
      </c>
      <c r="C24" s="4">
        <v>1199.8</v>
      </c>
      <c r="D24" s="4">
        <v>1329.7506250000001</v>
      </c>
      <c r="E24" s="4">
        <v>857.1</v>
      </c>
      <c r="F24" s="4">
        <v>967.2</v>
      </c>
      <c r="G24" s="4">
        <v>12.845642282114108</v>
      </c>
      <c r="H24" s="4">
        <v>1.0035090917376843</v>
      </c>
    </row>
    <row r="25" spans="2:8" s="193" customFormat="1" ht="14.1" customHeight="1">
      <c r="B25" s="125" t="str">
        <f>IF(Indice_index!$Z$1=1,"Aquisição de bens e serviços","Purchase of goods and services")</f>
        <v>Aquisição de bens e serviços</v>
      </c>
      <c r="C25" s="4">
        <f>SUM(C26:C30)</f>
        <v>8424.5</v>
      </c>
      <c r="D25" s="4">
        <f t="shared" ref="D25" si="2">SUM(D26:D30)</f>
        <v>8889.3000000000011</v>
      </c>
      <c r="E25" s="4">
        <v>5888.5</v>
      </c>
      <c r="F25" s="4">
        <v>6416.7</v>
      </c>
      <c r="G25" s="4">
        <v>8.970026322492993</v>
      </c>
      <c r="H25" s="4">
        <v>4.8142915736225662</v>
      </c>
    </row>
    <row r="26" spans="2:8" s="193" customFormat="1" ht="14.1" customHeight="1">
      <c r="B26" s="172" t="str">
        <f>IF(Indice_index!$Z$1=1,"Produtos vendidos em farmácias","Medicines")</f>
        <v>Produtos vendidos em farmácias</v>
      </c>
      <c r="C26" s="4">
        <v>1813.2</v>
      </c>
      <c r="D26" s="4">
        <v>1897.1999999999998</v>
      </c>
      <c r="E26" s="4">
        <v>1332.1</v>
      </c>
      <c r="F26" s="4">
        <v>1502.7999999999997</v>
      </c>
      <c r="G26" s="4">
        <v>12.814353276781009</v>
      </c>
      <c r="H26" s="4">
        <v>1.5558492457731379</v>
      </c>
    </row>
    <row r="27" spans="2:8" s="193" customFormat="1" ht="24" customHeight="1">
      <c r="B27" s="341" t="str">
        <f>IF(Indice_index!$Z$1=1,"Meios complementares de diagnóstico e terapêutica e outros subcontratos","Complementary diagnosis and therapeutic means and other subcontracts")</f>
        <v>Meios complementares de diagnóstico e terapêutica e outros subcontratos</v>
      </c>
      <c r="C27" s="4">
        <v>1916.1</v>
      </c>
      <c r="D27" s="4">
        <v>2040.6000000000008</v>
      </c>
      <c r="E27" s="4">
        <v>1330.5</v>
      </c>
      <c r="F27" s="4">
        <v>1455</v>
      </c>
      <c r="G27" s="4">
        <v>9.3573844419391214</v>
      </c>
      <c r="H27" s="4">
        <v>1.1347582372510596</v>
      </c>
    </row>
    <row r="28" spans="2:8" s="193" customFormat="1" ht="14.1" customHeight="1">
      <c r="B28" s="172" t="str">
        <f>IF(Indice_index!$Z$1=1,"Parcerias público-privadas (PPP)","Public-Private Partnerships (PPP)")</f>
        <v>Parcerias público-privadas (PPP)</v>
      </c>
      <c r="C28" s="4">
        <v>199.2</v>
      </c>
      <c r="D28" s="4">
        <v>180.4</v>
      </c>
      <c r="E28" s="4">
        <v>126.9</v>
      </c>
      <c r="F28" s="4">
        <v>151.80000000000001</v>
      </c>
      <c r="G28" s="4">
        <v>19.621749408983455</v>
      </c>
      <c r="H28" s="4">
        <v>0.22695164745021196</v>
      </c>
    </row>
    <row r="29" spans="2:8" s="193" customFormat="1" ht="14.1" customHeight="1">
      <c r="B29" s="172" t="str">
        <f>IF(Indice_index!$Z$1=1,"Aquisição de bens (compras inventários)","Purchase of goods (inventories)")</f>
        <v>Aquisição de bens (compras inventários)</v>
      </c>
      <c r="C29" s="4">
        <v>3074.9999999999995</v>
      </c>
      <c r="D29" s="4">
        <v>3346.4</v>
      </c>
      <c r="E29" s="4">
        <v>2102</v>
      </c>
      <c r="F29" s="4">
        <v>2217.6</v>
      </c>
      <c r="G29" s="4">
        <v>5.4995242626070366</v>
      </c>
      <c r="H29" s="4">
        <v>1.0536389737045975</v>
      </c>
    </row>
    <row r="30" spans="2:8" s="193" customFormat="1" ht="14.1" customHeight="1">
      <c r="B30" s="172" t="str">
        <f>IF(Indice_index!$Z$1=1,"Outras aquisições de bens e serviços","Other acquisitions of goods and services")</f>
        <v>Outras aquisições de bens e serviços</v>
      </c>
      <c r="C30" s="4">
        <v>1421</v>
      </c>
      <c r="D30" s="4">
        <v>1424.7</v>
      </c>
      <c r="E30" s="4">
        <v>997</v>
      </c>
      <c r="F30" s="4">
        <v>1089.5</v>
      </c>
      <c r="G30" s="4">
        <v>9.2778335005015045</v>
      </c>
      <c r="H30" s="4">
        <v>0.84309346944355834</v>
      </c>
    </row>
    <row r="31" spans="2:8" s="193" customFormat="1" ht="14.1" customHeight="1">
      <c r="B31" s="125" t="str">
        <f>IF(Indice_index!$Z$1=1,"Juros e outros encargos","Interests and other charges")</f>
        <v>Juros e outros encargos</v>
      </c>
      <c r="C31" s="4">
        <v>3.3</v>
      </c>
      <c r="D31" s="4">
        <v>0.5</v>
      </c>
      <c r="E31" s="4">
        <v>2.2999999999999998</v>
      </c>
      <c r="F31" s="4">
        <v>3.6</v>
      </c>
      <c r="G31" s="4">
        <v>56.521739130434803</v>
      </c>
      <c r="H31" s="4">
        <v>1.1848881192179741E-2</v>
      </c>
    </row>
    <row r="32" spans="2:8" s="193" customFormat="1" ht="14.1" customHeight="1">
      <c r="B32" s="125" t="str">
        <f>IF(Indice_index!$Z$1=1,"Transferências correntes","Current transfers")</f>
        <v>Transferências correntes</v>
      </c>
      <c r="C32" s="4">
        <v>222.6</v>
      </c>
      <c r="D32" s="4">
        <v>202.3</v>
      </c>
      <c r="E32" s="4">
        <v>156.29999999999998</v>
      </c>
      <c r="F32" s="4">
        <v>153.6</v>
      </c>
      <c r="G32" s="4">
        <v>-1.7274472168905879</v>
      </c>
      <c r="H32" s="4">
        <v>-2.4609214783757816E-2</v>
      </c>
    </row>
    <row r="33" spans="2:8" s="193" customFormat="1" ht="14.1" customHeight="1">
      <c r="B33" s="125" t="str">
        <f>IF(Indice_index!$Z$1=1,"Outras despesas correntes","Other current expenditures")</f>
        <v>Outras despesas correntes</v>
      </c>
      <c r="C33" s="4">
        <v>6.8</v>
      </c>
      <c r="D33" s="4">
        <v>21.6</v>
      </c>
      <c r="E33" s="4">
        <v>5.0999999999999996</v>
      </c>
      <c r="F33" s="4">
        <v>1.6</v>
      </c>
      <c r="G33" s="4">
        <v>-68.627450980392155</v>
      </c>
      <c r="H33" s="4">
        <v>-3.1900833978945449E-2</v>
      </c>
    </row>
    <row r="34" spans="2:8" s="193" customFormat="1" ht="14.1" customHeight="1">
      <c r="B34" s="174" t="str">
        <f>IF(Indice_index!$Z$1=1,"Despesa de capital","Capital expenditure")</f>
        <v>Despesa de capital</v>
      </c>
      <c r="C34" s="134">
        <f>C35+C36+C37</f>
        <v>375.29999999999995</v>
      </c>
      <c r="D34" s="134">
        <f t="shared" ref="D34" si="3">D35+D36+D37</f>
        <v>578.40000000000009</v>
      </c>
      <c r="E34" s="134">
        <v>214.1</v>
      </c>
      <c r="F34" s="134">
        <v>275.3</v>
      </c>
      <c r="G34" s="134">
        <v>28.58477347034097</v>
      </c>
      <c r="H34" s="134">
        <v>0.55780886843184629</v>
      </c>
    </row>
    <row r="35" spans="2:8" s="193" customFormat="1" ht="14.1" customHeight="1">
      <c r="B35" s="125" t="str">
        <f>IF(Indice_index!$Z$1=1,"Investimentos","Investments")</f>
        <v>Investimentos</v>
      </c>
      <c r="C35" s="4">
        <v>357.4</v>
      </c>
      <c r="D35" s="4">
        <v>334.40000000000003</v>
      </c>
      <c r="E35" s="4">
        <v>197.1</v>
      </c>
      <c r="F35" s="4">
        <v>200.6</v>
      </c>
      <c r="G35" s="4">
        <v>1.7757483510908167</v>
      </c>
      <c r="H35" s="4">
        <v>3.1900833978945449E-2</v>
      </c>
    </row>
    <row r="36" spans="2:8" s="193" customFormat="1" ht="14.1" customHeight="1">
      <c r="B36" s="125" t="str">
        <f>IF(Indice_index!$Z$1=1,"Transferências de capital","Capital transfers")</f>
        <v>Transferências de capital</v>
      </c>
      <c r="C36" s="4">
        <v>17.899999999999999</v>
      </c>
      <c r="D36" s="4">
        <v>244</v>
      </c>
      <c r="E36" s="4">
        <v>17</v>
      </c>
      <c r="F36" s="4">
        <v>74.7</v>
      </c>
      <c r="G36" s="4">
        <v>339.41176470588238</v>
      </c>
      <c r="H36" s="4">
        <v>0.52590803445290069</v>
      </c>
    </row>
    <row r="37" spans="2:8" s="193" customFormat="1" ht="14.1" customHeight="1">
      <c r="B37" s="125" t="str">
        <f>IF(Indice_index!$Z$1=1,"Outras despesas de capital","Other capital expenditures")</f>
        <v>Outras despesas de capital</v>
      </c>
      <c r="C37" s="4">
        <v>0</v>
      </c>
      <c r="D37" s="4">
        <v>0</v>
      </c>
      <c r="E37" s="4">
        <v>0</v>
      </c>
      <c r="F37" s="4">
        <v>0</v>
      </c>
      <c r="G37" s="4">
        <v>0</v>
      </c>
      <c r="H37" s="4">
        <v>0</v>
      </c>
    </row>
    <row r="38" spans="2:8" ht="14.1" customHeight="1">
      <c r="B38" s="30" t="str">
        <f>IF(Indice_index!$Z$1=1,"Despesa efetiva","Effective expenditure")</f>
        <v>Despesa efetiva</v>
      </c>
      <c r="C38" s="18">
        <f>C20+C34</f>
        <v>15552.9</v>
      </c>
      <c r="D38" s="18">
        <f t="shared" ref="D38" si="4">D20+D34</f>
        <v>16747.200625000001</v>
      </c>
      <c r="E38" s="18">
        <v>10971.5</v>
      </c>
      <c r="F38" s="18">
        <v>12106.499999999998</v>
      </c>
      <c r="G38" s="18">
        <v>10.344984733172295</v>
      </c>
      <c r="H38" s="18"/>
    </row>
    <row r="39" spans="2:8" ht="14.1" customHeight="1">
      <c r="B39" s="30" t="str">
        <f>IF(Indice_index!$Z$1=1,"Saldo global","Overall balance")</f>
        <v>Saldo global</v>
      </c>
      <c r="C39" s="18">
        <f>C19-C38</f>
        <v>-1377.5531909199999</v>
      </c>
      <c r="D39" s="18">
        <f t="shared" ref="D39" si="5">D19-D38</f>
        <v>-217.22062500000175</v>
      </c>
      <c r="E39" s="18">
        <v>-493.20310491000055</v>
      </c>
      <c r="F39" s="18">
        <v>-943.20469995999883</v>
      </c>
      <c r="G39" s="18"/>
      <c r="H39" s="18"/>
    </row>
    <row r="40" spans="2:8" ht="15" customHeight="1">
      <c r="B40" s="9" t="str">
        <f>IF(Indice_index!$Z$1=1,"Fonte: Administração Central do Sistema de Saúde, I.P.","Source: Health System Central Administration.")</f>
        <v>Fonte: Administração Central do Sistema de Saúde, I.P.</v>
      </c>
      <c r="C40" s="9"/>
      <c r="D40" s="154"/>
      <c r="E40" s="9"/>
      <c r="F40" s="9"/>
      <c r="G40" s="9"/>
      <c r="H40" s="9"/>
    </row>
    <row r="41" spans="2:8" ht="15" customHeight="1">
      <c r="B41" s="9"/>
      <c r="C41" s="9"/>
      <c r="D41" s="154"/>
      <c r="E41" s="9"/>
      <c r="F41" s="9"/>
      <c r="G41" s="9"/>
      <c r="H41" s="9"/>
    </row>
    <row r="42" spans="2:8"/>
  </sheetData>
  <mergeCells count="3">
    <mergeCell ref="B10:B11"/>
    <mergeCell ref="E10:F10"/>
    <mergeCell ref="G10:H10"/>
  </mergeCells>
  <conditionalFormatting sqref="C12:H18">
    <cfRule type="cellIs" dxfId="28" priority="2" operator="equal">
      <formula>0</formula>
    </cfRule>
  </conditionalFormatting>
  <conditionalFormatting sqref="C20:H37">
    <cfRule type="cellIs" dxfId="27"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ignoredErrors>
    <ignoredError sqref="C25:D25"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101"/>
  <sheetViews>
    <sheetView showGridLines="0" zoomScaleNormal="100" workbookViewId="0"/>
  </sheetViews>
  <sheetFormatPr defaultColWidth="0" defaultRowHeight="14.85" customHeight="1" zeroHeight="1"/>
  <cols>
    <col min="1" max="1" width="8.5703125" style="93" customWidth="1"/>
    <col min="2" max="2" width="2.42578125" style="79" customWidth="1"/>
    <col min="3" max="3" width="27.5703125" style="79" customWidth="1"/>
    <col min="4" max="17" width="8.42578125" style="79" customWidth="1"/>
    <col min="18" max="18" width="11" style="79" bestFit="1" customWidth="1"/>
    <col min="19" max="19" width="0" hidden="1" customWidth="1"/>
    <col min="20" max="16384" width="9.42578125" hidden="1"/>
  </cols>
  <sheetData>
    <row r="1" spans="1:18" ht="14.85" customHeight="1"/>
    <row r="2" spans="1:18" ht="15"/>
    <row r="3" spans="1:18" ht="15"/>
    <row r="4" spans="1:18" ht="15"/>
    <row r="5" spans="1:18" ht="18" customHeight="1">
      <c r="A5"/>
      <c r="B5" s="269" t="str">
        <f>IF(Indice_index!$Z$1=1,"ANEXOS ESTATÍSTICOS","STATISTICAL ANNEXES")</f>
        <v>ANEXOS ESTATÍSTICOS</v>
      </c>
      <c r="C5"/>
      <c r="D5"/>
      <c r="E5"/>
      <c r="F5"/>
      <c r="G5"/>
      <c r="H5"/>
      <c r="I5"/>
      <c r="J5"/>
      <c r="K5"/>
      <c r="L5"/>
      <c r="M5"/>
      <c r="N5"/>
      <c r="O5"/>
      <c r="P5"/>
      <c r="Q5"/>
      <c r="R5"/>
    </row>
    <row r="6" spans="1:18" ht="18" customHeight="1">
      <c r="A6"/>
      <c r="B6" s="270" t="str">
        <f>IF(Indice_index!$Z$1=1,"Setembro de 2025","September 2025")</f>
        <v>Setembro de 2025</v>
      </c>
      <c r="C6"/>
      <c r="D6"/>
      <c r="E6"/>
      <c r="F6"/>
      <c r="G6"/>
      <c r="H6"/>
      <c r="I6"/>
      <c r="J6"/>
      <c r="K6"/>
      <c r="L6"/>
      <c r="M6"/>
      <c r="N6"/>
      <c r="O6"/>
      <c r="P6"/>
      <c r="Q6"/>
      <c r="R6"/>
    </row>
    <row r="7" spans="1:18" ht="49.5" customHeight="1">
      <c r="B7" s="12"/>
      <c r="C7" s="13"/>
      <c r="D7" s="11"/>
      <c r="E7" s="11"/>
      <c r="F7" s="11"/>
      <c r="G7" s="11"/>
      <c r="H7" s="11"/>
      <c r="I7" s="11"/>
      <c r="J7" s="11"/>
      <c r="K7" s="10"/>
      <c r="L7" s="10"/>
      <c r="M7" s="10"/>
      <c r="N7" s="10"/>
      <c r="O7" s="10"/>
      <c r="P7"/>
      <c r="Q7"/>
    </row>
    <row r="8" spans="1:18"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1:18" ht="15">
      <c r="B9" s="3" t="str">
        <f>+'3 - Conta AC + SS'!B9</f>
        <v>Período: janeiro a setembro</v>
      </c>
      <c r="C9" s="3"/>
      <c r="D9" s="3"/>
      <c r="E9" s="3"/>
      <c r="F9" s="3"/>
      <c r="G9" s="3"/>
      <c r="H9" s="3"/>
      <c r="I9" s="3"/>
      <c r="J9" s="3"/>
      <c r="K9" s="3"/>
      <c r="L9" s="3"/>
      <c r="M9" s="3"/>
      <c r="N9" s="3"/>
      <c r="O9" s="3"/>
      <c r="P9" s="3"/>
      <c r="Q9" s="3" t="str">
        <f>IF(Indice_index!$Z$1=1,"€ Milhões","€ Millions")</f>
        <v>€ Milhões</v>
      </c>
    </row>
    <row r="10" spans="1:18" ht="14.1" customHeight="1">
      <c r="B10" s="387"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87"/>
      <c r="D10" s="387"/>
      <c r="E10" s="387"/>
      <c r="F10" s="387"/>
      <c r="G10" s="387"/>
      <c r="H10" s="436"/>
      <c r="I10" s="387"/>
      <c r="J10" s="387"/>
      <c r="K10" s="387"/>
      <c r="L10" s="387"/>
      <c r="M10" s="387"/>
      <c r="N10" s="387"/>
      <c r="O10" s="387"/>
      <c r="P10" s="387"/>
      <c r="Q10" s="388"/>
    </row>
    <row r="11" spans="1:18" ht="14.1" customHeight="1">
      <c r="B11" s="436" t="str">
        <f>IF(Indice_index!$Z$1=1,"Natureza da Dívida","Nature of Debt")</f>
        <v>Natureza da Dívida</v>
      </c>
      <c r="C11" s="430"/>
      <c r="D11" s="391">
        <v>2024</v>
      </c>
      <c r="E11" s="387"/>
      <c r="F11" s="387"/>
      <c r="G11" s="388"/>
      <c r="H11" s="391">
        <v>2025</v>
      </c>
      <c r="I11" s="387"/>
      <c r="J11" s="387"/>
      <c r="K11" s="387"/>
      <c r="L11" s="387"/>
      <c r="M11" s="387"/>
      <c r="N11" s="387"/>
      <c r="O11" s="387"/>
      <c r="P11" s="388"/>
      <c r="Q11" s="410" t="str">
        <f>IF(Indice_index!$Z$1=1,"Variação Homóloga","YOY change")</f>
        <v>Variação Homóloga</v>
      </c>
    </row>
    <row r="12" spans="1:18" ht="14.1" customHeight="1">
      <c r="B12" s="374"/>
      <c r="C12" s="431"/>
      <c r="D12" s="22" t="str">
        <f>IF(Indice_index!$Z$1=1,"set*","Sep*")</f>
        <v>set*</v>
      </c>
      <c r="E12" s="22" t="str">
        <f>IF(Indice_index!$Z$1=1,"out*","Oct*")</f>
        <v>out*</v>
      </c>
      <c r="F12" s="22" t="str">
        <f>IF(Indice_index!$Z$1=1,"nov*","Nov*")</f>
        <v>nov*</v>
      </c>
      <c r="G12" s="167" t="str">
        <f>IF(Indice_index!$Z$1=1,"dez*","Dec*")</f>
        <v>dez*</v>
      </c>
      <c r="H12" s="22" t="str">
        <f>IF(Indice_index!$Z$1=1,"jan*","Jan*")</f>
        <v>jan*</v>
      </c>
      <c r="I12" s="167" t="str">
        <f>IF(Indice_index!$Z$1=1,"fev*","Feb*")</f>
        <v>fev*</v>
      </c>
      <c r="J12" s="22" t="str">
        <f>IF(Indice_index!$Z$1=1,"mar*","Mar*")</f>
        <v>mar*</v>
      </c>
      <c r="K12" s="22" t="str">
        <f>IF(Indice_index!$Z$1=1,"abr*","Apr*")</f>
        <v>abr*</v>
      </c>
      <c r="L12" s="22" t="str">
        <f>IF(Indice_index!$Z$1=1,"mai*","May*")</f>
        <v>mai*</v>
      </c>
      <c r="M12" s="22" t="str">
        <f>IF(Indice_index!$Z$1=1,"jun*","Jun*")</f>
        <v>jun*</v>
      </c>
      <c r="N12" s="22" t="str">
        <f>IF(Indice_index!$Z$1=1,"jul*","Jul*")</f>
        <v>jul*</v>
      </c>
      <c r="O12" s="22" t="str">
        <f>IF(Indice_index!$Z$1=1,"ago*","Aug*")</f>
        <v>ago*</v>
      </c>
      <c r="P12" s="22" t="str">
        <f>IF(Indice_index!$Z$1=1,"set*","Sep*")</f>
        <v>set*</v>
      </c>
      <c r="Q12" s="373"/>
    </row>
    <row r="13" spans="1:18" ht="14.1" customHeight="1">
      <c r="B13" s="439" t="str">
        <f>IF(Indice_index!$Z$1=1,"AC","CG")</f>
        <v>AC</v>
      </c>
      <c r="C13" s="329" t="str">
        <f>IF(Indice_index!$Z$1=1,"Aquisição de bens e serviços","Goods and services acquisition")</f>
        <v>Aquisição de bens e serviços</v>
      </c>
      <c r="D13" s="4">
        <v>388.57053697000038</v>
      </c>
      <c r="E13" s="4">
        <v>418.48610200000019</v>
      </c>
      <c r="F13" s="4">
        <v>410.47286422999997</v>
      </c>
      <c r="G13" s="4">
        <v>308.98794730999998</v>
      </c>
      <c r="H13" s="4">
        <v>349.26952365</v>
      </c>
      <c r="I13" s="4">
        <v>402.11718879</v>
      </c>
      <c r="J13" s="4">
        <v>400.5373681799997</v>
      </c>
      <c r="K13" s="4">
        <v>409.77110701999987</v>
      </c>
      <c r="L13" s="4">
        <v>416.02163306999995</v>
      </c>
      <c r="M13" s="4">
        <v>432.18811052999968</v>
      </c>
      <c r="N13" s="4">
        <v>458.94588540999979</v>
      </c>
      <c r="O13" s="4">
        <v>472.80655403999998</v>
      </c>
      <c r="P13" s="4">
        <v>561.94648899999993</v>
      </c>
      <c r="Q13" s="4">
        <f>P13-D13</f>
        <v>173.37595202999955</v>
      </c>
    </row>
    <row r="14" spans="1:18" ht="14.1" customHeight="1">
      <c r="B14" s="439"/>
      <c r="C14" s="329" t="str">
        <f>IF(Indice_index!$Z$1=1,"Aquisição de bens de capital","Capital goods acquisition")</f>
        <v>Aquisição de bens de capital</v>
      </c>
      <c r="D14" s="4">
        <v>50.744649470000006</v>
      </c>
      <c r="E14" s="4">
        <v>86.206567670000013</v>
      </c>
      <c r="F14" s="4">
        <v>116.71487563000007</v>
      </c>
      <c r="G14" s="4">
        <v>26.005163099999994</v>
      </c>
      <c r="H14" s="4">
        <v>32.200848420000007</v>
      </c>
      <c r="I14" s="4">
        <v>58.738656590000012</v>
      </c>
      <c r="J14" s="4">
        <v>40.000553350000004</v>
      </c>
      <c r="K14" s="4">
        <v>77.366496799999993</v>
      </c>
      <c r="L14" s="4">
        <v>107.33635807999998</v>
      </c>
      <c r="M14" s="4">
        <v>86.589033249999972</v>
      </c>
      <c r="N14" s="4">
        <v>85.515196369999998</v>
      </c>
      <c r="O14" s="4">
        <v>82.364098830000032</v>
      </c>
      <c r="P14" s="4">
        <v>100.14608018000004</v>
      </c>
      <c r="Q14" s="4">
        <f t="shared" ref="Q14:Q17" si="0">P14-D14</f>
        <v>49.401430710000035</v>
      </c>
    </row>
    <row r="15" spans="1:18" ht="14.1" customHeight="1">
      <c r="B15" s="439"/>
      <c r="C15" s="329" t="str">
        <f>IF(Indice_index!$Z$1=1,"Transferências para AP","Transfers inside GG")</f>
        <v>Transferências para AP</v>
      </c>
      <c r="D15" s="4">
        <v>109.12633774000001</v>
      </c>
      <c r="E15" s="4">
        <v>92.07155984000002</v>
      </c>
      <c r="F15" s="4">
        <v>127.01837291000001</v>
      </c>
      <c r="G15" s="4">
        <v>33.117586390000007</v>
      </c>
      <c r="H15" s="4">
        <v>38.151747740000005</v>
      </c>
      <c r="I15" s="4">
        <v>60.975087290000005</v>
      </c>
      <c r="J15" s="4">
        <v>60.382807239999991</v>
      </c>
      <c r="K15" s="4">
        <v>104.78081091999999</v>
      </c>
      <c r="L15" s="4">
        <v>119.99284994000003</v>
      </c>
      <c r="M15" s="4">
        <v>132.96035567999999</v>
      </c>
      <c r="N15" s="4">
        <v>341.58550317999999</v>
      </c>
      <c r="O15" s="4">
        <v>203.39913599999997</v>
      </c>
      <c r="P15" s="4">
        <v>160.39935586000001</v>
      </c>
      <c r="Q15" s="4">
        <f t="shared" si="0"/>
        <v>51.273018120000003</v>
      </c>
    </row>
    <row r="16" spans="1:18" ht="14.1" customHeight="1">
      <c r="B16" s="439"/>
      <c r="C16" s="329" t="str">
        <f>IF(Indice_index!$Z$1=1,"Transferências para fora das AP","Transfers outside GG")</f>
        <v>Transferências para fora das AP</v>
      </c>
      <c r="D16" s="4">
        <v>41.563431289999997</v>
      </c>
      <c r="E16" s="4">
        <v>32.746508390000002</v>
      </c>
      <c r="F16" s="4">
        <v>29.771715290000007</v>
      </c>
      <c r="G16" s="4">
        <v>5.1968861300000002</v>
      </c>
      <c r="H16" s="4">
        <v>11.340357580000001</v>
      </c>
      <c r="I16" s="4">
        <v>21.461241019999999</v>
      </c>
      <c r="J16" s="4">
        <v>55.119289370000004</v>
      </c>
      <c r="K16" s="4">
        <v>16.228620039999996</v>
      </c>
      <c r="L16" s="4">
        <v>18.476546790000008</v>
      </c>
      <c r="M16" s="4">
        <v>30.932567660000007</v>
      </c>
      <c r="N16" s="4">
        <v>40.043442129999995</v>
      </c>
      <c r="O16" s="4">
        <v>35.097513400000004</v>
      </c>
      <c r="P16" s="4">
        <v>62.892514210000023</v>
      </c>
      <c r="Q16" s="4">
        <f>P16-D16</f>
        <v>21.329082920000026</v>
      </c>
    </row>
    <row r="17" spans="2:17" ht="14.1" customHeight="1">
      <c r="B17" s="439"/>
      <c r="C17" s="329" t="str">
        <f>IF(Indice_index!$Z$1=1,"Outras","Others")</f>
        <v>Outras</v>
      </c>
      <c r="D17" s="4">
        <v>121.72485161000002</v>
      </c>
      <c r="E17" s="4">
        <v>115.91719153999995</v>
      </c>
      <c r="F17" s="4">
        <v>156.25583556999993</v>
      </c>
      <c r="G17" s="4">
        <v>111.56815862000005</v>
      </c>
      <c r="H17" s="4">
        <v>120.12511100999997</v>
      </c>
      <c r="I17" s="4">
        <v>149.46258260999991</v>
      </c>
      <c r="J17" s="4">
        <v>163.02365346000011</v>
      </c>
      <c r="K17" s="4">
        <v>163.86451108000011</v>
      </c>
      <c r="L17" s="4">
        <v>158.24365516</v>
      </c>
      <c r="M17" s="4">
        <v>201.02531443000007</v>
      </c>
      <c r="N17" s="4">
        <v>189.68079045000005</v>
      </c>
      <c r="O17" s="4">
        <v>141.54180792000002</v>
      </c>
      <c r="P17" s="4">
        <v>191.96254661000012</v>
      </c>
      <c r="Q17" s="4">
        <f t="shared" si="0"/>
        <v>70.237695000000102</v>
      </c>
    </row>
    <row r="18" spans="2:17" ht="14.1" customHeight="1">
      <c r="B18" s="440" t="str">
        <f>IF(Indice_index!$Z$1=1,"Total da Administração Central","Central Government - Total")</f>
        <v>Total da Administração Central</v>
      </c>
      <c r="C18" s="441"/>
      <c r="D18" s="18">
        <v>711.72980708000046</v>
      </c>
      <c r="E18" s="18">
        <v>745.42792944000018</v>
      </c>
      <c r="F18" s="18">
        <v>840.23366363000002</v>
      </c>
      <c r="G18" s="18">
        <v>484.87574155000004</v>
      </c>
      <c r="H18" s="18">
        <v>551.08758839999996</v>
      </c>
      <c r="I18" s="18">
        <v>692.75475629999994</v>
      </c>
      <c r="J18" s="18">
        <v>719.06367159999991</v>
      </c>
      <c r="K18" s="18">
        <v>772.01154585999973</v>
      </c>
      <c r="L18" s="18">
        <v>820.07104303999995</v>
      </c>
      <c r="M18" s="18">
        <v>883.69538154999975</v>
      </c>
      <c r="N18" s="18">
        <v>1115.7708175400001</v>
      </c>
      <c r="O18" s="18">
        <v>935.20911019000005</v>
      </c>
      <c r="P18" s="18">
        <v>1077.3469858600001</v>
      </c>
      <c r="Q18" s="18">
        <f>P18-D18</f>
        <v>365.61717877999968</v>
      </c>
    </row>
    <row r="19" spans="2:17" ht="14.1" customHeight="1">
      <c r="B19" s="439" t="str">
        <f>IF(Indice_index!$Z$1=1,"AR","RG")</f>
        <v>AR</v>
      </c>
      <c r="C19" s="329" t="str">
        <f>IF(Indice_index!$Z$1=1,"Aquisição de bens e serviços","Goods and Services Acquisition")</f>
        <v>Aquisição de bens e serviços</v>
      </c>
      <c r="D19" s="331">
        <v>73.647289369999996</v>
      </c>
      <c r="E19" s="331">
        <v>61.841439379999997</v>
      </c>
      <c r="F19" s="331">
        <v>79.990148060000024</v>
      </c>
      <c r="G19" s="331">
        <v>74.908888810000008</v>
      </c>
      <c r="H19" s="331">
        <v>110.24424065000001</v>
      </c>
      <c r="I19" s="331">
        <v>91.977814330000001</v>
      </c>
      <c r="J19" s="331">
        <v>86.828057480000012</v>
      </c>
      <c r="K19" s="331">
        <v>95.627223509999993</v>
      </c>
      <c r="L19" s="331">
        <v>102.86864986999998</v>
      </c>
      <c r="M19" s="331">
        <v>89.366738199999986</v>
      </c>
      <c r="N19" s="331">
        <v>104.94365522000012</v>
      </c>
      <c r="O19" s="331">
        <v>86.311769920000003</v>
      </c>
      <c r="P19" s="331">
        <v>78.312589770000045</v>
      </c>
      <c r="Q19" s="4">
        <f>P19-D19</f>
        <v>4.6653004000000493</v>
      </c>
    </row>
    <row r="20" spans="2:17" ht="14.1" customHeight="1">
      <c r="B20" s="439"/>
      <c r="C20" s="329" t="str">
        <f>IF(Indice_index!$Z$1=1,"Aquisição de bens de capital","Capital Goods Acquisition")</f>
        <v>Aquisição de bens de capital</v>
      </c>
      <c r="D20" s="332">
        <v>37.777629880000006</v>
      </c>
      <c r="E20" s="332">
        <v>30.420385320000001</v>
      </c>
      <c r="F20" s="332">
        <v>34.350885359999992</v>
      </c>
      <c r="G20" s="332">
        <v>34.775308190000004</v>
      </c>
      <c r="H20" s="332">
        <v>36.057679980000003</v>
      </c>
      <c r="I20" s="332">
        <v>35.690923749999996</v>
      </c>
      <c r="J20" s="332">
        <v>33.531192179999998</v>
      </c>
      <c r="K20" s="332">
        <v>32.55391728</v>
      </c>
      <c r="L20" s="332">
        <v>32.754074100000004</v>
      </c>
      <c r="M20" s="332">
        <v>39.501029170000002</v>
      </c>
      <c r="N20" s="332">
        <v>32.318881380000008</v>
      </c>
      <c r="O20" s="332">
        <v>33.623115940000005</v>
      </c>
      <c r="P20" s="332">
        <v>36.082469220000007</v>
      </c>
      <c r="Q20" s="4">
        <f t="shared" ref="Q20:Q23" si="1">P20-D20</f>
        <v>-1.6951606599999991</v>
      </c>
    </row>
    <row r="21" spans="2:17" ht="14.1" customHeight="1">
      <c r="B21" s="439"/>
      <c r="C21" s="329" t="str">
        <f>IF(Indice_index!$Z$1=1,"Transferências para AP","Transfers inside GG")</f>
        <v>Transferências para AP</v>
      </c>
      <c r="D21" s="332">
        <v>3.31664563</v>
      </c>
      <c r="E21" s="332">
        <v>4.5751791100000005</v>
      </c>
      <c r="F21" s="332">
        <v>25.422509389999998</v>
      </c>
      <c r="G21" s="332">
        <v>2.7007099500000002</v>
      </c>
      <c r="H21" s="332">
        <v>1.6080166000000002</v>
      </c>
      <c r="I21" s="332">
        <v>4.3529722920000005</v>
      </c>
      <c r="J21" s="332">
        <v>11.960369679999999</v>
      </c>
      <c r="K21" s="332">
        <v>2.2253766100000001</v>
      </c>
      <c r="L21" s="332">
        <v>2.7917093499999996</v>
      </c>
      <c r="M21" s="332">
        <v>8.8446557499999994</v>
      </c>
      <c r="N21" s="332">
        <v>9.5233154800000008</v>
      </c>
      <c r="O21" s="332">
        <v>12.532928159999999</v>
      </c>
      <c r="P21" s="332">
        <v>6.5556854300000005</v>
      </c>
      <c r="Q21" s="4">
        <f t="shared" si="1"/>
        <v>3.2390398000000005</v>
      </c>
    </row>
    <row r="22" spans="2:17" ht="14.1" customHeight="1">
      <c r="B22" s="439"/>
      <c r="C22" s="329" t="str">
        <f>IF(Indice_index!$Z$1=1,"Transferências para fora das AP","Transfers outside GG")</f>
        <v>Transferências para fora das AP</v>
      </c>
      <c r="D22" s="332">
        <v>34.904629619999994</v>
      </c>
      <c r="E22" s="332">
        <v>35.970443379999999</v>
      </c>
      <c r="F22" s="332">
        <v>42.917054840000006</v>
      </c>
      <c r="G22" s="332">
        <v>25.851296659999999</v>
      </c>
      <c r="H22" s="332">
        <v>31.553521099999998</v>
      </c>
      <c r="I22" s="332">
        <v>35.473589029999999</v>
      </c>
      <c r="J22" s="332">
        <v>30.7898724</v>
      </c>
      <c r="K22" s="332">
        <v>32.697367079999999</v>
      </c>
      <c r="L22" s="332">
        <v>38.87341472</v>
      </c>
      <c r="M22" s="332">
        <v>36.484171149999995</v>
      </c>
      <c r="N22" s="332">
        <v>37.957268470000002</v>
      </c>
      <c r="O22" s="332">
        <v>36.633397279999997</v>
      </c>
      <c r="P22" s="332">
        <v>35.932463929999997</v>
      </c>
      <c r="Q22" s="4">
        <f t="shared" si="1"/>
        <v>1.0278343100000029</v>
      </c>
    </row>
    <row r="23" spans="2:17" ht="14.1" customHeight="1">
      <c r="B23" s="439"/>
      <c r="C23" s="329" t="str">
        <f>IF(Indice_index!$Z$1=1,"Outras","Others")</f>
        <v>Outras</v>
      </c>
      <c r="D23" s="333">
        <v>29.934220030000009</v>
      </c>
      <c r="E23" s="333">
        <v>51.30978721999999</v>
      </c>
      <c r="F23" s="333">
        <v>53.373889420000012</v>
      </c>
      <c r="G23" s="333">
        <v>23.341055330000021</v>
      </c>
      <c r="H23" s="333">
        <v>30.732552600000034</v>
      </c>
      <c r="I23" s="333">
        <v>30.621809989999999</v>
      </c>
      <c r="J23" s="333">
        <v>29.971391090000019</v>
      </c>
      <c r="K23" s="333">
        <v>50.732852580000014</v>
      </c>
      <c r="L23" s="333">
        <v>39.998464830000003</v>
      </c>
      <c r="M23" s="333">
        <v>60.466489940000024</v>
      </c>
      <c r="N23" s="333">
        <v>32.322845030000025</v>
      </c>
      <c r="O23" s="333">
        <v>36.493357579999994</v>
      </c>
      <c r="P23" s="333">
        <v>34.962592920000013</v>
      </c>
      <c r="Q23" s="4">
        <f t="shared" si="1"/>
        <v>5.0283728900000035</v>
      </c>
    </row>
    <row r="24" spans="2:17" ht="14.1" customHeight="1">
      <c r="B24" s="440" t="str">
        <f>IF(Indice_index!$Z$1=1,"Total da Administração Regional","Regional Government - Total")</f>
        <v>Total da Administração Regional</v>
      </c>
      <c r="C24" s="441"/>
      <c r="D24" s="18">
        <v>179.58041452999998</v>
      </c>
      <c r="E24" s="18">
        <v>184.11723440999998</v>
      </c>
      <c r="F24" s="18">
        <v>236.05448707000005</v>
      </c>
      <c r="G24" s="18">
        <v>161.57725894000004</v>
      </c>
      <c r="H24" s="18">
        <v>210.19601093000006</v>
      </c>
      <c r="I24" s="18">
        <v>198.117109392</v>
      </c>
      <c r="J24" s="18">
        <v>193.08088283000006</v>
      </c>
      <c r="K24" s="18">
        <v>213.83673706000002</v>
      </c>
      <c r="L24" s="18">
        <v>217.28631286999996</v>
      </c>
      <c r="M24" s="18">
        <v>234.66308421000002</v>
      </c>
      <c r="N24" s="18">
        <v>217.06596558000018</v>
      </c>
      <c r="O24" s="18">
        <v>205.59456888</v>
      </c>
      <c r="P24" s="18">
        <v>191.84580127000007</v>
      </c>
      <c r="Q24" s="18">
        <f>P24-D24</f>
        <v>12.265386740000082</v>
      </c>
    </row>
    <row r="25" spans="2:17" ht="14.1" customHeight="1">
      <c r="B25" s="442" t="str">
        <f>IF(Indice_index!$Z$1=1,"AL","LG")</f>
        <v>AL</v>
      </c>
      <c r="C25" s="334" t="str">
        <f>IF(Indice_index!$Z$1=1,"Aquisição de bens e serviços","Goods and services acquisition")</f>
        <v>Aquisição de bens e serviços</v>
      </c>
      <c r="D25" s="292">
        <v>427.73796356999998</v>
      </c>
      <c r="E25" s="292">
        <v>438.88162798999986</v>
      </c>
      <c r="F25" s="292">
        <v>445.54288610999993</v>
      </c>
      <c r="G25" s="292">
        <v>379.44060612999999</v>
      </c>
      <c r="H25" s="292">
        <v>383.41843789000006</v>
      </c>
      <c r="I25" s="292">
        <v>392.36696790000002</v>
      </c>
      <c r="J25" s="292">
        <v>405.23608701000012</v>
      </c>
      <c r="K25" s="292">
        <v>404.20532281000004</v>
      </c>
      <c r="L25" s="292">
        <v>398.97432377000007</v>
      </c>
      <c r="M25" s="292">
        <v>402.35626729000001</v>
      </c>
      <c r="N25" s="292">
        <v>396.13941661999996</v>
      </c>
      <c r="O25" s="292">
        <v>368.59288912</v>
      </c>
      <c r="P25" s="292">
        <v>352.01548976999993</v>
      </c>
      <c r="Q25" s="4">
        <f>P25-D25</f>
        <v>-75.722473800000046</v>
      </c>
    </row>
    <row r="26" spans="2:17" ht="14.1" customHeight="1">
      <c r="B26" s="439"/>
      <c r="C26" s="335" t="str">
        <f>IF(Indice_index!$Z$1=1,"Aquisição de bens de capital","Capital goods acquisition")</f>
        <v>Aquisição de bens de capital</v>
      </c>
      <c r="D26" s="292">
        <v>258.29941500999996</v>
      </c>
      <c r="E26" s="292">
        <v>251.16183734999998</v>
      </c>
      <c r="F26" s="292">
        <v>283.46545383</v>
      </c>
      <c r="G26" s="292">
        <v>200.85482199000003</v>
      </c>
      <c r="H26" s="292">
        <v>181.43280907999997</v>
      </c>
      <c r="I26" s="292">
        <v>189.09855178999999</v>
      </c>
      <c r="J26" s="292">
        <v>227.00663143</v>
      </c>
      <c r="K26" s="292">
        <v>237.46656403000003</v>
      </c>
      <c r="L26" s="292">
        <v>274.65360304000001</v>
      </c>
      <c r="M26" s="292">
        <v>276.79271153000002</v>
      </c>
      <c r="N26" s="292">
        <v>273.63773112000001</v>
      </c>
      <c r="O26" s="292">
        <v>289.03654175000003</v>
      </c>
      <c r="P26" s="292">
        <v>290.7734772</v>
      </c>
      <c r="Q26" s="4">
        <f t="shared" ref="Q26:Q29" si="2">P26-D26</f>
        <v>32.474062190000041</v>
      </c>
    </row>
    <row r="27" spans="2:17" ht="14.1" customHeight="1">
      <c r="B27" s="439"/>
      <c r="C27" s="335" t="str">
        <f>IF(Indice_index!$Z$1=1,"Transferências para AP","Transfers inside GG")</f>
        <v>Transferências para AP</v>
      </c>
      <c r="D27" s="292">
        <v>41.491205899999997</v>
      </c>
      <c r="E27" s="292">
        <v>39.843852259999998</v>
      </c>
      <c r="F27" s="292">
        <v>35.306874739999998</v>
      </c>
      <c r="G27" s="292">
        <v>28.564953219999996</v>
      </c>
      <c r="H27" s="292">
        <v>33.76502163</v>
      </c>
      <c r="I27" s="292">
        <v>33.531916339999995</v>
      </c>
      <c r="J27" s="292">
        <v>32.672002619999994</v>
      </c>
      <c r="K27" s="292">
        <v>33.47605171</v>
      </c>
      <c r="L27" s="292">
        <v>37.605675070000004</v>
      </c>
      <c r="M27" s="292">
        <v>33.476616809999996</v>
      </c>
      <c r="N27" s="292">
        <v>29.743006760000004</v>
      </c>
      <c r="O27" s="292">
        <v>30.160754559999994</v>
      </c>
      <c r="P27" s="292">
        <v>29.926883989999997</v>
      </c>
      <c r="Q27" s="4">
        <f t="shared" si="2"/>
        <v>-11.56432191</v>
      </c>
    </row>
    <row r="28" spans="2:17" ht="14.1" customHeight="1">
      <c r="B28" s="439"/>
      <c r="C28" s="335" t="str">
        <f>IF(Indice_index!$Z$1=1,"Transferências para fora das AP","Transfers outside GG")</f>
        <v>Transferências para fora das AP</v>
      </c>
      <c r="D28" s="292">
        <v>74.228555969999988</v>
      </c>
      <c r="E28" s="292">
        <v>69.59963162999999</v>
      </c>
      <c r="F28" s="292">
        <v>67.913873959999989</v>
      </c>
      <c r="G28" s="292">
        <v>61.928811400000001</v>
      </c>
      <c r="H28" s="292">
        <v>75.463261029999998</v>
      </c>
      <c r="I28" s="292">
        <v>75.45739073</v>
      </c>
      <c r="J28" s="292">
        <v>73.391496399999994</v>
      </c>
      <c r="K28" s="292">
        <v>77.717740439999986</v>
      </c>
      <c r="L28" s="292">
        <v>82.691995659999975</v>
      </c>
      <c r="M28" s="292">
        <v>74.908947180000013</v>
      </c>
      <c r="N28" s="292">
        <v>70.737115279999983</v>
      </c>
      <c r="O28" s="292">
        <v>72.933888069999995</v>
      </c>
      <c r="P28" s="292">
        <v>70.335894379999999</v>
      </c>
      <c r="Q28" s="4">
        <f t="shared" si="2"/>
        <v>-3.8926615899999888</v>
      </c>
    </row>
    <row r="29" spans="2:17" ht="14.1" customHeight="1">
      <c r="B29" s="439"/>
      <c r="C29" s="336" t="str">
        <f>IF(Indice_index!$Z$1=1,"Outras","Others")</f>
        <v>Outras</v>
      </c>
      <c r="D29" s="337">
        <v>478.47163264000039</v>
      </c>
      <c r="E29" s="337">
        <v>481.7053253800002</v>
      </c>
      <c r="F29" s="337">
        <v>562.82658198000013</v>
      </c>
      <c r="G29" s="337">
        <v>501.87699750999951</v>
      </c>
      <c r="H29" s="337">
        <v>488.56266401999954</v>
      </c>
      <c r="I29" s="337">
        <v>489.00130913999982</v>
      </c>
      <c r="J29" s="337">
        <v>494.40149093999958</v>
      </c>
      <c r="K29" s="337">
        <v>494.39746434000028</v>
      </c>
      <c r="L29" s="337">
        <v>508.03064913999992</v>
      </c>
      <c r="M29" s="337">
        <v>570.0432580800001</v>
      </c>
      <c r="N29" s="337">
        <v>496.82677074000037</v>
      </c>
      <c r="O29" s="337">
        <v>480.83780048999984</v>
      </c>
      <c r="P29" s="337">
        <v>473.73474326000007</v>
      </c>
      <c r="Q29" s="4">
        <f t="shared" si="2"/>
        <v>-4.7368893800003207</v>
      </c>
    </row>
    <row r="30" spans="2:17" ht="14.1" customHeight="1">
      <c r="B30" s="440" t="str">
        <f>IF(Indice_index!$Z$1=1,"Total da Administração Local","Local Government - Total")</f>
        <v>Total da Administração Local</v>
      </c>
      <c r="C30" s="441"/>
      <c r="D30" s="18">
        <v>1280.2287730900002</v>
      </c>
      <c r="E30" s="18">
        <v>1281.1922746099999</v>
      </c>
      <c r="F30" s="18">
        <v>1395.05567062</v>
      </c>
      <c r="G30" s="18">
        <v>1172.6661902499995</v>
      </c>
      <c r="H30" s="18">
        <v>1162.6421936499996</v>
      </c>
      <c r="I30" s="18">
        <v>1179.4561358999999</v>
      </c>
      <c r="J30" s="18">
        <v>1232.7077083999998</v>
      </c>
      <c r="K30" s="18">
        <v>1247.2631433300003</v>
      </c>
      <c r="L30" s="18">
        <v>1301.9562466799998</v>
      </c>
      <c r="M30" s="18">
        <v>1357.5778008900002</v>
      </c>
      <c r="N30" s="18">
        <v>1267.0840405200004</v>
      </c>
      <c r="O30" s="18">
        <v>1241.5618739899999</v>
      </c>
      <c r="P30" s="18">
        <v>1216.7864886</v>
      </c>
      <c r="Q30" s="18">
        <f>P30-D30</f>
        <v>-63.442284490000247</v>
      </c>
    </row>
    <row r="31" spans="2:17" ht="14.1" customHeight="1">
      <c r="B31" s="437" t="str">
        <f>IF(Indice_index!$Z$1=1,"Total das Administrações Públicas","General Government - Total")</f>
        <v>Total das Administrações Públicas</v>
      </c>
      <c r="C31" s="438"/>
      <c r="D31" s="170">
        <f t="shared" ref="D31:O31" si="3">D30+D24+D18</f>
        <v>2171.5389947000003</v>
      </c>
      <c r="E31" s="170">
        <f t="shared" si="3"/>
        <v>2210.7374384600002</v>
      </c>
      <c r="F31" s="170">
        <f t="shared" si="3"/>
        <v>2471.3438213200002</v>
      </c>
      <c r="G31" s="170">
        <f t="shared" si="3"/>
        <v>1819.1191907399998</v>
      </c>
      <c r="H31" s="170">
        <f t="shared" si="3"/>
        <v>1923.9257929799996</v>
      </c>
      <c r="I31" s="170">
        <f t="shared" si="3"/>
        <v>2070.328001592</v>
      </c>
      <c r="J31" s="170">
        <f t="shared" si="3"/>
        <v>2144.8522628299997</v>
      </c>
      <c r="K31" s="170">
        <f t="shared" si="3"/>
        <v>2233.11142625</v>
      </c>
      <c r="L31" s="170">
        <f t="shared" si="3"/>
        <v>2339.3136025899998</v>
      </c>
      <c r="M31" s="170">
        <f t="shared" si="3"/>
        <v>2475.9362666500001</v>
      </c>
      <c r="N31" s="170">
        <f t="shared" si="3"/>
        <v>2599.9208236400009</v>
      </c>
      <c r="O31" s="170">
        <f t="shared" si="3"/>
        <v>2382.3655530599999</v>
      </c>
      <c r="P31" s="170">
        <f t="shared" ref="P31" si="4">P30+P24+P18</f>
        <v>2485.9792757300002</v>
      </c>
      <c r="Q31" s="170">
        <f>P31-D31</f>
        <v>314.44028102999982</v>
      </c>
    </row>
    <row r="32" spans="2:17" ht="15" customHeight="1">
      <c r="B32" s="9" t="str">
        <f>IF(Indice_index!$Z$1=1,"Notas:","Notes:")</f>
        <v>Notas:</v>
      </c>
      <c r="C32" s="9"/>
      <c r="D32" s="9"/>
      <c r="E32" s="9"/>
      <c r="F32" s="9"/>
      <c r="G32" s="9"/>
      <c r="H32" s="9"/>
      <c r="I32" s="9"/>
      <c r="J32" s="9"/>
      <c r="K32" s="9"/>
      <c r="L32" s="9"/>
      <c r="M32" s="9"/>
      <c r="N32" s="9"/>
      <c r="O32" s="9"/>
      <c r="P32" s="9"/>
      <c r="Q32" s="9"/>
    </row>
    <row r="33" spans="1:17" ht="15">
      <c r="B33" s="435"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C33" s="435"/>
      <c r="D33" s="435"/>
      <c r="E33" s="435"/>
      <c r="F33" s="435"/>
      <c r="G33" s="435"/>
      <c r="H33" s="435"/>
      <c r="I33" s="435"/>
      <c r="J33" s="435"/>
      <c r="K33" s="435"/>
      <c r="L33" s="435"/>
      <c r="M33" s="435"/>
      <c r="N33" s="435"/>
      <c r="O33" s="435"/>
      <c r="P33" s="435"/>
      <c r="Q33" s="435"/>
    </row>
    <row r="34" spans="1:17" ht="15">
      <c r="A34" s="254"/>
      <c r="B34" s="444"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4" s="444"/>
      <c r="D34" s="444"/>
      <c r="E34" s="444"/>
      <c r="F34" s="444"/>
      <c r="G34" s="444"/>
      <c r="H34" s="444"/>
      <c r="I34" s="444"/>
      <c r="J34" s="444"/>
      <c r="K34" s="444"/>
      <c r="L34" s="444"/>
      <c r="M34" s="444"/>
      <c r="N34" s="444"/>
      <c r="O34" s="444"/>
      <c r="P34" s="444"/>
      <c r="Q34" s="444"/>
    </row>
    <row r="35" spans="1:17" ht="15">
      <c r="A35" s="254"/>
      <c r="B35" s="448" t="str">
        <f>IF(Indice_index!$Z$1=1,"AC: Dados revistos em ago.25","CG: revised for Aug 25.")</f>
        <v>AC: Dados revistos em ago.25</v>
      </c>
      <c r="C35" s="448"/>
      <c r="D35" s="448"/>
      <c r="E35" s="448"/>
      <c r="F35" s="448"/>
      <c r="G35" s="448"/>
      <c r="H35" s="448"/>
      <c r="I35" s="448"/>
      <c r="J35" s="448"/>
      <c r="K35" s="448"/>
      <c r="L35" s="448"/>
      <c r="M35" s="448"/>
      <c r="N35" s="448"/>
      <c r="O35" s="448"/>
      <c r="P35" s="448"/>
      <c r="Q35" s="448"/>
    </row>
    <row r="36" spans="1:17" ht="36" customHeight="1">
      <c r="A36" s="254"/>
      <c r="B36" s="444" t="str">
        <f>IF(Indice_index!$Z$1=1,C93,C94)</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6" s="444"/>
      <c r="D36" s="444"/>
      <c r="E36" s="444"/>
      <c r="F36" s="444"/>
      <c r="G36" s="444"/>
      <c r="H36" s="444"/>
      <c r="I36" s="444"/>
      <c r="J36" s="444"/>
      <c r="K36" s="444"/>
      <c r="L36" s="444"/>
      <c r="M36" s="444"/>
      <c r="N36" s="444"/>
      <c r="O36" s="444"/>
      <c r="P36" s="444"/>
      <c r="Q36" s="444"/>
    </row>
    <row r="37" spans="1:17" ht="15" customHeight="1">
      <c r="B37" s="445" t="str">
        <f>IF(Indice_index!$Z$1=1,"Fonte: Entidade Orçamental, Direção Geral das Autarquias Locais, Direção Regional do Orçamento e Tesouro da Região Autónoma dos Açores e Direção Regional do Orçamento e Tesouro da Região Autónoma da Madeira","Source: Budgetary Entity., DGAL, Azores Autonomous Region Budget and Treasury Regional Directorate and Madeira Autonomous Region Budget and Treasury Regional Directorate.")</f>
        <v>Fonte: Entidade Orçamental, Direção Geral das Autarquias Locais, Direção Regional do Orçamento e Tesouro da Região Autónoma dos Açores e Direção Regional do Orçamento e Tesouro da Região Autónoma da Madeira</v>
      </c>
      <c r="C37" s="445"/>
      <c r="D37" s="445"/>
      <c r="E37" s="445"/>
      <c r="F37" s="445"/>
      <c r="G37" s="445"/>
      <c r="H37" s="445"/>
      <c r="I37" s="445"/>
      <c r="J37" s="445"/>
      <c r="K37" s="445"/>
      <c r="L37" s="445"/>
      <c r="M37" s="445"/>
      <c r="N37" s="445"/>
      <c r="O37" s="445"/>
      <c r="P37" s="445"/>
      <c r="Q37" s="445"/>
    </row>
    <row r="38" spans="1:17" ht="15" customHeight="1">
      <c r="B38" s="111"/>
      <c r="C38" s="150"/>
      <c r="D38" s="56"/>
      <c r="E38" s="56"/>
      <c r="F38" s="56"/>
      <c r="G38" s="56"/>
      <c r="H38" s="56"/>
      <c r="I38" s="56"/>
      <c r="J38" s="56"/>
      <c r="K38" s="56"/>
      <c r="L38" s="56"/>
      <c r="M38" s="56"/>
      <c r="N38" s="56"/>
      <c r="O38" s="56"/>
      <c r="P38" s="56"/>
      <c r="Q38" s="118" t="str">
        <f>IF(Indice_index!$Z$1=1,"€ Milhões","€ Millions")</f>
        <v>€ Milhões</v>
      </c>
    </row>
    <row r="39" spans="1:17" ht="16.350000000000001" customHeight="1">
      <c r="B39" s="151"/>
      <c r="C39" s="387"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9" s="387"/>
      <c r="E39" s="387"/>
      <c r="F39" s="387"/>
      <c r="G39" s="387"/>
      <c r="H39" s="387"/>
      <c r="I39" s="387"/>
      <c r="J39" s="387"/>
      <c r="K39" s="387"/>
      <c r="L39" s="387"/>
      <c r="M39" s="387"/>
      <c r="N39" s="387"/>
      <c r="O39" s="387"/>
      <c r="P39" s="387"/>
      <c r="Q39" s="387"/>
    </row>
    <row r="40" spans="1:17" ht="15.6" customHeight="1">
      <c r="B40" s="56"/>
      <c r="C40" s="430" t="s">
        <v>13</v>
      </c>
      <c r="D40" s="391">
        <v>2024</v>
      </c>
      <c r="E40" s="387"/>
      <c r="F40" s="387"/>
      <c r="G40" s="388"/>
      <c r="H40" s="391">
        <v>2025</v>
      </c>
      <c r="I40" s="387"/>
      <c r="J40" s="387"/>
      <c r="K40" s="387"/>
      <c r="L40" s="387"/>
      <c r="M40" s="387"/>
      <c r="N40" s="387"/>
      <c r="O40" s="387"/>
      <c r="P40" s="388"/>
      <c r="Q40" s="410" t="str">
        <f>IF(Indice_index!$Z$1=1,"Variação Homóloga","YOY change")</f>
        <v>Variação Homóloga</v>
      </c>
    </row>
    <row r="41" spans="1:17" ht="13.5" customHeight="1">
      <c r="B41" s="111"/>
      <c r="C41" s="371"/>
      <c r="D41" s="22" t="str">
        <f>IF(Indice_index!$Z$1=1,"set*","Sep*")</f>
        <v>set*</v>
      </c>
      <c r="E41" s="22" t="str">
        <f>IF(Indice_index!$Z$1=1,"out*","Oct*")</f>
        <v>out*</v>
      </c>
      <c r="F41" s="22" t="str">
        <f>IF(Indice_index!$Z$1=1,"nov*","Nov*")</f>
        <v>nov*</v>
      </c>
      <c r="G41" s="167" t="str">
        <f>IF(Indice_index!$Z$1=1,"dez*","Dec*")</f>
        <v>dez*</v>
      </c>
      <c r="H41" s="22" t="str">
        <f>IF(Indice_index!$Z$1=1,"jan*","Jan*")</f>
        <v>jan*</v>
      </c>
      <c r="I41" s="167" t="str">
        <f>IF(Indice_index!$Z$1=1,"fev*","Feb*")</f>
        <v>fev*</v>
      </c>
      <c r="J41" s="22" t="str">
        <f>IF(Indice_index!$Z$1=1,"mar*","Mar*")</f>
        <v>mar*</v>
      </c>
      <c r="K41" s="22" t="str">
        <f>IF(Indice_index!$Z$1=1,"abr*","Apr*")</f>
        <v>abr*</v>
      </c>
      <c r="L41" s="22" t="str">
        <f>IF(Indice_index!$Z$1=1,"mai*","May*")</f>
        <v>mai*</v>
      </c>
      <c r="M41" s="22" t="str">
        <f>IF(Indice_index!$Z$1=1,"jun*","Jun*")</f>
        <v>jun*</v>
      </c>
      <c r="N41" s="22" t="str">
        <f>IF(Indice_index!$Z$1=1,"jul*","Jul*")</f>
        <v>jul*</v>
      </c>
      <c r="O41" s="22" t="str">
        <f>IF(Indice_index!$Z$1=1,"ago*","Aug*")</f>
        <v>ago*</v>
      </c>
      <c r="P41" s="22" t="str">
        <f>IF(Indice_index!$Z$1=1,"set*","Sep*")</f>
        <v>set*</v>
      </c>
      <c r="Q41" s="373"/>
    </row>
    <row r="42" spans="1:17" ht="14.1" customHeight="1">
      <c r="B42" s="74"/>
      <c r="C42" s="294" t="str">
        <f>IF(Indice_index!$Z$1=1,"Administrações Públicas","General Government")</f>
        <v>Administrações Públicas</v>
      </c>
      <c r="D42" s="295">
        <f>SUM(D43:D48)</f>
        <v>640.90228176999995</v>
      </c>
      <c r="E42" s="295">
        <f t="shared" ref="E42:O42" si="5">SUM(E43:E48)</f>
        <v>724.13982057999999</v>
      </c>
      <c r="F42" s="295">
        <f t="shared" si="5"/>
        <v>860.38169847999995</v>
      </c>
      <c r="G42" s="295">
        <f t="shared" si="5"/>
        <v>294.40181668000002</v>
      </c>
      <c r="H42" s="295">
        <f t="shared" si="5"/>
        <v>336.29316627999992</v>
      </c>
      <c r="I42" s="295">
        <f t="shared" si="5"/>
        <v>362.37302006999994</v>
      </c>
      <c r="J42" s="295">
        <f t="shared" si="5"/>
        <v>413.08276961000001</v>
      </c>
      <c r="K42" s="295">
        <f t="shared" si="5"/>
        <v>499.45137177000004</v>
      </c>
      <c r="L42" s="295">
        <f t="shared" si="5"/>
        <v>644.20899128999997</v>
      </c>
      <c r="M42" s="295">
        <f t="shared" si="5"/>
        <v>854.88588962000017</v>
      </c>
      <c r="N42" s="295">
        <f t="shared" si="5"/>
        <v>748.14643014000023</v>
      </c>
      <c r="O42" s="295">
        <f t="shared" si="5"/>
        <v>899.26689427999997</v>
      </c>
      <c r="P42" s="295">
        <f>SUM(P43:P48)</f>
        <v>1007.1907030000002</v>
      </c>
      <c r="Q42" s="295">
        <f>P42-D42</f>
        <v>366.28842123000027</v>
      </c>
    </row>
    <row r="43" spans="1:17" ht="14.1" customHeight="1">
      <c r="B43" s="74"/>
      <c r="C43" s="296" t="str">
        <f>IF(Indice_index!$Z$1=1,"Admin. Central excl. Subs. Saúde","Central Government excl. Health Subsector")</f>
        <v>Admin. Central excl. Subs. Saúde</v>
      </c>
      <c r="D43" s="293">
        <v>51.622456219999997</v>
      </c>
      <c r="E43" s="293">
        <v>52.665069229999993</v>
      </c>
      <c r="F43" s="293">
        <v>54.487430720000006</v>
      </c>
      <c r="G43" s="293">
        <v>51.32365472</v>
      </c>
      <c r="H43" s="293">
        <v>51.23193878</v>
      </c>
      <c r="I43" s="293">
        <v>51.123142669999986</v>
      </c>
      <c r="J43" s="293">
        <v>48.412930769999996</v>
      </c>
      <c r="K43" s="293">
        <v>50.155745070000009</v>
      </c>
      <c r="L43" s="293">
        <v>50.293792010000004</v>
      </c>
      <c r="M43" s="293">
        <v>51.623243580000008</v>
      </c>
      <c r="N43" s="293">
        <v>52.004924209999992</v>
      </c>
      <c r="O43" s="293">
        <v>53.465499800000003</v>
      </c>
      <c r="P43" s="293">
        <v>55.089416329999999</v>
      </c>
      <c r="Q43" s="293">
        <f>P43-D43</f>
        <v>3.4669601100000023</v>
      </c>
    </row>
    <row r="44" spans="1:17" ht="14.1" customHeight="1">
      <c r="B44" s="74"/>
      <c r="C44" s="296" t="str">
        <f>IF(Indice_index!$Z$1=1,"Subsector da Saúde","Health Subsector")</f>
        <v>Subsector da Saúde</v>
      </c>
      <c r="D44" s="293">
        <v>0.86296452000000001</v>
      </c>
      <c r="E44" s="293">
        <v>0.27545060999999998</v>
      </c>
      <c r="F44" s="293">
        <v>0.22865809000000023</v>
      </c>
      <c r="G44" s="293">
        <v>0</v>
      </c>
      <c r="H44" s="293">
        <v>1.45427927</v>
      </c>
      <c r="I44" s="293">
        <v>2.5697672000000003</v>
      </c>
      <c r="J44" s="293">
        <v>2.1301585599999999</v>
      </c>
      <c r="K44" s="293">
        <v>1.46206152</v>
      </c>
      <c r="L44" s="293">
        <v>0.23551421</v>
      </c>
      <c r="M44" s="293">
        <v>0.26935113999999999</v>
      </c>
      <c r="N44" s="293">
        <v>0.75831328000000009</v>
      </c>
      <c r="O44" s="293">
        <v>17.023387100000001</v>
      </c>
      <c r="P44" s="4">
        <v>16.916167590000001</v>
      </c>
      <c r="Q44" s="293">
        <f>P44-D44</f>
        <v>16.053203070000002</v>
      </c>
    </row>
    <row r="45" spans="1:17" ht="14.1" customHeight="1">
      <c r="B45" s="74"/>
      <c r="C45" s="296" t="str">
        <f>IF(Indice_index!$Z$1=1,"Unidades de Saúde EPE","HNS - EPE Health Units")</f>
        <v>Unidades de Saúde EPE</v>
      </c>
      <c r="D45" s="293">
        <v>355.80908412999997</v>
      </c>
      <c r="E45" s="293">
        <v>424.13089975000003</v>
      </c>
      <c r="F45" s="293">
        <v>554.44963158999997</v>
      </c>
      <c r="G45" s="293">
        <v>13.106308889999994</v>
      </c>
      <c r="H45" s="293">
        <v>28.705353930000001</v>
      </c>
      <c r="I45" s="293">
        <v>47.955146850000006</v>
      </c>
      <c r="J45" s="293">
        <v>87.360682210000007</v>
      </c>
      <c r="K45" s="293">
        <v>169.17361834999997</v>
      </c>
      <c r="L45" s="293">
        <v>332.28232348</v>
      </c>
      <c r="M45" s="293">
        <v>547.02861094999992</v>
      </c>
      <c r="N45" s="293">
        <v>469.29201211000014</v>
      </c>
      <c r="O45" s="293">
        <v>599.38131115999988</v>
      </c>
      <c r="P45" s="4">
        <v>715.66142363999995</v>
      </c>
      <c r="Q45" s="293">
        <f t="shared" ref="Q45:Q50" si="6">P45-D45</f>
        <v>359.85233950999998</v>
      </c>
    </row>
    <row r="46" spans="1:17" ht="14.1" customHeight="1">
      <c r="B46" s="74"/>
      <c r="C46" s="296" t="str">
        <f>IF(Indice_index!$Z$1=1,"Entidades Públicas Reclassificadas","Reclassified Public Entities")</f>
        <v>Entidades Públicas Reclassificadas</v>
      </c>
      <c r="D46" s="293">
        <v>8.2788472800000008</v>
      </c>
      <c r="E46" s="293">
        <v>10.87116176</v>
      </c>
      <c r="F46" s="293">
        <v>9.7580269899999976</v>
      </c>
      <c r="G46" s="293">
        <v>8.4098861100000004</v>
      </c>
      <c r="H46" s="293">
        <v>15.444880849999999</v>
      </c>
      <c r="I46" s="293">
        <v>15.685552569999999</v>
      </c>
      <c r="J46" s="293">
        <v>18.465482120000001</v>
      </c>
      <c r="K46" s="293">
        <v>18.143202329999998</v>
      </c>
      <c r="L46" s="293">
        <v>17.589802219999999</v>
      </c>
      <c r="M46" s="293">
        <v>24.112506780000103</v>
      </c>
      <c r="N46" s="293">
        <v>24.135784820000104</v>
      </c>
      <c r="O46" s="293">
        <v>24.166401590000103</v>
      </c>
      <c r="P46" s="293">
        <v>24.203036700000101</v>
      </c>
      <c r="Q46" s="293">
        <f t="shared" si="6"/>
        <v>15.924189420000101</v>
      </c>
    </row>
    <row r="47" spans="1:17" ht="14.1" customHeight="1">
      <c r="B47" s="74"/>
      <c r="C47" s="296" t="str">
        <f>IF(Indice_index!$Z$1=1,"Administração Local","Local Government")</f>
        <v>Administração Local</v>
      </c>
      <c r="D47" s="293">
        <v>49.018953029999999</v>
      </c>
      <c r="E47" s="293">
        <v>47.787099720000001</v>
      </c>
      <c r="F47" s="293">
        <v>49.279162329999998</v>
      </c>
      <c r="G47" s="293">
        <v>28.405522070000007</v>
      </c>
      <c r="H47" s="293">
        <v>31.680291539999992</v>
      </c>
      <c r="I47" s="293">
        <v>32.113292859999987</v>
      </c>
      <c r="J47" s="293">
        <v>35.620831530000004</v>
      </c>
      <c r="K47" s="293">
        <v>39.781221960000003</v>
      </c>
      <c r="L47" s="293">
        <v>39.215791789999997</v>
      </c>
      <c r="M47" s="293">
        <v>39.106513390000011</v>
      </c>
      <c r="N47" s="293">
        <v>34.504011679999991</v>
      </c>
      <c r="O47" s="293">
        <v>35.167829499999989</v>
      </c>
      <c r="P47" s="293">
        <v>31.715501320000001</v>
      </c>
      <c r="Q47" s="293">
        <f>P47-D47</f>
        <v>-17.303451709999997</v>
      </c>
    </row>
    <row r="48" spans="1:17" ht="14.1" customHeight="1">
      <c r="B48" s="94"/>
      <c r="C48" s="296" t="str">
        <f>IF(Indice_index!$Z$1=1,"Administração Regional","Regional Government")</f>
        <v>Administração Regional</v>
      </c>
      <c r="D48" s="293">
        <v>175.30997659000002</v>
      </c>
      <c r="E48" s="293">
        <v>188.41013950999999</v>
      </c>
      <c r="F48" s="293">
        <v>192.17878876000009</v>
      </c>
      <c r="G48" s="293">
        <v>193.15644489000005</v>
      </c>
      <c r="H48" s="293">
        <v>207.77642190999995</v>
      </c>
      <c r="I48" s="293">
        <v>212.92611791999997</v>
      </c>
      <c r="J48" s="293">
        <v>221.09268441999998</v>
      </c>
      <c r="K48" s="293">
        <v>220.73552254000003</v>
      </c>
      <c r="L48" s="293">
        <v>204.59176757999992</v>
      </c>
      <c r="M48" s="293">
        <v>192.74566378000003</v>
      </c>
      <c r="N48" s="293">
        <v>167.45138404000002</v>
      </c>
      <c r="O48" s="293">
        <v>170.06246512999999</v>
      </c>
      <c r="P48" s="293">
        <v>163.60515742000004</v>
      </c>
      <c r="Q48" s="293">
        <f t="shared" si="6"/>
        <v>-11.704819169999979</v>
      </c>
    </row>
    <row r="49" spans="1:18" ht="14.1" customHeight="1">
      <c r="B49" s="74"/>
      <c r="C49" s="294" t="str">
        <f>IF(Indice_index!$Z$1=1,"Outras Entidades","Other Entities")</f>
        <v>Outras Entidades</v>
      </c>
      <c r="D49" s="295">
        <f t="shared" ref="D49:P49" si="7">SUM(D50)</f>
        <v>0.44664528999999997</v>
      </c>
      <c r="E49" s="295">
        <f t="shared" si="7"/>
        <v>0.44664528999999997</v>
      </c>
      <c r="F49" s="295">
        <f t="shared" si="7"/>
        <v>0.44664528999999997</v>
      </c>
      <c r="G49" s="295">
        <f t="shared" si="7"/>
        <v>0.44664528999999997</v>
      </c>
      <c r="H49" s="295">
        <f t="shared" si="7"/>
        <v>0.44664528999999997</v>
      </c>
      <c r="I49" s="295">
        <f t="shared" si="7"/>
        <v>0.44664528999999997</v>
      </c>
      <c r="J49" s="295">
        <f t="shared" si="7"/>
        <v>0.44664528999999997</v>
      </c>
      <c r="K49" s="295">
        <f t="shared" si="7"/>
        <v>0.44664528999999997</v>
      </c>
      <c r="L49" s="295">
        <f t="shared" si="7"/>
        <v>0.44664528999999997</v>
      </c>
      <c r="M49" s="295">
        <f t="shared" si="7"/>
        <v>0.44664528999999997</v>
      </c>
      <c r="N49" s="295">
        <f t="shared" si="7"/>
        <v>0.44664528999999997</v>
      </c>
      <c r="O49" s="295">
        <f t="shared" si="7"/>
        <v>0.44664528999999997</v>
      </c>
      <c r="P49" s="295">
        <f t="shared" si="7"/>
        <v>0.44664528999999997</v>
      </c>
      <c r="Q49" s="295">
        <f t="shared" si="6"/>
        <v>0</v>
      </c>
    </row>
    <row r="50" spans="1:18" ht="14.1" customHeight="1">
      <c r="B50" s="94"/>
      <c r="C50" s="296" t="str">
        <f>IF(Indice_index!$Z$1=1,"Empr. Públicas Não Reclassificadas","Non-reclassified Public Enterprises")</f>
        <v>Empr. Públicas Não Reclassificadas</v>
      </c>
      <c r="D50" s="293">
        <v>0.44664528999999997</v>
      </c>
      <c r="E50" s="293">
        <v>0.44664528999999997</v>
      </c>
      <c r="F50" s="293">
        <v>0.44664528999999997</v>
      </c>
      <c r="G50" s="293">
        <v>0.44664528999999997</v>
      </c>
      <c r="H50" s="293">
        <v>0.44664528999999997</v>
      </c>
      <c r="I50" s="293">
        <v>0.44664528999999997</v>
      </c>
      <c r="J50" s="293">
        <v>0.44664528999999997</v>
      </c>
      <c r="K50" s="293">
        <v>0.44664528999999997</v>
      </c>
      <c r="L50" s="293">
        <v>0.44664528999999997</v>
      </c>
      <c r="M50" s="293">
        <v>0.44664528999999997</v>
      </c>
      <c r="N50" s="293">
        <v>0.44664528999999997</v>
      </c>
      <c r="O50" s="293">
        <v>0.44664528999999997</v>
      </c>
      <c r="P50" s="293">
        <v>0.44664528999999997</v>
      </c>
      <c r="Q50" s="293">
        <f t="shared" si="6"/>
        <v>0</v>
      </c>
    </row>
    <row r="51" spans="1:18" ht="14.1" customHeight="1">
      <c r="B51" s="94"/>
      <c r="C51" s="171" t="str">
        <f>IF(Indice_index!$Z$1=1,"Total","Total")</f>
        <v>Total</v>
      </c>
      <c r="D51" s="27">
        <f>D49+D42</f>
        <v>641.34892705999994</v>
      </c>
      <c r="E51" s="27">
        <f t="shared" ref="E51:O51" si="8">E49+E42</f>
        <v>724.58646586999998</v>
      </c>
      <c r="F51" s="27">
        <f t="shared" si="8"/>
        <v>860.82834376999995</v>
      </c>
      <c r="G51" s="27">
        <f t="shared" si="8"/>
        <v>294.84846197000002</v>
      </c>
      <c r="H51" s="27">
        <f t="shared" si="8"/>
        <v>336.73981156999992</v>
      </c>
      <c r="I51" s="27">
        <f t="shared" si="8"/>
        <v>362.81966535999993</v>
      </c>
      <c r="J51" s="27">
        <f t="shared" si="8"/>
        <v>413.52941490000001</v>
      </c>
      <c r="K51" s="27">
        <f t="shared" si="8"/>
        <v>499.89801706000003</v>
      </c>
      <c r="L51" s="27">
        <f t="shared" si="8"/>
        <v>644.65563657999996</v>
      </c>
      <c r="M51" s="27">
        <f t="shared" si="8"/>
        <v>855.33253491000016</v>
      </c>
      <c r="N51" s="27">
        <f t="shared" si="8"/>
        <v>748.59307543000023</v>
      </c>
      <c r="O51" s="27">
        <f t="shared" si="8"/>
        <v>899.71353956999997</v>
      </c>
      <c r="P51" s="27">
        <f>P49+P42</f>
        <v>1007.6373482900002</v>
      </c>
      <c r="Q51" s="27">
        <f>P51-D51</f>
        <v>366.28842123000027</v>
      </c>
    </row>
    <row r="52" spans="1:18" ht="15">
      <c r="B52" s="74"/>
      <c r="C52" s="9" t="str">
        <f>IF(Indice_index!$Z$1=1,"Notas:","Notes:")</f>
        <v>Notas:</v>
      </c>
      <c r="D52" s="9"/>
      <c r="E52" s="9"/>
      <c r="F52" s="9"/>
      <c r="G52" s="9"/>
      <c r="H52" s="9"/>
      <c r="I52" s="9"/>
      <c r="J52" s="9"/>
      <c r="K52" s="9"/>
      <c r="L52" s="9"/>
      <c r="M52" s="9"/>
      <c r="N52" s="9"/>
      <c r="O52" s="9"/>
      <c r="P52" s="9"/>
      <c r="Q52" s="9"/>
    </row>
    <row r="53" spans="1:18" ht="15" customHeight="1">
      <c r="B53" s="74"/>
      <c r="C53" s="447"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3" s="447"/>
      <c r="E53" s="447"/>
      <c r="F53" s="447"/>
      <c r="G53" s="447"/>
      <c r="H53" s="447"/>
      <c r="I53" s="447"/>
      <c r="J53" s="447"/>
      <c r="K53" s="447"/>
      <c r="L53" s="447"/>
      <c r="M53" s="447"/>
      <c r="N53" s="447"/>
      <c r="O53" s="447"/>
      <c r="P53" s="447"/>
      <c r="Q53" s="447"/>
      <c r="R53" s="56"/>
    </row>
    <row r="54" spans="1:18" ht="36" customHeight="1">
      <c r="B54" s="74"/>
      <c r="C54" s="435" t="str">
        <f>IF(Indice_index!$Z$1=1,C93,C94)</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4" s="435"/>
      <c r="E54" s="435"/>
      <c r="F54" s="435"/>
      <c r="G54" s="435"/>
      <c r="H54" s="435"/>
      <c r="I54" s="435"/>
      <c r="J54" s="435"/>
      <c r="K54" s="435"/>
      <c r="L54" s="435"/>
      <c r="M54" s="435"/>
      <c r="N54" s="435"/>
      <c r="O54" s="435"/>
      <c r="P54" s="435"/>
      <c r="Q54" s="435"/>
      <c r="R54" s="56"/>
    </row>
    <row r="55" spans="1:18" ht="0.75" hidden="1" customHeight="1">
      <c r="A55" s="113"/>
      <c r="B55" s="74"/>
      <c r="C55" s="446"/>
      <c r="D55" s="446"/>
      <c r="E55" s="446"/>
      <c r="F55" s="446"/>
      <c r="G55" s="446"/>
      <c r="H55" s="446"/>
      <c r="I55" s="446"/>
      <c r="J55" s="446"/>
      <c r="K55" s="446"/>
      <c r="L55" s="446"/>
      <c r="M55" s="446"/>
      <c r="N55" s="446"/>
      <c r="O55" s="446"/>
      <c r="P55" s="446"/>
      <c r="Q55" s="446"/>
      <c r="R55" s="166"/>
    </row>
    <row r="56" spans="1:18" ht="15" customHeight="1">
      <c r="A56" s="113"/>
      <c r="B56" s="74"/>
      <c r="C56" s="448" t="str">
        <f>IF(Indice_index!$Z$1=1,"EPR: Dados revistos de mar.25 a ago.25","Reclassified Public Entities: revised from Mar. to Aug 25.")</f>
        <v>EPR: Dados revistos de mar.25 a ago.25</v>
      </c>
      <c r="D56" s="448"/>
      <c r="E56" s="448"/>
      <c r="F56" s="448"/>
      <c r="G56" s="448"/>
      <c r="H56" s="448"/>
      <c r="I56" s="448"/>
      <c r="J56" s="448"/>
      <c r="K56" s="448"/>
      <c r="L56" s="448"/>
      <c r="M56" s="448"/>
      <c r="N56" s="448"/>
      <c r="O56" s="448"/>
      <c r="P56" s="448"/>
      <c r="Q56" s="448"/>
      <c r="R56" s="448"/>
    </row>
    <row r="57" spans="1:18" ht="24" customHeight="1">
      <c r="A57" s="113"/>
      <c r="B57" s="74"/>
      <c r="C57" s="443" t="str">
        <f>IF(Indice_index!$Z$1=1,C61,C62)</f>
        <v>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7" s="443"/>
      <c r="E57" s="443"/>
      <c r="F57" s="443"/>
      <c r="G57" s="443"/>
      <c r="H57" s="443"/>
      <c r="I57" s="443"/>
      <c r="J57" s="443"/>
      <c r="K57" s="443"/>
      <c r="L57" s="443"/>
      <c r="M57" s="443"/>
      <c r="N57" s="443"/>
      <c r="O57" s="443"/>
      <c r="P57" s="443"/>
      <c r="Q57" s="443"/>
      <c r="R57" s="56"/>
    </row>
    <row r="58" spans="1:18" ht="15" hidden="1">
      <c r="B58" s="74"/>
      <c r="D58" s="166"/>
      <c r="E58" s="166"/>
      <c r="F58" s="166"/>
      <c r="G58" s="166"/>
      <c r="H58" s="166"/>
      <c r="I58" s="166"/>
      <c r="J58" s="166"/>
      <c r="K58" s="166"/>
      <c r="L58" s="166"/>
      <c r="M58" s="166"/>
      <c r="N58" s="166"/>
      <c r="O58" s="166"/>
      <c r="P58" s="166"/>
      <c r="Q58" s="166"/>
    </row>
    <row r="59" spans="1:18" ht="15" hidden="1">
      <c r="B59" s="56"/>
      <c r="C59" s="56"/>
      <c r="D59" s="56"/>
      <c r="E59" s="56"/>
      <c r="F59" s="56"/>
      <c r="G59" s="56"/>
      <c r="H59" s="56"/>
      <c r="I59" s="56"/>
      <c r="J59" s="56"/>
      <c r="K59" s="56"/>
      <c r="L59" s="56"/>
      <c r="M59" s="56"/>
      <c r="N59" s="56"/>
      <c r="O59" s="56"/>
      <c r="P59" s="56"/>
      <c r="Q59" s="56"/>
    </row>
    <row r="60" spans="1:18" s="192" customFormat="1" ht="15" hidden="1">
      <c r="A60" s="93"/>
      <c r="B60" s="79"/>
      <c r="C60" s="264"/>
      <c r="D60" s="265"/>
      <c r="E60" s="265"/>
      <c r="F60" s="265"/>
      <c r="G60" s="265"/>
      <c r="H60" s="265"/>
      <c r="I60" s="265"/>
      <c r="J60" s="265"/>
      <c r="K60" s="265"/>
      <c r="L60" s="265"/>
      <c r="M60" s="265"/>
      <c r="N60" s="265"/>
      <c r="O60" s="265"/>
      <c r="P60" s="264"/>
      <c r="Q60" s="264"/>
      <c r="R60" s="266"/>
    </row>
    <row r="61" spans="1:18" s="192" customFormat="1" ht="4.5" customHeight="1">
      <c r="A61" s="93"/>
      <c r="B61" s="79"/>
      <c r="C61" s="95" t="s">
        <v>459</v>
      </c>
      <c r="D61" s="267"/>
      <c r="E61" s="267"/>
      <c r="F61" s="267"/>
      <c r="G61" s="267"/>
      <c r="H61" s="267"/>
      <c r="I61" s="267"/>
      <c r="J61" s="267"/>
      <c r="K61" s="267"/>
      <c r="L61" s="267"/>
      <c r="M61" s="267"/>
      <c r="N61" s="266"/>
      <c r="O61" s="266"/>
      <c r="P61" s="266"/>
      <c r="Q61" s="266"/>
      <c r="R61" s="266"/>
    </row>
    <row r="62" spans="1:18" s="192" customFormat="1" ht="15" customHeight="1">
      <c r="A62" s="93"/>
      <c r="B62" s="79"/>
      <c r="C62" s="95" t="s">
        <v>460</v>
      </c>
      <c r="D62" s="95"/>
      <c r="E62" s="95"/>
      <c r="F62" s="95"/>
      <c r="G62" s="95"/>
      <c r="H62" s="95"/>
      <c r="I62" s="95"/>
      <c r="J62" s="95"/>
      <c r="K62" s="95"/>
      <c r="L62" s="95"/>
      <c r="M62" s="95"/>
      <c r="N62" s="95"/>
      <c r="O62" s="95"/>
      <c r="P62" s="95"/>
      <c r="Q62" s="95"/>
      <c r="R62" s="266"/>
    </row>
    <row r="63" spans="1:18" ht="14.85" customHeight="1"/>
    <row r="64" spans="1:18" ht="14.85" customHeight="1"/>
    <row r="65" ht="14.85" customHeight="1"/>
    <row r="77" ht="14.85" customHeight="1"/>
    <row r="78" ht="14.85" customHeight="1"/>
    <row r="79" ht="14.85" customHeight="1"/>
    <row r="80" ht="14.85" customHeight="1"/>
    <row r="81" spans="3:3" ht="14.85" customHeight="1"/>
    <row r="90" spans="3:3" ht="15" hidden="1">
      <c r="C90" s="195" t="s">
        <v>380</v>
      </c>
    </row>
    <row r="91" spans="3:3" ht="14.85" hidden="1" customHeight="1">
      <c r="C91" s="195" t="s">
        <v>381</v>
      </c>
    </row>
    <row r="92" spans="3:3" ht="15" hidden="1">
      <c r="C92" s="194"/>
    </row>
    <row r="93" spans="3:3" ht="15" hidden="1">
      <c r="C93" s="195" t="s">
        <v>409</v>
      </c>
    </row>
    <row r="94" spans="3:3" ht="15" hidden="1">
      <c r="C94" s="195" t="s">
        <v>410</v>
      </c>
    </row>
    <row r="95" spans="3:3" ht="14.85" customHeight="1"/>
    <row r="96" spans="3:3" ht="14.85" customHeight="1"/>
    <row r="97" ht="14.85" customHeight="1"/>
    <row r="98" ht="14.85" customHeight="1"/>
    <row r="99" ht="14.85" customHeight="1"/>
    <row r="100" ht="14.85" customHeight="1"/>
    <row r="101" ht="14.85" customHeight="1"/>
  </sheetData>
  <mergeCells count="27">
    <mergeCell ref="C57:Q57"/>
    <mergeCell ref="B36:Q36"/>
    <mergeCell ref="B34:Q34"/>
    <mergeCell ref="B37:Q37"/>
    <mergeCell ref="C39:Q39"/>
    <mergeCell ref="Q40:Q41"/>
    <mergeCell ref="C40:C41"/>
    <mergeCell ref="C54:Q54"/>
    <mergeCell ref="C55:Q55"/>
    <mergeCell ref="C53:Q53"/>
    <mergeCell ref="B35:Q35"/>
    <mergeCell ref="D40:G40"/>
    <mergeCell ref="H40:P40"/>
    <mergeCell ref="C56:R56"/>
    <mergeCell ref="B33:Q33"/>
    <mergeCell ref="B10:Q10"/>
    <mergeCell ref="B31:C31"/>
    <mergeCell ref="B11:C12"/>
    <mergeCell ref="Q11:Q12"/>
    <mergeCell ref="B13:B17"/>
    <mergeCell ref="B18:C18"/>
    <mergeCell ref="B19:B23"/>
    <mergeCell ref="B24:C24"/>
    <mergeCell ref="B30:C30"/>
    <mergeCell ref="B25:B29"/>
    <mergeCell ref="D11:G11"/>
    <mergeCell ref="H11:P11"/>
  </mergeCells>
  <conditionalFormatting sqref="C25:Q29">
    <cfRule type="cellIs" dxfId="26" priority="8" operator="equal">
      <formula>0</formula>
    </cfRule>
  </conditionalFormatting>
  <conditionalFormatting sqref="D13:Q17">
    <cfRule type="cellIs" dxfId="25" priority="10" operator="equal">
      <formula>0</formula>
    </cfRule>
  </conditionalFormatting>
  <conditionalFormatting sqref="D19:Q23">
    <cfRule type="cellIs" dxfId="24" priority="9" operator="equal">
      <formula>0</formula>
    </cfRule>
  </conditionalFormatting>
  <conditionalFormatting sqref="D42:Q50">
    <cfRule type="cellIs" dxfId="23" priority="3" operator="equal">
      <formula>0</formula>
    </cfRule>
  </conditionalFormatting>
  <pageMargins left="0.70866141732283472" right="0.70866141732283472" top="0.74803149606299213" bottom="0.74803149606299213" header="0.31496062992125984" footer="0.31496062992125984"/>
  <pageSetup paperSize="9" scale="61" orientation="portrait" r:id="rId1"/>
  <ignoredErrors>
    <ignoredError sqref="D42:P42"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94"/>
  <sheetViews>
    <sheetView showGridLines="0" zoomScaleNormal="100" workbookViewId="0"/>
  </sheetViews>
  <sheetFormatPr defaultColWidth="0" defaultRowHeight="14.85" customHeight="1" zeroHeight="1"/>
  <cols>
    <col min="1" max="1" width="8.5703125" style="93" customWidth="1"/>
    <col min="2" max="2" width="2.5703125" style="63" customWidth="1"/>
    <col min="3" max="3" width="9.5703125" style="63" customWidth="1"/>
    <col min="4" max="15" width="11" style="63" customWidth="1"/>
    <col min="16" max="16" width="8.5703125" style="63" customWidth="1"/>
    <col min="17" max="16384" width="9.42578125" hidden="1"/>
  </cols>
  <sheetData>
    <row r="1" spans="1:16" ht="14.85" customHeight="1"/>
    <row r="2" spans="1:16" ht="15"/>
    <row r="3" spans="1:16" ht="15"/>
    <row r="4" spans="1:16" ht="15"/>
    <row r="5" spans="1:16" ht="18" customHeight="1">
      <c r="A5"/>
      <c r="B5" s="269" t="str">
        <f>IF(Indice_index!$Z$1=1,"ANEXOS ESTATÍSTICOS","STATISTICAL ANNEXES")</f>
        <v>ANEXOS ESTATÍSTICOS</v>
      </c>
      <c r="C5"/>
      <c r="D5"/>
      <c r="E5"/>
      <c r="F5"/>
      <c r="G5"/>
      <c r="H5"/>
      <c r="I5"/>
      <c r="J5"/>
      <c r="K5"/>
      <c r="L5"/>
      <c r="M5"/>
      <c r="N5"/>
      <c r="O5"/>
      <c r="P5"/>
    </row>
    <row r="6" spans="1:16" ht="18" customHeight="1">
      <c r="A6"/>
      <c r="B6" s="270" t="str">
        <f>IF(Indice_index!$Z$1=1,"Setembro de 2025","September 2025")</f>
        <v>Setembro de 2025</v>
      </c>
      <c r="C6"/>
      <c r="D6"/>
      <c r="E6"/>
      <c r="F6"/>
      <c r="G6"/>
      <c r="H6"/>
      <c r="I6"/>
      <c r="J6"/>
      <c r="K6"/>
      <c r="L6"/>
      <c r="M6"/>
      <c r="N6"/>
      <c r="O6"/>
      <c r="P6"/>
    </row>
    <row r="7" spans="1:16" ht="50.1" customHeight="1">
      <c r="A7" s="11"/>
      <c r="B7" s="12"/>
      <c r="C7" s="13"/>
      <c r="D7" s="11"/>
      <c r="E7" s="11"/>
      <c r="F7" s="11"/>
      <c r="G7" s="11"/>
      <c r="H7" s="11"/>
      <c r="I7" s="11"/>
      <c r="J7" s="11"/>
      <c r="K7" s="11"/>
      <c r="L7" s="10"/>
      <c r="M7" s="10"/>
      <c r="N7" s="10"/>
      <c r="O7" s="10"/>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96"/>
      <c r="C9" s="96"/>
      <c r="D9" s="96"/>
      <c r="E9" s="96"/>
      <c r="F9" s="96"/>
      <c r="G9" s="96"/>
      <c r="H9" s="96"/>
      <c r="I9" s="96"/>
      <c r="J9" s="96"/>
      <c r="K9" s="96"/>
      <c r="L9" s="96"/>
      <c r="M9" s="96"/>
      <c r="N9" s="96"/>
      <c r="O9" s="96"/>
      <c r="P9" s="96"/>
    </row>
    <row r="10" spans="1:16" ht="16.350000000000001" customHeight="1">
      <c r="A10" s="79"/>
      <c r="B10" s="410"/>
      <c r="C10" s="436"/>
      <c r="D10" s="369" t="str">
        <f>IF(Indice_index!$Z$1=1,"Pensionistas","Pensioners")</f>
        <v>Pensionistas</v>
      </c>
      <c r="E10" s="370"/>
      <c r="F10" s="370"/>
      <c r="G10" s="370"/>
      <c r="H10" s="371"/>
      <c r="I10" s="175" t="str">
        <f>IF(Indice_index!$Z$1=1,"Subscritores","Subscribers")</f>
        <v>Subscritores</v>
      </c>
      <c r="J10" s="3"/>
      <c r="K10" s="3"/>
      <c r="L10" s="3"/>
      <c r="M10" s="3"/>
      <c r="N10" s="3"/>
      <c r="O10" s="3"/>
      <c r="P10" s="3"/>
    </row>
    <row r="11" spans="1:16" ht="16.350000000000001" customHeight="1">
      <c r="A11" s="79"/>
      <c r="B11" s="373"/>
      <c r="C11" s="374"/>
      <c r="D11" s="453" t="s">
        <v>411</v>
      </c>
      <c r="E11" s="387"/>
      <c r="F11" s="387"/>
      <c r="G11" s="454"/>
      <c r="H11" s="430" t="str">
        <f>IF(Indice_index!$Z$1=1,"Valor médio pago por pensionista (€)","Average Value paid per Pensioner (€)")</f>
        <v>Valor médio pago por pensionista (€)</v>
      </c>
      <c r="I11" s="390" t="str">
        <f>IF(Indice_index!$Z$1=1,"Número","Number")</f>
        <v>Número</v>
      </c>
      <c r="J11" s="3"/>
      <c r="K11" s="3"/>
      <c r="L11" s="3"/>
      <c r="M11" s="3"/>
      <c r="N11" s="3"/>
      <c r="O11" s="3"/>
      <c r="P11" s="3"/>
    </row>
    <row r="12" spans="1:16" ht="36" customHeight="1">
      <c r="A12" s="79"/>
      <c r="B12" s="373"/>
      <c r="C12" s="374"/>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71"/>
      <c r="I12" s="389"/>
      <c r="P12" s="97"/>
    </row>
    <row r="13" spans="1:16" ht="14.1" hidden="1" customHeight="1">
      <c r="A13" s="82"/>
      <c r="B13" s="363">
        <v>2020</v>
      </c>
      <c r="C13" s="363"/>
      <c r="D13" s="179"/>
      <c r="E13" s="196"/>
      <c r="F13" s="196"/>
      <c r="G13" s="196"/>
      <c r="H13" s="196"/>
      <c r="I13" s="196"/>
      <c r="K13" s="98"/>
      <c r="L13" s="98"/>
      <c r="M13" s="98"/>
      <c r="N13" s="98"/>
      <c r="O13" s="98"/>
      <c r="P13" s="98"/>
    </row>
    <row r="14" spans="1:16" ht="14.1" hidden="1" customHeight="1">
      <c r="A14" s="82"/>
      <c r="B14" s="197"/>
      <c r="C14" s="198" t="str">
        <f>IF(Indice_index!$Z$1=1,"janeiro","January")</f>
        <v>janeiro</v>
      </c>
      <c r="D14" s="199">
        <v>410101</v>
      </c>
      <c r="E14" s="199">
        <v>71061</v>
      </c>
      <c r="F14" s="199">
        <v>165420</v>
      </c>
      <c r="G14" s="199">
        <v>646582</v>
      </c>
      <c r="H14" s="199">
        <v>1146.5</v>
      </c>
      <c r="I14" s="199">
        <v>429965</v>
      </c>
      <c r="K14" s="98"/>
      <c r="L14" s="98"/>
      <c r="M14" s="98"/>
      <c r="N14" s="98"/>
      <c r="O14" s="98"/>
      <c r="P14" s="98"/>
    </row>
    <row r="15" spans="1:16" ht="14.1" hidden="1" customHeight="1">
      <c r="A15" s="82"/>
      <c r="B15" s="197"/>
      <c r="C15" s="198" t="str">
        <f>IF(Indice_index!$Z$1=1,"fevereiro","February")</f>
        <v>fevereiro</v>
      </c>
      <c r="D15" s="199">
        <v>410094</v>
      </c>
      <c r="E15" s="199">
        <v>70877</v>
      </c>
      <c r="F15" s="199">
        <v>165251</v>
      </c>
      <c r="G15" s="199">
        <v>646222</v>
      </c>
      <c r="H15" s="199">
        <v>1125.4000000000001</v>
      </c>
      <c r="I15" s="199">
        <v>428711</v>
      </c>
      <c r="K15" s="98"/>
      <c r="L15" s="98"/>
      <c r="M15" s="98"/>
      <c r="N15" s="98"/>
      <c r="O15" s="98"/>
      <c r="P15" s="98"/>
    </row>
    <row r="16" spans="1:16" ht="14.1" hidden="1" customHeight="1">
      <c r="A16" s="82"/>
      <c r="B16" s="197"/>
      <c r="C16" s="198" t="str">
        <f>IF(Indice_index!$Z$1=1,"março","March")</f>
        <v>março</v>
      </c>
      <c r="D16" s="199">
        <v>410087</v>
      </c>
      <c r="E16" s="199">
        <v>70899</v>
      </c>
      <c r="F16" s="199">
        <v>165182</v>
      </c>
      <c r="G16" s="199">
        <v>646168</v>
      </c>
      <c r="H16" s="199">
        <v>1121.3</v>
      </c>
      <c r="I16" s="199">
        <v>427630</v>
      </c>
      <c r="K16" s="98"/>
      <c r="L16" s="98"/>
      <c r="M16" s="98"/>
      <c r="N16" s="98"/>
      <c r="O16" s="98"/>
      <c r="P16" s="98"/>
    </row>
    <row r="17" spans="1:16" ht="14.1" hidden="1" customHeight="1">
      <c r="A17" s="82"/>
      <c r="B17" s="197"/>
      <c r="C17" s="198" t="str">
        <f>IF(Indice_index!$Z$1=1,"abril","April")</f>
        <v>abril</v>
      </c>
      <c r="D17" s="199">
        <v>410375</v>
      </c>
      <c r="E17" s="199">
        <v>70760</v>
      </c>
      <c r="F17" s="199">
        <v>165317</v>
      </c>
      <c r="G17" s="199">
        <v>646452</v>
      </c>
      <c r="H17" s="199">
        <v>1121.3</v>
      </c>
      <c r="I17" s="199">
        <v>426527</v>
      </c>
      <c r="K17" s="98"/>
      <c r="L17" s="98"/>
      <c r="M17" s="98"/>
      <c r="N17" s="98"/>
      <c r="O17" s="98"/>
      <c r="P17" s="98"/>
    </row>
    <row r="18" spans="1:16" ht="14.1" hidden="1" customHeight="1">
      <c r="B18" s="197"/>
      <c r="C18" s="198" t="str">
        <f>IF(Indice_index!$Z$1=1,"maio","May")</f>
        <v>maio</v>
      </c>
      <c r="D18" s="199">
        <v>410802</v>
      </c>
      <c r="E18" s="199">
        <v>70571</v>
      </c>
      <c r="F18" s="199">
        <v>165247</v>
      </c>
      <c r="G18" s="199">
        <v>646620</v>
      </c>
      <c r="H18" s="199">
        <v>1119.5999999999999</v>
      </c>
      <c r="I18" s="199">
        <v>425361</v>
      </c>
      <c r="K18" s="98"/>
      <c r="L18" s="98"/>
      <c r="M18" s="98"/>
      <c r="N18" s="98"/>
      <c r="O18" s="98"/>
    </row>
    <row r="19" spans="1:16" ht="14.1" hidden="1" customHeight="1">
      <c r="B19" s="197"/>
      <c r="C19" s="198" t="str">
        <f>IF(Indice_index!$Z$1=1,"junho","June")</f>
        <v>junho</v>
      </c>
      <c r="D19" s="199">
        <v>411240</v>
      </c>
      <c r="E19" s="199">
        <v>70372</v>
      </c>
      <c r="F19" s="199">
        <v>165253</v>
      </c>
      <c r="G19" s="199">
        <v>646865</v>
      </c>
      <c r="H19" s="199">
        <v>1119.5999999999999</v>
      </c>
      <c r="I19" s="199">
        <v>424164</v>
      </c>
      <c r="K19" s="98"/>
      <c r="L19" s="98"/>
      <c r="M19" s="98"/>
      <c r="N19" s="98"/>
      <c r="O19" s="98"/>
    </row>
    <row r="20" spans="1:16" ht="14.1" hidden="1" customHeight="1">
      <c r="B20" s="197"/>
      <c r="C20" s="198" t="str">
        <f>IF(Indice_index!$Z$1=1,"julho","July")</f>
        <v>julho</v>
      </c>
      <c r="D20" s="199">
        <v>411780</v>
      </c>
      <c r="E20" s="199">
        <v>70237</v>
      </c>
      <c r="F20" s="199">
        <v>165534</v>
      </c>
      <c r="G20" s="199">
        <v>647551</v>
      </c>
      <c r="H20" s="199">
        <v>2184.8000000000002</v>
      </c>
      <c r="I20" s="199">
        <v>422899</v>
      </c>
      <c r="K20" s="98"/>
      <c r="L20" s="98"/>
      <c r="M20" s="98"/>
      <c r="N20" s="98"/>
      <c r="O20" s="98"/>
    </row>
    <row r="21" spans="1:16" ht="14.1" hidden="1" customHeight="1">
      <c r="B21" s="197"/>
      <c r="C21" s="198" t="str">
        <f>IF(Indice_index!$Z$1=1,"agosto","August")</f>
        <v>agosto</v>
      </c>
      <c r="D21" s="199">
        <v>412314</v>
      </c>
      <c r="E21" s="199">
        <v>70041</v>
      </c>
      <c r="F21" s="199">
        <v>165867</v>
      </c>
      <c r="G21" s="199">
        <v>648222</v>
      </c>
      <c r="H21" s="199">
        <v>1124.2</v>
      </c>
      <c r="I21" s="199">
        <v>421587</v>
      </c>
      <c r="K21" s="99"/>
      <c r="L21" s="99"/>
      <c r="M21" s="99"/>
      <c r="N21" s="99"/>
      <c r="O21" s="99"/>
    </row>
    <row r="22" spans="1:16" ht="14.1" hidden="1" customHeight="1">
      <c r="B22" s="197"/>
      <c r="C22" s="198" t="str">
        <f>IF(Indice_index!$Z$1=1,"setembro","September")</f>
        <v>setembro</v>
      </c>
      <c r="D22" s="199">
        <v>412631</v>
      </c>
      <c r="E22" s="199">
        <v>69806</v>
      </c>
      <c r="F22" s="199">
        <v>165824</v>
      </c>
      <c r="G22" s="199">
        <v>648261</v>
      </c>
      <c r="H22" s="199">
        <v>1124.9000000000001</v>
      </c>
      <c r="I22" s="199">
        <v>419894</v>
      </c>
      <c r="K22" s="99"/>
      <c r="L22" s="99"/>
      <c r="M22" s="99"/>
      <c r="N22" s="99"/>
      <c r="O22" s="99"/>
    </row>
    <row r="23" spans="1:16" ht="14.1" hidden="1" customHeight="1">
      <c r="B23" s="197"/>
      <c r="C23" s="198" t="str">
        <f>IF(Indice_index!$Z$1=1,"outubro","October")</f>
        <v>outubro</v>
      </c>
      <c r="D23" s="199">
        <v>412895</v>
      </c>
      <c r="E23" s="199">
        <v>69624</v>
      </c>
      <c r="F23" s="199">
        <v>165869</v>
      </c>
      <c r="G23" s="199">
        <v>648388</v>
      </c>
      <c r="H23" s="199">
        <v>1119.8</v>
      </c>
      <c r="I23" s="199">
        <v>418736</v>
      </c>
      <c r="K23" s="99"/>
      <c r="L23" s="99"/>
      <c r="M23" s="99"/>
      <c r="N23" s="99"/>
      <c r="O23" s="99"/>
    </row>
    <row r="24" spans="1:16" ht="14.1" hidden="1" customHeight="1">
      <c r="B24" s="197"/>
      <c r="C24" s="198" t="str">
        <f>IF(Indice_index!$Z$1=1,"novembro","November")</f>
        <v>novembro</v>
      </c>
      <c r="D24" s="199">
        <v>413065</v>
      </c>
      <c r="E24" s="199">
        <v>69489</v>
      </c>
      <c r="F24" s="199">
        <v>166049</v>
      </c>
      <c r="G24" s="199">
        <v>648603</v>
      </c>
      <c r="H24" s="199">
        <v>2220.1999999999998</v>
      </c>
      <c r="I24" s="199">
        <v>418012</v>
      </c>
      <c r="K24" s="99"/>
      <c r="L24" s="99"/>
      <c r="M24" s="99"/>
      <c r="N24" s="99"/>
      <c r="O24" s="99"/>
    </row>
    <row r="25" spans="1:16" ht="14.1" hidden="1" customHeight="1">
      <c r="B25" s="200"/>
      <c r="C25" s="198" t="str">
        <f>IF(Indice_index!$Z$1=1,"dezembro","December")</f>
        <v>dezembro</v>
      </c>
      <c r="D25" s="199">
        <v>413108</v>
      </c>
      <c r="E25" s="199">
        <v>69321</v>
      </c>
      <c r="F25" s="199">
        <v>166218</v>
      </c>
      <c r="G25" s="199">
        <v>648647</v>
      </c>
      <c r="H25" s="199">
        <v>1140.3</v>
      </c>
      <c r="I25" s="199">
        <v>416874</v>
      </c>
      <c r="K25" s="99"/>
      <c r="L25" s="99"/>
      <c r="M25" s="99"/>
      <c r="N25" s="99"/>
      <c r="O25" s="99"/>
    </row>
    <row r="26" spans="1:16" ht="14.1" customHeight="1">
      <c r="B26" s="363" t="s">
        <v>14</v>
      </c>
      <c r="C26" s="363"/>
      <c r="D26" s="199"/>
      <c r="E26" s="199"/>
      <c r="F26" s="199"/>
      <c r="G26" s="199"/>
      <c r="H26" s="199"/>
      <c r="I26" s="199"/>
      <c r="K26" s="98"/>
      <c r="L26" s="98"/>
      <c r="M26" s="98"/>
      <c r="N26" s="98"/>
      <c r="O26" s="98"/>
    </row>
    <row r="27" spans="1:16" ht="14.1" customHeight="1">
      <c r="B27" s="200"/>
      <c r="C27" s="198" t="str">
        <f>IF(Indice_index!$Z$1=1,"dezembro","December")</f>
        <v>dezembro</v>
      </c>
      <c r="D27" s="199">
        <v>414572</v>
      </c>
      <c r="E27" s="199">
        <v>67370</v>
      </c>
      <c r="F27" s="199">
        <v>165541</v>
      </c>
      <c r="G27" s="199">
        <v>647483</v>
      </c>
      <c r="H27" s="199">
        <v>1151.7</v>
      </c>
      <c r="I27" s="199">
        <v>402099</v>
      </c>
      <c r="K27" s="99"/>
      <c r="L27" s="99"/>
      <c r="M27" s="99"/>
      <c r="N27" s="99"/>
      <c r="O27" s="99"/>
    </row>
    <row r="28" spans="1:16" ht="14.1" customHeight="1">
      <c r="B28" s="363" t="s">
        <v>15</v>
      </c>
      <c r="C28" s="363"/>
      <c r="D28" s="199"/>
      <c r="E28" s="199"/>
      <c r="F28" s="199"/>
      <c r="G28" s="199"/>
      <c r="H28" s="199"/>
      <c r="I28" s="199"/>
      <c r="K28" s="98"/>
      <c r="L28" s="98"/>
      <c r="M28" s="98"/>
      <c r="N28" s="98"/>
      <c r="O28" s="98"/>
    </row>
    <row r="29" spans="1:16" ht="14.1" customHeight="1">
      <c r="B29" s="200"/>
      <c r="C29" s="198" t="str">
        <f>IF(Indice_index!$Z$1=1,"dezembro","December")</f>
        <v>dezembro</v>
      </c>
      <c r="D29" s="199">
        <v>417828</v>
      </c>
      <c r="E29" s="199">
        <v>65110</v>
      </c>
      <c r="F29" s="199">
        <v>165419</v>
      </c>
      <c r="G29" s="199">
        <v>648357</v>
      </c>
      <c r="H29" s="199">
        <v>1174.5</v>
      </c>
      <c r="I29" s="199">
        <v>386216</v>
      </c>
      <c r="K29" s="99"/>
      <c r="L29" s="99"/>
      <c r="M29" s="99"/>
      <c r="N29" s="99"/>
      <c r="O29" s="99"/>
    </row>
    <row r="30" spans="1:16" ht="14.1" customHeight="1">
      <c r="B30" s="363">
        <v>2023</v>
      </c>
      <c r="C30" s="363"/>
      <c r="D30" s="199"/>
      <c r="E30" s="199"/>
      <c r="F30" s="199"/>
      <c r="G30" s="199"/>
      <c r="H30" s="199"/>
      <c r="I30" s="199"/>
      <c r="K30" s="98"/>
      <c r="L30" s="98"/>
      <c r="M30" s="98"/>
      <c r="N30" s="98"/>
      <c r="O30" s="98"/>
    </row>
    <row r="31" spans="1:16" ht="14.1" customHeight="1">
      <c r="B31" s="200"/>
      <c r="C31" s="198" t="str">
        <f>IF(Indice_index!$Z$1=1,"dezembro","December")</f>
        <v>dezembro</v>
      </c>
      <c r="D31" s="199">
        <v>424533</v>
      </c>
      <c r="E31" s="199">
        <v>63043</v>
      </c>
      <c r="F31" s="199">
        <v>166756</v>
      </c>
      <c r="G31" s="199">
        <v>654332</v>
      </c>
      <c r="H31" s="199">
        <v>1276.7</v>
      </c>
      <c r="I31" s="199">
        <v>380060</v>
      </c>
      <c r="K31" s="178"/>
      <c r="L31" s="99"/>
      <c r="M31" s="99"/>
      <c r="N31" s="99"/>
      <c r="O31" s="99"/>
    </row>
    <row r="32" spans="1:16" ht="14.1" customHeight="1">
      <c r="B32" s="363">
        <v>2024</v>
      </c>
      <c r="C32" s="363"/>
      <c r="D32" s="199"/>
      <c r="E32" s="199"/>
      <c r="F32" s="199"/>
      <c r="G32" s="199"/>
      <c r="H32" s="199"/>
      <c r="I32" s="199"/>
      <c r="K32" s="98"/>
      <c r="L32" s="98"/>
      <c r="M32" s="98"/>
      <c r="N32" s="98"/>
      <c r="O32" s="98"/>
    </row>
    <row r="33" spans="2:15" ht="14.1" customHeight="1">
      <c r="B33" s="288"/>
      <c r="C33" s="198" t="str">
        <f>IF(Indice_index!$Z$1=1,"janeiro","January")</f>
        <v>janeiro</v>
      </c>
      <c r="D33" s="199">
        <v>425527</v>
      </c>
      <c r="E33" s="199">
        <v>62904</v>
      </c>
      <c r="F33" s="199">
        <v>166894</v>
      </c>
      <c r="G33" s="199">
        <v>655325</v>
      </c>
      <c r="H33" s="199">
        <v>1366.1</v>
      </c>
      <c r="I33" s="199">
        <v>376348</v>
      </c>
      <c r="K33" s="98"/>
      <c r="L33" s="98"/>
      <c r="M33" s="98"/>
      <c r="N33" s="98"/>
      <c r="O33" s="98"/>
    </row>
    <row r="34" spans="2:15" ht="13.5" customHeight="1">
      <c r="B34" s="288"/>
      <c r="C34" s="198" t="str">
        <f>IF(Indice_index!$Z$1=1,"fevereiro","February")</f>
        <v>fevereiro</v>
      </c>
      <c r="D34" s="199">
        <v>425594</v>
      </c>
      <c r="E34" s="199">
        <v>62765</v>
      </c>
      <c r="F34" s="199">
        <v>166688</v>
      </c>
      <c r="G34" s="199">
        <v>655047</v>
      </c>
      <c r="H34" s="199">
        <v>1327.6</v>
      </c>
      <c r="I34" s="199">
        <v>376801</v>
      </c>
      <c r="K34" s="98"/>
      <c r="L34" s="98"/>
      <c r="M34" s="98"/>
      <c r="N34" s="98"/>
      <c r="O34" s="98"/>
    </row>
    <row r="35" spans="2:15" ht="13.5" customHeight="1">
      <c r="B35" s="288"/>
      <c r="C35" s="198" t="str">
        <f>IF(Indice_index!$Z$1=1,"março","March")</f>
        <v>março</v>
      </c>
      <c r="D35" s="199">
        <v>425651</v>
      </c>
      <c r="E35" s="199">
        <v>62478</v>
      </c>
      <c r="F35" s="199">
        <v>166532</v>
      </c>
      <c r="G35" s="199">
        <v>654661</v>
      </c>
      <c r="H35" s="199">
        <v>1329.4</v>
      </c>
      <c r="I35" s="199">
        <v>375998</v>
      </c>
      <c r="K35" s="98"/>
      <c r="L35" s="98"/>
      <c r="M35" s="98"/>
      <c r="N35" s="98"/>
      <c r="O35" s="98"/>
    </row>
    <row r="36" spans="2:15" ht="13.5" customHeight="1">
      <c r="B36" s="288"/>
      <c r="C36" s="198" t="str">
        <f>IF(Indice_index!$Z$1=1,"abril","April")</f>
        <v>abril</v>
      </c>
      <c r="D36" s="199">
        <v>426063</v>
      </c>
      <c r="E36" s="199">
        <v>62340</v>
      </c>
      <c r="F36" s="199">
        <v>166914</v>
      </c>
      <c r="G36" s="199">
        <v>655317</v>
      </c>
      <c r="H36" s="199">
        <v>1340.4</v>
      </c>
      <c r="I36" s="199">
        <v>373975</v>
      </c>
      <c r="K36" s="98"/>
      <c r="L36" s="98"/>
      <c r="M36" s="98"/>
      <c r="N36" s="98"/>
      <c r="O36" s="98"/>
    </row>
    <row r="37" spans="2:15" ht="13.5" customHeight="1">
      <c r="B37" s="288"/>
      <c r="C37" s="198" t="str">
        <f>IF(Indice_index!$Z$1=1,"maio","May")</f>
        <v>maio</v>
      </c>
      <c r="D37" s="199">
        <v>426527</v>
      </c>
      <c r="E37" s="199">
        <v>62189</v>
      </c>
      <c r="F37" s="199">
        <v>167046</v>
      </c>
      <c r="G37" s="199">
        <v>655762</v>
      </c>
      <c r="H37" s="199">
        <v>1332.7</v>
      </c>
      <c r="I37" s="199">
        <v>369242</v>
      </c>
      <c r="K37" s="98"/>
      <c r="L37" s="98"/>
      <c r="M37" s="98"/>
      <c r="N37" s="98"/>
      <c r="O37" s="98"/>
    </row>
    <row r="38" spans="2:15" ht="13.5" customHeight="1">
      <c r="B38" s="288"/>
      <c r="C38" s="198" t="str">
        <f>IF(Indice_index!$Z$1=1,"junho","June")</f>
        <v>junho</v>
      </c>
      <c r="D38" s="199">
        <v>426869</v>
      </c>
      <c r="E38" s="199">
        <v>61979</v>
      </c>
      <c r="F38" s="199">
        <v>167155</v>
      </c>
      <c r="G38" s="199">
        <v>656003</v>
      </c>
      <c r="H38" s="199">
        <v>1331.4</v>
      </c>
      <c r="I38" s="199">
        <v>371587</v>
      </c>
      <c r="K38" s="98"/>
      <c r="L38" s="98"/>
      <c r="M38" s="98"/>
      <c r="N38" s="98"/>
      <c r="O38" s="98"/>
    </row>
    <row r="39" spans="2:15" ht="13.5" customHeight="1">
      <c r="B39" s="288"/>
      <c r="C39" s="198" t="str">
        <f>IF(Indice_index!$Z$1=1,"julho","July")</f>
        <v>julho</v>
      </c>
      <c r="D39" s="199">
        <v>427640</v>
      </c>
      <c r="E39" s="199">
        <v>61796</v>
      </c>
      <c r="F39" s="199">
        <v>167186</v>
      </c>
      <c r="G39" s="199">
        <v>656622</v>
      </c>
      <c r="H39" s="199">
        <v>2597.9</v>
      </c>
      <c r="I39" s="199">
        <v>369872</v>
      </c>
      <c r="K39" s="98"/>
      <c r="L39" s="98"/>
      <c r="M39" s="98"/>
      <c r="N39" s="98"/>
      <c r="O39" s="98"/>
    </row>
    <row r="40" spans="2:15" ht="13.5" customHeight="1">
      <c r="B40" s="288"/>
      <c r="C40" s="198" t="str">
        <f>IF(Indice_index!$Z$1=1,"agosto","August")</f>
        <v>agosto</v>
      </c>
      <c r="D40" s="199">
        <v>428479</v>
      </c>
      <c r="E40" s="199">
        <v>61656</v>
      </c>
      <c r="F40" s="199">
        <v>167573</v>
      </c>
      <c r="G40" s="199">
        <v>657708</v>
      </c>
      <c r="H40" s="199">
        <v>1336.2</v>
      </c>
      <c r="I40" s="199">
        <v>367681</v>
      </c>
      <c r="K40" s="98"/>
      <c r="L40" s="98"/>
      <c r="M40" s="98"/>
      <c r="N40" s="98"/>
      <c r="O40" s="98"/>
    </row>
    <row r="41" spans="2:15" ht="13.5" customHeight="1">
      <c r="B41" s="288"/>
      <c r="C41" s="198" t="str">
        <f>IF(Indice_index!$Z$1=1,"setembro","September")</f>
        <v>setembro</v>
      </c>
      <c r="D41" s="199">
        <v>429664</v>
      </c>
      <c r="E41" s="199">
        <v>61512</v>
      </c>
      <c r="F41" s="199">
        <v>167610</v>
      </c>
      <c r="G41" s="199">
        <v>658786</v>
      </c>
      <c r="H41" s="199">
        <v>1333.6</v>
      </c>
      <c r="I41" s="199">
        <v>365674</v>
      </c>
      <c r="K41" s="98"/>
      <c r="L41" s="98"/>
      <c r="M41" s="98"/>
      <c r="N41" s="98"/>
      <c r="O41" s="98"/>
    </row>
    <row r="42" spans="2:15" ht="13.5" customHeight="1">
      <c r="B42" s="288"/>
      <c r="C42" s="198" t="str">
        <f>IF(Indice_index!$Z$1=1,"outubro","October")</f>
        <v>outubro</v>
      </c>
      <c r="D42" s="199">
        <v>430685</v>
      </c>
      <c r="E42" s="199">
        <v>61348</v>
      </c>
      <c r="F42" s="199">
        <v>167704</v>
      </c>
      <c r="G42" s="199">
        <v>659737</v>
      </c>
      <c r="H42" s="199">
        <v>1339.6</v>
      </c>
      <c r="I42" s="199">
        <v>363152</v>
      </c>
      <c r="K42" s="98"/>
      <c r="L42" s="98"/>
      <c r="M42" s="98"/>
      <c r="N42" s="98"/>
      <c r="O42" s="98"/>
    </row>
    <row r="43" spans="2:15" ht="13.5" customHeight="1">
      <c r="B43" s="288"/>
      <c r="C43" s="198" t="str">
        <f>IF(Indice_index!$Z$1=1,"novembro","November")</f>
        <v>novembro</v>
      </c>
      <c r="D43" s="199">
        <v>431791</v>
      </c>
      <c r="E43" s="199">
        <v>61197</v>
      </c>
      <c r="F43" s="199">
        <v>167994</v>
      </c>
      <c r="G43" s="199">
        <v>660982</v>
      </c>
      <c r="H43" s="199">
        <v>2644.6</v>
      </c>
      <c r="I43" s="199">
        <v>361719</v>
      </c>
      <c r="K43" s="98"/>
      <c r="L43" s="98"/>
      <c r="M43" s="98"/>
      <c r="N43" s="98"/>
      <c r="O43" s="98"/>
    </row>
    <row r="44" spans="2:15" ht="13.5" customHeight="1">
      <c r="B44" s="288"/>
      <c r="C44" s="198" t="str">
        <f>IF(Indice_index!$Z$1=1,"dezembro","December")</f>
        <v>dezembro</v>
      </c>
      <c r="D44" s="199">
        <v>433284</v>
      </c>
      <c r="E44" s="199">
        <v>61070</v>
      </c>
      <c r="F44" s="199">
        <v>168313</v>
      </c>
      <c r="G44" s="199">
        <v>662667</v>
      </c>
      <c r="H44" s="199">
        <v>1380</v>
      </c>
      <c r="I44" s="199">
        <v>359795</v>
      </c>
      <c r="K44" s="98"/>
      <c r="L44" s="98"/>
      <c r="M44" s="98"/>
      <c r="N44" s="98"/>
      <c r="O44" s="98"/>
    </row>
    <row r="45" spans="2:15" ht="14.1" customHeight="1">
      <c r="B45" s="363">
        <v>2025</v>
      </c>
      <c r="C45" s="363"/>
      <c r="D45" s="199"/>
      <c r="E45" s="199"/>
      <c r="F45" s="199"/>
      <c r="G45" s="199"/>
      <c r="H45" s="199"/>
      <c r="I45" s="199"/>
      <c r="K45" s="98"/>
      <c r="L45" s="98"/>
      <c r="M45" s="98"/>
      <c r="N45" s="98"/>
      <c r="O45" s="98"/>
    </row>
    <row r="46" spans="2:15" ht="14.1" customHeight="1">
      <c r="B46" s="275"/>
      <c r="C46" s="198" t="str">
        <f>IF(Indice_index!$Z$1=1,"janeiro","January")</f>
        <v>janeiro</v>
      </c>
      <c r="D46" s="199">
        <v>434207</v>
      </c>
      <c r="E46" s="199">
        <v>60914</v>
      </c>
      <c r="F46" s="199">
        <v>168511</v>
      </c>
      <c r="G46" s="199">
        <v>663632</v>
      </c>
      <c r="H46" s="199">
        <v>1412.1</v>
      </c>
      <c r="I46" s="199">
        <v>357805</v>
      </c>
      <c r="K46" s="98"/>
      <c r="L46" s="98"/>
      <c r="M46" s="98"/>
      <c r="N46" s="98"/>
      <c r="O46" s="98"/>
    </row>
    <row r="47" spans="2:15" ht="14.1" customHeight="1">
      <c r="B47" s="275"/>
      <c r="C47" s="198" t="str">
        <f>IF(Indice_index!$Z$1=1,"fevereiro","February")</f>
        <v>fevereiro</v>
      </c>
      <c r="D47" s="199">
        <v>434831</v>
      </c>
      <c r="E47" s="199">
        <v>60659</v>
      </c>
      <c r="F47" s="199">
        <v>168499</v>
      </c>
      <c r="G47" s="199">
        <v>663989</v>
      </c>
      <c r="H47" s="199">
        <v>1377.6</v>
      </c>
      <c r="I47" s="199">
        <v>357420</v>
      </c>
      <c r="K47" s="98"/>
      <c r="L47" s="98"/>
      <c r="M47" s="98"/>
      <c r="N47" s="98"/>
      <c r="O47" s="98"/>
    </row>
    <row r="48" spans="2:15" ht="14.1" customHeight="1">
      <c r="B48" s="275"/>
      <c r="C48" s="198" t="str">
        <f>IF(Indice_index!$Z$1=1,"março","March")</f>
        <v>março</v>
      </c>
      <c r="D48" s="199">
        <v>435540</v>
      </c>
      <c r="E48" s="199">
        <v>60431</v>
      </c>
      <c r="F48" s="199">
        <v>168424</v>
      </c>
      <c r="G48" s="199">
        <v>664395</v>
      </c>
      <c r="H48" s="199">
        <v>1384.5</v>
      </c>
      <c r="I48" s="199">
        <v>356945</v>
      </c>
      <c r="K48" s="98"/>
      <c r="L48" s="98"/>
      <c r="M48" s="98"/>
      <c r="N48" s="98"/>
      <c r="O48" s="98"/>
    </row>
    <row r="49" spans="2:15" ht="14.1" customHeight="1">
      <c r="B49" s="275"/>
      <c r="C49" s="198" t="str">
        <f>IF(Indice_index!$Z$1=1,"abril","April")</f>
        <v>abril</v>
      </c>
      <c r="D49" s="199">
        <v>436296</v>
      </c>
      <c r="E49" s="199">
        <v>60223</v>
      </c>
      <c r="F49" s="199">
        <v>168585</v>
      </c>
      <c r="G49" s="199">
        <v>665104</v>
      </c>
      <c r="H49" s="199">
        <v>1388.7</v>
      </c>
      <c r="I49" s="199">
        <v>359764</v>
      </c>
      <c r="K49" s="98"/>
      <c r="L49" s="98"/>
      <c r="M49" s="98"/>
      <c r="N49" s="98"/>
      <c r="O49" s="98"/>
    </row>
    <row r="50" spans="2:15" ht="14.1" customHeight="1">
      <c r="B50" s="200"/>
      <c r="C50" s="198" t="str">
        <f>IF(Indice_index!$Z$1=1,"maio","May")</f>
        <v>maio</v>
      </c>
      <c r="D50" s="199">
        <v>436771</v>
      </c>
      <c r="E50" s="199">
        <v>60017</v>
      </c>
      <c r="F50" s="199">
        <v>168294</v>
      </c>
      <c r="G50" s="199">
        <v>665082</v>
      </c>
      <c r="H50" s="199">
        <v>1385</v>
      </c>
      <c r="I50" s="199">
        <v>359533</v>
      </c>
      <c r="K50" s="178"/>
      <c r="L50" s="99"/>
      <c r="M50" s="99"/>
      <c r="N50" s="99"/>
      <c r="O50" s="99"/>
    </row>
    <row r="51" spans="2:15" ht="14.1" customHeight="1">
      <c r="B51" s="200"/>
      <c r="C51" s="198" t="s">
        <v>463</v>
      </c>
      <c r="D51" s="199">
        <v>437156</v>
      </c>
      <c r="E51" s="199">
        <v>59825</v>
      </c>
      <c r="F51" s="199">
        <v>168412</v>
      </c>
      <c r="G51" s="199">
        <v>665393</v>
      </c>
      <c r="H51" s="199">
        <v>1384.2</v>
      </c>
      <c r="I51" s="199">
        <v>358826</v>
      </c>
      <c r="K51" s="178"/>
      <c r="L51" s="99"/>
      <c r="M51" s="99"/>
      <c r="N51" s="99"/>
      <c r="O51" s="99"/>
    </row>
    <row r="52" spans="2:15" ht="14.1" customHeight="1">
      <c r="B52" s="200"/>
      <c r="C52" s="198" t="s">
        <v>467</v>
      </c>
      <c r="D52" s="199">
        <v>437537</v>
      </c>
      <c r="E52" s="199">
        <v>59682</v>
      </c>
      <c r="F52" s="199">
        <v>168561</v>
      </c>
      <c r="G52" s="199">
        <v>665780</v>
      </c>
      <c r="H52" s="199">
        <v>2701.6</v>
      </c>
      <c r="I52" s="199">
        <v>357657</v>
      </c>
      <c r="K52" s="178"/>
      <c r="L52" s="99"/>
      <c r="M52" s="99"/>
      <c r="N52" s="99"/>
      <c r="O52" s="99"/>
    </row>
    <row r="53" spans="2:15" ht="14.1" customHeight="1">
      <c r="B53" s="200"/>
      <c r="C53" s="198" t="s">
        <v>471</v>
      </c>
      <c r="D53" s="199">
        <v>437917</v>
      </c>
      <c r="E53" s="199">
        <v>59528</v>
      </c>
      <c r="F53" s="199">
        <v>168773</v>
      </c>
      <c r="G53" s="199">
        <v>666218</v>
      </c>
      <c r="H53" s="199">
        <v>1388.9</v>
      </c>
      <c r="I53" s="199">
        <v>356200</v>
      </c>
      <c r="K53" s="178"/>
      <c r="L53" s="99"/>
      <c r="M53" s="99"/>
      <c r="N53" s="99"/>
      <c r="O53" s="99"/>
    </row>
    <row r="54" spans="2:15" ht="14.1" customHeight="1">
      <c r="B54" s="200"/>
      <c r="C54" s="198" t="s">
        <v>472</v>
      </c>
      <c r="D54" s="199">
        <v>438631</v>
      </c>
      <c r="E54" s="199">
        <v>59431</v>
      </c>
      <c r="F54" s="199">
        <v>168803</v>
      </c>
      <c r="G54" s="199">
        <v>666865</v>
      </c>
      <c r="H54" s="199">
        <v>1386.7</v>
      </c>
      <c r="I54" s="199">
        <v>354653</v>
      </c>
      <c r="K54" s="178"/>
      <c r="L54" s="99"/>
      <c r="M54" s="99"/>
      <c r="N54" s="99"/>
      <c r="O54" s="99"/>
    </row>
    <row r="55" spans="2:15" ht="3.75" customHeight="1">
      <c r="B55" s="289"/>
      <c r="C55" s="290"/>
      <c r="D55" s="291"/>
      <c r="E55" s="291"/>
      <c r="F55" s="291"/>
      <c r="G55" s="291"/>
      <c r="H55" s="291"/>
      <c r="I55" s="291"/>
      <c r="K55" s="98"/>
      <c r="L55" s="98"/>
      <c r="M55" s="98"/>
      <c r="N55" s="98"/>
      <c r="O55" s="98"/>
    </row>
    <row r="56" spans="2:15" ht="14.1" customHeight="1">
      <c r="B56" s="9"/>
      <c r="C56" s="9"/>
      <c r="D56" s="9"/>
      <c r="E56" s="9"/>
      <c r="F56" s="9"/>
      <c r="G56" s="9"/>
      <c r="H56" s="9"/>
      <c r="I56" s="9"/>
      <c r="K56" s="178"/>
      <c r="L56" s="99"/>
      <c r="M56" s="99"/>
      <c r="N56" s="99"/>
      <c r="O56" s="99"/>
    </row>
    <row r="57" spans="2:15" ht="16.350000000000001" customHeight="1">
      <c r="B57" s="373"/>
      <c r="C57" s="431"/>
      <c r="D57" s="369" t="str">
        <f>IF(Indice_index!$Z$1=1,"Pensionistas","Pensioners")</f>
        <v>Pensionistas</v>
      </c>
      <c r="E57" s="370"/>
      <c r="F57" s="370"/>
      <c r="G57" s="370"/>
      <c r="H57" s="371"/>
      <c r="I57" s="175" t="str">
        <f>IF(Indice_index!$Z$1=1,"Subscritores","Subscribers")</f>
        <v>Subscritores</v>
      </c>
      <c r="K57" s="177"/>
    </row>
    <row r="58" spans="2:15" ht="16.350000000000001" customHeight="1">
      <c r="B58" s="373"/>
      <c r="C58" s="431"/>
      <c r="D58" s="356" t="str">
        <f>IF(Indice_index!$Z$1=1,"VH do número de pensionistas (%)","YOY Change Rate of the number of subscribers (%)")</f>
        <v>VH do número de pensionistas (%)</v>
      </c>
      <c r="E58" s="356"/>
      <c r="F58" s="356"/>
      <c r="G58" s="356"/>
      <c r="H58" s="356" t="str">
        <f>IF(Indice_index!$Z$1=1,"VHA Valor médio pago por pensionista","YOY Change Rate of the Average Value paid per Pensioner")</f>
        <v>VHA Valor médio pago por pensionista</v>
      </c>
      <c r="I58" s="391" t="str">
        <f>IF(Indice_index!$Z$1=1,"VHA do Número de subscritores (%)","YOY Change Rate of the Number of Subscribers (%)")</f>
        <v>VHA do Número de subscritores (%)</v>
      </c>
      <c r="K58" s="177"/>
    </row>
    <row r="59" spans="2:15" ht="36" customHeight="1">
      <c r="B59" s="373"/>
      <c r="C59" s="431"/>
      <c r="D59" s="22" t="str">
        <f>IF(Indice_index!$Z$1=1,"Velhice e Outros Motivos","Old age and other Reasons")</f>
        <v>Velhice e Outros Motivos</v>
      </c>
      <c r="E59" s="22" t="str">
        <f>IF(Indice_index!$Z$1=1,"Invalidez","Disability")</f>
        <v>Invalidez</v>
      </c>
      <c r="F59" s="22" t="str">
        <f>IF(Indice_index!$Z$1=1,"Sobrevivência e Outros","Survival and Others")</f>
        <v>Sobrevivência e Outros</v>
      </c>
      <c r="G59" s="22" t="str">
        <f>IF(Indice_index!$Z$1=1,"Total de Pensionistas","Total of Pensioners")</f>
        <v>Total de Pensionistas</v>
      </c>
      <c r="H59" s="390"/>
      <c r="I59" s="410"/>
      <c r="K59" s="177"/>
    </row>
    <row r="60" spans="2:15" ht="14.1" hidden="1" customHeight="1">
      <c r="B60" s="363">
        <v>2020</v>
      </c>
      <c r="C60" s="363"/>
      <c r="D60" s="179"/>
      <c r="E60" s="196"/>
      <c r="F60" s="196"/>
      <c r="G60" s="196"/>
      <c r="I60" s="196"/>
      <c r="K60" s="177"/>
      <c r="L60" s="98"/>
      <c r="M60" s="98"/>
      <c r="N60" s="98"/>
      <c r="O60" s="98"/>
    </row>
    <row r="61" spans="2:15" ht="14.1" hidden="1" customHeight="1">
      <c r="B61" s="201"/>
      <c r="C61" s="198" t="str">
        <f>IF(Indice_index!$Z$1=1,"janeiro","January")</f>
        <v>janeiro</v>
      </c>
      <c r="D61" s="4">
        <v>0.64890282901017782</v>
      </c>
      <c r="E61" s="4">
        <v>-0.79712977440250177</v>
      </c>
      <c r="F61" s="4">
        <v>1.2976038113667399</v>
      </c>
      <c r="G61" s="4">
        <v>0.65256308473045976</v>
      </c>
      <c r="H61" s="4">
        <v>0.13975019652370591</v>
      </c>
      <c r="I61" s="4">
        <v>-2.830792038708132</v>
      </c>
      <c r="K61" s="177"/>
      <c r="L61" s="99"/>
      <c r="M61" s="99"/>
      <c r="N61" s="99"/>
      <c r="O61" s="99"/>
    </row>
    <row r="62" spans="2:15" ht="14.1" hidden="1" customHeight="1">
      <c r="B62" s="201"/>
      <c r="C62" s="198" t="str">
        <f>IF(Indice_index!$Z$1=1,"fevereiro","February")</f>
        <v>fevereiro</v>
      </c>
      <c r="D62" s="4">
        <v>0.71713812768005814</v>
      </c>
      <c r="E62" s="4">
        <v>-0.90320596171860801</v>
      </c>
      <c r="F62" s="4">
        <v>1.0851679441144626</v>
      </c>
      <c r="G62" s="4">
        <v>0.63035875012068388</v>
      </c>
      <c r="H62" s="4">
        <v>0.47317203821089027</v>
      </c>
      <c r="I62" s="4">
        <v>-2.9193642253336143</v>
      </c>
      <c r="K62" s="177"/>
      <c r="L62" s="99"/>
      <c r="M62" s="99"/>
      <c r="N62" s="99"/>
      <c r="O62" s="99"/>
    </row>
    <row r="63" spans="2:15" ht="14.1" hidden="1" customHeight="1">
      <c r="B63" s="201"/>
      <c r="C63" s="198" t="str">
        <f>IF(Indice_index!$Z$1=1,"março","March")</f>
        <v>março</v>
      </c>
      <c r="D63" s="4">
        <v>0.89035299211746077</v>
      </c>
      <c r="E63" s="4">
        <v>-0.82113980359790717</v>
      </c>
      <c r="F63" s="4">
        <v>1.0608878664774117</v>
      </c>
      <c r="G63" s="4">
        <v>0.74305973476852272</v>
      </c>
      <c r="H63" s="4">
        <v>1.1182252682838725</v>
      </c>
      <c r="I63" s="4">
        <v>-2.9439334000603719</v>
      </c>
      <c r="K63" s="178"/>
      <c r="L63" s="99"/>
      <c r="M63" s="99"/>
      <c r="N63" s="99"/>
      <c r="O63" s="99"/>
    </row>
    <row r="64" spans="2:15" ht="14.1" hidden="1" customHeight="1">
      <c r="B64" s="201"/>
      <c r="C64" s="198" t="str">
        <f>IF(Indice_index!$Z$1=1,"abril","April")</f>
        <v>abril</v>
      </c>
      <c r="D64" s="4">
        <v>0.93985054875859053</v>
      </c>
      <c r="E64" s="4">
        <v>-1.0999762393950829</v>
      </c>
      <c r="F64" s="4">
        <v>1.1725754432347415</v>
      </c>
      <c r="G64" s="4">
        <v>0.77162658884929436</v>
      </c>
      <c r="H64" s="4">
        <v>0.49291987811435745</v>
      </c>
      <c r="I64" s="4">
        <v>-2.9996565973114526</v>
      </c>
      <c r="K64" s="177"/>
      <c r="L64" s="99"/>
      <c r="M64" s="99"/>
      <c r="N64" s="99"/>
      <c r="O64" s="99"/>
    </row>
    <row r="65" spans="2:15" ht="14.1" hidden="1" customHeight="1">
      <c r="B65" s="201"/>
      <c r="C65" s="198" t="str">
        <f>IF(Indice_index!$Z$1=1,"maio","May")</f>
        <v>maio</v>
      </c>
      <c r="D65" s="4">
        <v>0.9733508339846918</v>
      </c>
      <c r="E65" s="4">
        <v>-1.362759623179493</v>
      </c>
      <c r="F65" s="4">
        <v>1.1885662498622218</v>
      </c>
      <c r="G65" s="4">
        <v>0.76765561155317019</v>
      </c>
      <c r="H65" s="4">
        <v>0.65629776139530294</v>
      </c>
      <c r="I65" s="4">
        <v>-3.0613454149327475</v>
      </c>
      <c r="K65" s="177"/>
      <c r="L65" s="99"/>
      <c r="M65" s="99"/>
      <c r="N65" s="99"/>
      <c r="O65" s="99"/>
    </row>
    <row r="66" spans="2:15" ht="14.1" hidden="1" customHeight="1">
      <c r="B66" s="201"/>
      <c r="C66" s="198" t="str">
        <f>IF(Indice_index!$Z$1=1,"junho","June")</f>
        <v>junho</v>
      </c>
      <c r="D66" s="4">
        <v>1.1000000000000001</v>
      </c>
      <c r="E66" s="4">
        <v>-1.6</v>
      </c>
      <c r="F66" s="4">
        <v>1</v>
      </c>
      <c r="G66" s="4">
        <v>0.8</v>
      </c>
      <c r="H66" s="4">
        <v>0.6</v>
      </c>
      <c r="I66" s="4">
        <v>-3.1</v>
      </c>
      <c r="K66" s="177"/>
      <c r="L66" s="99"/>
      <c r="M66" s="99"/>
      <c r="N66" s="99"/>
      <c r="O66" s="99"/>
    </row>
    <row r="67" spans="2:15" ht="14.1" hidden="1" customHeight="1">
      <c r="B67" s="201"/>
      <c r="C67" s="198" t="str">
        <f>IF(Indice_index!$Z$1=1,"julho","July")</f>
        <v>julho</v>
      </c>
      <c r="D67" s="4">
        <v>1.2</v>
      </c>
      <c r="E67" s="4">
        <v>-1.8</v>
      </c>
      <c r="F67" s="4">
        <v>1.1000000000000001</v>
      </c>
      <c r="G67" s="4">
        <v>0.8</v>
      </c>
      <c r="H67" s="4">
        <v>0.5</v>
      </c>
      <c r="I67" s="4">
        <v>-3.2</v>
      </c>
      <c r="K67" s="178"/>
      <c r="L67" s="99"/>
      <c r="M67" s="99"/>
      <c r="N67" s="99"/>
      <c r="O67" s="99"/>
    </row>
    <row r="68" spans="2:15" ht="14.1" hidden="1" customHeight="1">
      <c r="B68" s="201"/>
      <c r="C68" s="198" t="str">
        <f>IF(Indice_index!$Z$1=1,"agosto","August")</f>
        <v>agosto</v>
      </c>
      <c r="D68" s="4">
        <v>1.2534073328258146</v>
      </c>
      <c r="E68" s="4">
        <v>-1.9747522812517495</v>
      </c>
      <c r="F68" s="4">
        <v>1.1217665384357454</v>
      </c>
      <c r="G68" s="4">
        <v>0.86091406574564067</v>
      </c>
      <c r="H68" s="4">
        <v>-0.76794068320240483</v>
      </c>
      <c r="I68" s="4">
        <v>-3.2695709634565215</v>
      </c>
      <c r="K68" s="177"/>
    </row>
    <row r="69" spans="2:15" ht="14.1" hidden="1" customHeight="1">
      <c r="B69" s="201"/>
      <c r="C69" s="198" t="str">
        <f>IF(Indice_index!$Z$1=1,"setembro","September")</f>
        <v>setembro</v>
      </c>
      <c r="D69" s="4">
        <v>1.2688330907743317</v>
      </c>
      <c r="E69" s="4">
        <v>-2.3009097270818755</v>
      </c>
      <c r="F69" s="4">
        <v>0.96997521783341767</v>
      </c>
      <c r="G69" s="4">
        <v>0.79593620071461668</v>
      </c>
      <c r="H69" s="4">
        <v>1.0147270114942692</v>
      </c>
      <c r="I69" s="4">
        <v>-3.4066937656284866</v>
      </c>
      <c r="K69" s="178"/>
    </row>
    <row r="70" spans="2:15" ht="14.1" hidden="1" customHeight="1">
      <c r="B70" s="201"/>
      <c r="C70" s="198" t="str">
        <f>IF(Indice_index!$Z$1=1,"outubro","October")</f>
        <v>outubro</v>
      </c>
      <c r="D70" s="4">
        <v>1.4</v>
      </c>
      <c r="E70" s="4">
        <v>-2.4</v>
      </c>
      <c r="F70" s="4">
        <v>0.9</v>
      </c>
      <c r="G70" s="4">
        <v>0.8</v>
      </c>
      <c r="H70" s="4">
        <v>0.7</v>
      </c>
      <c r="I70" s="4">
        <v>-3.4</v>
      </c>
      <c r="K70" s="177"/>
    </row>
    <row r="71" spans="2:15" ht="14.1" hidden="1" customHeight="1">
      <c r="B71" s="200"/>
      <c r="C71" s="198" t="str">
        <f>IF(Indice_index!$Z$1=1,"novembro","November")</f>
        <v>novembro</v>
      </c>
      <c r="D71" s="4">
        <v>1.1000000000000001</v>
      </c>
      <c r="E71" s="4">
        <v>-2.5</v>
      </c>
      <c r="F71" s="4">
        <v>0.8</v>
      </c>
      <c r="G71" s="4">
        <v>0.6</v>
      </c>
      <c r="H71" s="4">
        <v>0</v>
      </c>
      <c r="I71" s="4">
        <v>-3.3</v>
      </c>
    </row>
    <row r="72" spans="2:15" ht="14.1" hidden="1" customHeight="1">
      <c r="B72" s="200"/>
      <c r="C72" s="198" t="str">
        <f>IF(Indice_index!$Z$1=1,"dezembro","December")</f>
        <v>dezembro</v>
      </c>
      <c r="D72" s="4">
        <v>0.8</v>
      </c>
      <c r="E72" s="4">
        <v>-2.7</v>
      </c>
      <c r="F72" s="4">
        <v>1</v>
      </c>
      <c r="G72" s="4">
        <v>0.5</v>
      </c>
      <c r="H72" s="4">
        <v>0.9</v>
      </c>
      <c r="I72" s="4">
        <v>-3.3</v>
      </c>
    </row>
    <row r="73" spans="2:15" ht="14.1" customHeight="1">
      <c r="B73" s="363" t="s">
        <v>14</v>
      </c>
      <c r="C73" s="363"/>
      <c r="D73" s="4"/>
      <c r="E73" s="4"/>
      <c r="F73" s="4"/>
      <c r="G73" s="4"/>
      <c r="H73" s="4"/>
      <c r="I73" s="4"/>
      <c r="K73" s="98"/>
      <c r="L73" s="98"/>
      <c r="M73" s="98"/>
      <c r="N73" s="98"/>
      <c r="O73" s="98"/>
    </row>
    <row r="74" spans="2:15" ht="14.1" customHeight="1">
      <c r="B74" s="200"/>
      <c r="C74" s="198" t="str">
        <f>IF(Indice_index!$Z$1=1,"dezembro","December")</f>
        <v>dezembro</v>
      </c>
      <c r="D74" s="4">
        <v>0.35438674632299544</v>
      </c>
      <c r="E74" s="4">
        <v>-2.8144429537946656</v>
      </c>
      <c r="F74" s="4">
        <v>-0.407296442021923</v>
      </c>
      <c r="G74" s="4">
        <v>-0.17945045610324259</v>
      </c>
      <c r="H74" s="4">
        <v>0.99973691133912934</v>
      </c>
      <c r="I74" s="4">
        <v>-3.5442363879733443</v>
      </c>
    </row>
    <row r="75" spans="2:15" ht="14.1" customHeight="1">
      <c r="B75" s="363" t="s">
        <v>15</v>
      </c>
      <c r="C75" s="363"/>
      <c r="D75" s="4"/>
      <c r="E75" s="4"/>
      <c r="F75" s="4"/>
      <c r="G75" s="4"/>
      <c r="H75" s="4"/>
      <c r="I75" s="4"/>
      <c r="K75" s="98"/>
      <c r="L75" s="98"/>
      <c r="M75" s="98"/>
      <c r="N75" s="98"/>
      <c r="O75" s="98"/>
    </row>
    <row r="76" spans="2:15" ht="14.1" customHeight="1">
      <c r="B76" s="200"/>
      <c r="C76" s="198" t="str">
        <f>IF(Indice_index!$Z$1=1,"dezembro","December")</f>
        <v>dezembro</v>
      </c>
      <c r="D76" s="4">
        <v>0.78538830408228255</v>
      </c>
      <c r="E76" s="4">
        <v>-3.3546088763544604</v>
      </c>
      <c r="F76" s="4">
        <v>-7.3697754634803464E-2</v>
      </c>
      <c r="G76" s="4">
        <v>0.13498423896843625</v>
      </c>
      <c r="H76" s="4">
        <v>1.9796822089085657</v>
      </c>
      <c r="I76" s="4">
        <v>-3.9500222582000948</v>
      </c>
    </row>
    <row r="77" spans="2:15" ht="14.1" customHeight="1">
      <c r="B77" s="363">
        <v>2023</v>
      </c>
      <c r="C77" s="363"/>
      <c r="D77" s="4"/>
      <c r="E77" s="4"/>
      <c r="F77" s="4"/>
      <c r="G77" s="4"/>
      <c r="H77" s="4"/>
      <c r="I77" s="4"/>
      <c r="K77" s="98"/>
      <c r="L77" s="98"/>
      <c r="M77" s="98"/>
      <c r="N77" s="98"/>
      <c r="O77" s="98"/>
    </row>
    <row r="78" spans="2:15" ht="14.1" customHeight="1">
      <c r="B78" s="201"/>
      <c r="C78" s="198" t="str">
        <f>IF(Indice_index!$Z$1=1,"dezembro","December")</f>
        <v>dezembro</v>
      </c>
      <c r="D78" s="4">
        <v>1.6047273040581294</v>
      </c>
      <c r="E78" s="4">
        <v>-3.1746275533712174</v>
      </c>
      <c r="F78" s="4">
        <v>0.80825056372000792</v>
      </c>
      <c r="G78" s="4">
        <v>0.92156018983368726</v>
      </c>
      <c r="H78" s="4">
        <v>8.7015751383567519</v>
      </c>
      <c r="I78" s="4">
        <v>-1.593926714584585</v>
      </c>
    </row>
    <row r="79" spans="2:15" ht="14.1" customHeight="1">
      <c r="B79" s="363">
        <v>2024</v>
      </c>
      <c r="C79" s="363"/>
      <c r="D79" s="4"/>
      <c r="E79" s="4"/>
      <c r="F79" s="4"/>
      <c r="G79" s="4"/>
      <c r="H79" s="4"/>
      <c r="I79" s="4"/>
      <c r="K79" s="98"/>
      <c r="L79" s="98"/>
      <c r="M79" s="98"/>
      <c r="N79" s="98"/>
      <c r="O79" s="98"/>
    </row>
    <row r="80" spans="2:15" ht="15">
      <c r="B80" s="288"/>
      <c r="C80" s="198" t="str">
        <f>IF(Indice_index!$Z$1=1,"janeiro","January")</f>
        <v>janeiro</v>
      </c>
      <c r="D80" s="4">
        <v>1.7298961727601121</v>
      </c>
      <c r="E80" s="4">
        <v>-3.1113301706610805</v>
      </c>
      <c r="F80" s="4">
        <v>0.94171298620393495</v>
      </c>
      <c r="G80" s="4">
        <v>1.0443264379725914</v>
      </c>
      <c r="H80" s="4">
        <v>10.293880187308252</v>
      </c>
      <c r="I80" s="4">
        <v>-2.2845822504134783</v>
      </c>
      <c r="K80" s="99"/>
      <c r="L80" s="99"/>
      <c r="M80" s="99"/>
      <c r="N80" s="99"/>
      <c r="O80" s="99"/>
    </row>
    <row r="81" spans="2:15" ht="13.5" customHeight="1">
      <c r="B81" s="288"/>
      <c r="C81" s="198" t="str">
        <f>IF(Indice_index!$Z$1=1,"fevereiro","February")</f>
        <v>fevereiro</v>
      </c>
      <c r="D81" s="4">
        <v>1.7466434609646944</v>
      </c>
      <c r="E81" s="4">
        <v>-2.992225777035904</v>
      </c>
      <c r="F81" s="4">
        <v>0.93922016265282759</v>
      </c>
      <c r="G81" s="4">
        <v>1.0678479184602994</v>
      </c>
      <c r="H81" s="4">
        <v>9.9279622422786993</v>
      </c>
      <c r="I81" s="4">
        <v>-1.8726903875851904</v>
      </c>
      <c r="K81" s="99"/>
      <c r="L81" s="99"/>
      <c r="M81" s="99"/>
      <c r="N81" s="99"/>
      <c r="O81" s="99"/>
    </row>
    <row r="82" spans="2:15" ht="13.5" customHeight="1">
      <c r="B82" s="288"/>
      <c r="C82" s="198" t="str">
        <f>IF(Indice_index!$Z$1=1,"março","March")</f>
        <v>março</v>
      </c>
      <c r="D82" s="4">
        <v>1.7592973329635757</v>
      </c>
      <c r="E82" s="4">
        <v>-3.1108492029030455</v>
      </c>
      <c r="F82" s="4">
        <v>0.94255562896646206</v>
      </c>
      <c r="G82" s="4">
        <v>1.0664558867346041</v>
      </c>
      <c r="H82" s="4">
        <v>9.8042454778227519</v>
      </c>
      <c r="I82" s="4">
        <v>-1.7476468958885352</v>
      </c>
      <c r="K82" s="99"/>
      <c r="L82" s="99"/>
      <c r="M82" s="99"/>
      <c r="N82" s="99"/>
      <c r="O82" s="99"/>
    </row>
    <row r="83" spans="2:15" ht="13.5" customHeight="1">
      <c r="B83" s="288"/>
      <c r="C83" s="198" t="str">
        <f>IF(Indice_index!$Z$1=1,"abril","April")</f>
        <v>abril</v>
      </c>
      <c r="D83" s="4">
        <v>1.7901426284731348</v>
      </c>
      <c r="E83" s="4">
        <v>-2.9652113004903105</v>
      </c>
      <c r="F83" s="4">
        <v>1.2311685791222919</v>
      </c>
      <c r="G83" s="4">
        <v>1.1761636192120106</v>
      </c>
      <c r="H83" s="4">
        <v>10.466457886929287</v>
      </c>
      <c r="I83" s="4">
        <v>-1.9436898906100872</v>
      </c>
      <c r="K83" s="99"/>
      <c r="L83" s="99"/>
      <c r="M83" s="99"/>
      <c r="N83" s="99"/>
      <c r="O83" s="99"/>
    </row>
    <row r="84" spans="2:15" ht="13.5" customHeight="1">
      <c r="B84" s="288"/>
      <c r="C84" s="198" t="str">
        <f>IF(Indice_index!$Z$1=1,"maio","May")</f>
        <v>maio</v>
      </c>
      <c r="D84" s="4">
        <v>1.8</v>
      </c>
      <c r="E84" s="4">
        <v>-2.9</v>
      </c>
      <c r="F84" s="4">
        <v>1.7</v>
      </c>
      <c r="G84" s="4">
        <v>1.3</v>
      </c>
      <c r="H84" s="4">
        <v>9.1999999999999993</v>
      </c>
      <c r="I84" s="4">
        <v>-2.9</v>
      </c>
      <c r="K84" s="99"/>
      <c r="L84" s="99"/>
      <c r="M84" s="99"/>
      <c r="N84" s="99"/>
      <c r="O84" s="99"/>
    </row>
    <row r="85" spans="2:15" ht="13.5" customHeight="1">
      <c r="B85" s="288"/>
      <c r="C85" s="198" t="str">
        <f>IF(Indice_index!$Z$1=1,"junho","June")</f>
        <v>junho</v>
      </c>
      <c r="D85" s="4">
        <v>1.7626795399010668</v>
      </c>
      <c r="E85" s="4">
        <v>-2.9971515322252484</v>
      </c>
      <c r="F85" s="4">
        <v>1.3877853057312863</v>
      </c>
      <c r="G85" s="4">
        <v>1.1981747388296855</v>
      </c>
      <c r="H85" s="4">
        <v>9.4451294697903894</v>
      </c>
      <c r="I85" s="4">
        <v>-1.940930274289997</v>
      </c>
      <c r="K85" s="99"/>
      <c r="L85" s="99"/>
      <c r="M85" s="99"/>
      <c r="N85" s="99"/>
      <c r="O85" s="99"/>
    </row>
    <row r="86" spans="2:15" ht="13.5" customHeight="1">
      <c r="B86" s="288"/>
      <c r="C86" s="198" t="str">
        <f>IF(Indice_index!$Z$1=1,"julho","July")</f>
        <v>julho</v>
      </c>
      <c r="D86" s="4">
        <v>1.7747029270579722</v>
      </c>
      <c r="E86" s="4">
        <v>-3.0133718375290353</v>
      </c>
      <c r="F86" s="4">
        <v>1.3408173409143258</v>
      </c>
      <c r="G86" s="4">
        <v>1.1942244476191797</v>
      </c>
      <c r="H86" s="4">
        <v>8.0657237936772077</v>
      </c>
      <c r="I86" s="4">
        <v>-2.0938001281162149</v>
      </c>
      <c r="K86" s="99"/>
      <c r="L86" s="99"/>
      <c r="M86" s="99"/>
      <c r="N86" s="99"/>
      <c r="O86" s="99"/>
    </row>
    <row r="87" spans="2:15" ht="13.5" customHeight="1">
      <c r="B87" s="288"/>
      <c r="C87" s="198" t="str">
        <f>IF(Indice_index!$Z$1=1,"agosto","August")</f>
        <v>agosto</v>
      </c>
      <c r="D87" s="4">
        <v>1.8130018130018128</v>
      </c>
      <c r="E87" s="4">
        <v>-3.0870795347375037</v>
      </c>
      <c r="F87" s="4">
        <v>1.3199105145413872</v>
      </c>
      <c r="G87" s="4">
        <v>1.2078004613308424</v>
      </c>
      <c r="H87" s="4">
        <v>6.2668999522824844</v>
      </c>
      <c r="I87" s="4">
        <v>-2.7013223459799041</v>
      </c>
      <c r="K87" s="99"/>
      <c r="L87" s="99"/>
      <c r="M87" s="99"/>
      <c r="N87" s="99"/>
      <c r="O87" s="99"/>
    </row>
    <row r="88" spans="2:15" ht="13.5" customHeight="1">
      <c r="B88" s="288"/>
      <c r="C88" s="198" t="str">
        <f>IF(Indice_index!$Z$1=1,"setembro","September")</f>
        <v>setembro</v>
      </c>
      <c r="D88" s="4">
        <v>1.9151308142982517</v>
      </c>
      <c r="E88" s="4">
        <v>-3.0910293978636925</v>
      </c>
      <c r="F88" s="4">
        <v>1.155127462340672</v>
      </c>
      <c r="G88" s="4">
        <v>1.2333271866740425</v>
      </c>
      <c r="H88" s="4">
        <v>5.8412698412698338</v>
      </c>
      <c r="I88" s="4">
        <v>-4.2597867750246117</v>
      </c>
      <c r="K88" s="99"/>
      <c r="L88" s="99"/>
      <c r="M88" s="99"/>
      <c r="N88" s="99"/>
      <c r="O88" s="99"/>
    </row>
    <row r="89" spans="2:15" ht="13.5" customHeight="1">
      <c r="B89" s="288"/>
      <c r="C89" s="198" t="str">
        <f>IF(Indice_index!$Z$1=1,"outubro","October")</f>
        <v>outubro</v>
      </c>
      <c r="D89" s="4">
        <v>2.0237266133196887</v>
      </c>
      <c r="E89" s="4">
        <v>-3.0929137838435534</v>
      </c>
      <c r="F89" s="4">
        <v>1.0155525304485056</v>
      </c>
      <c r="G89" s="4">
        <v>1.2695981064245869</v>
      </c>
      <c r="H89" s="4">
        <v>5.9558649054812909</v>
      </c>
      <c r="I89" s="4">
        <v>-5.2421185569431321</v>
      </c>
      <c r="K89" s="99"/>
      <c r="L89" s="99"/>
      <c r="M89" s="99"/>
      <c r="N89" s="99"/>
      <c r="O89" s="99"/>
    </row>
    <row r="90" spans="2:15" ht="13.5" customHeight="1">
      <c r="B90" s="288"/>
      <c r="C90" s="198" t="str">
        <f>IF(Indice_index!$Z$1=1,"novembro","November")</f>
        <v>novembro</v>
      </c>
      <c r="D90" s="4">
        <v>2.1</v>
      </c>
      <c r="E90" s="4">
        <v>-3.1</v>
      </c>
      <c r="F90" s="4">
        <v>1</v>
      </c>
      <c r="G90" s="4">
        <v>1.3</v>
      </c>
      <c r="H90" s="4">
        <v>6.5</v>
      </c>
      <c r="I90" s="4">
        <v>-5.3</v>
      </c>
      <c r="K90" s="99"/>
      <c r="L90" s="99"/>
      <c r="M90" s="99"/>
      <c r="N90" s="99"/>
      <c r="O90" s="99"/>
    </row>
    <row r="91" spans="2:15" ht="13.5" customHeight="1">
      <c r="B91" s="288"/>
      <c r="C91" s="198" t="str">
        <f>IF(Indice_index!$Z$1=1,"dezembro","December")</f>
        <v>dezembro</v>
      </c>
      <c r="D91" s="4">
        <v>2.1</v>
      </c>
      <c r="E91" s="4">
        <v>-3.1</v>
      </c>
      <c r="F91" s="4">
        <v>0.9</v>
      </c>
      <c r="G91" s="4">
        <v>1.3</v>
      </c>
      <c r="H91" s="4">
        <v>8.1</v>
      </c>
      <c r="I91" s="4">
        <v>-5.3</v>
      </c>
      <c r="K91" s="99"/>
      <c r="L91" s="99"/>
      <c r="M91" s="99"/>
      <c r="N91" s="99"/>
      <c r="O91" s="99"/>
    </row>
    <row r="92" spans="2:15" ht="14.1" customHeight="1">
      <c r="B92" s="363">
        <v>2025</v>
      </c>
      <c r="C92" s="363"/>
      <c r="D92" s="4"/>
      <c r="E92" s="4"/>
      <c r="F92" s="4"/>
      <c r="G92" s="4"/>
      <c r="H92" s="4"/>
      <c r="I92" s="4"/>
      <c r="K92" s="98"/>
      <c r="L92" s="98"/>
      <c r="M92" s="98"/>
      <c r="N92" s="98"/>
      <c r="O92" s="98"/>
    </row>
    <row r="93" spans="2:15" ht="14.1" customHeight="1">
      <c r="B93" s="275"/>
      <c r="C93" s="198" t="str">
        <f>IF(Indice_index!$Z$1=1,"janeiro","January")</f>
        <v>janeiro</v>
      </c>
      <c r="D93" s="4">
        <v>2.0398235599621177</v>
      </c>
      <c r="E93" s="4">
        <v>-3.1635508075798042</v>
      </c>
      <c r="F93" s="4">
        <v>0.96887844979448046</v>
      </c>
      <c r="G93" s="4">
        <v>1.2676153053828254</v>
      </c>
      <c r="H93" s="4">
        <v>3.3672498352975624</v>
      </c>
      <c r="I93" s="4">
        <v>-4.9270887582769136</v>
      </c>
      <c r="K93" s="98"/>
      <c r="L93" s="98"/>
      <c r="M93" s="98"/>
      <c r="N93" s="98"/>
      <c r="O93" s="98"/>
    </row>
    <row r="94" spans="2:15" ht="14.1" customHeight="1">
      <c r="B94" s="275"/>
      <c r="C94" s="198" t="str">
        <f>IF(Indice_index!$Z$1=1,"fevereiro","February")</f>
        <v>fevereiro</v>
      </c>
      <c r="D94" s="4">
        <v>2.1703783417999314</v>
      </c>
      <c r="E94" s="4">
        <v>-3.3553732175575557</v>
      </c>
      <c r="F94" s="4">
        <v>1.0864609330005759</v>
      </c>
      <c r="G94" s="4">
        <v>1.3650928864646354</v>
      </c>
      <c r="H94" s="4">
        <v>3.7661946369388377</v>
      </c>
      <c r="I94" s="4">
        <v>-5.1435638440450004</v>
      </c>
      <c r="K94" s="98"/>
      <c r="L94" s="98"/>
      <c r="M94" s="98"/>
      <c r="N94" s="98"/>
      <c r="O94" s="98"/>
    </row>
    <row r="95" spans="2:15" ht="14.1" customHeight="1">
      <c r="B95" s="275"/>
      <c r="C95" s="198" t="str">
        <f>IF(Indice_index!$Z$1=1,"março","March")</f>
        <v>março</v>
      </c>
      <c r="D95" s="4">
        <v>2.3232648343361113</v>
      </c>
      <c r="E95" s="4">
        <v>-3.2763532763532761</v>
      </c>
      <c r="F95" s="4">
        <v>1.136117983330531</v>
      </c>
      <c r="G95" s="4">
        <v>1.486876413899713</v>
      </c>
      <c r="H95" s="4">
        <v>4.1447269444862274</v>
      </c>
      <c r="I95" s="4">
        <v>-5.0673141878414247</v>
      </c>
      <c r="K95" s="98"/>
      <c r="L95" s="98"/>
      <c r="M95" s="98"/>
      <c r="N95" s="98"/>
      <c r="O95" s="98"/>
    </row>
    <row r="96" spans="2:15" ht="14.1" customHeight="1">
      <c r="B96" s="275"/>
      <c r="C96" s="198" t="str">
        <f>IF(Indice_index!$Z$1=1,"abril","April")</f>
        <v>abril</v>
      </c>
      <c r="D96" s="4">
        <v>2.4017574865688878</v>
      </c>
      <c r="E96" s="4">
        <v>-3.3958934873275588</v>
      </c>
      <c r="F96" s="4">
        <v>1.001114346310076</v>
      </c>
      <c r="G96" s="4">
        <v>1.4934756766572514</v>
      </c>
      <c r="H96" s="4">
        <v>3.6034019695613213</v>
      </c>
      <c r="I96" s="4">
        <v>-3.7999866301223344</v>
      </c>
      <c r="K96" s="98"/>
      <c r="L96" s="98"/>
      <c r="M96" s="98"/>
      <c r="N96" s="98"/>
      <c r="O96" s="98"/>
    </row>
    <row r="97" spans="2:15" ht="14.1" customHeight="1">
      <c r="B97" s="275"/>
      <c r="C97" s="198" t="str">
        <f>IF(Indice_index!$Z$1=1,"maio","May")</f>
        <v>maio</v>
      </c>
      <c r="D97" s="4">
        <v>2.4017236892388993</v>
      </c>
      <c r="E97" s="4">
        <v>-3.4925790734695843</v>
      </c>
      <c r="F97" s="4">
        <v>0.74709960130742425</v>
      </c>
      <c r="G97" s="4">
        <v>1.4212473427859498</v>
      </c>
      <c r="H97" s="4">
        <v>3.9243640729346407</v>
      </c>
      <c r="I97" s="4">
        <v>-2.629440854507342</v>
      </c>
      <c r="K97" s="98"/>
      <c r="L97" s="98"/>
      <c r="M97" s="98"/>
      <c r="N97" s="98"/>
      <c r="O97" s="98"/>
    </row>
    <row r="98" spans="2:15" ht="14.1" customHeight="1">
      <c r="B98" s="275"/>
      <c r="C98" s="198" t="s">
        <v>463</v>
      </c>
      <c r="D98" s="4">
        <v>2.4098728181245299</v>
      </c>
      <c r="E98" s="4">
        <v>-3.4753706900724444</v>
      </c>
      <c r="F98" s="4">
        <v>0.75199664981603898</v>
      </c>
      <c r="G98" s="4">
        <v>1.4313958930065869</v>
      </c>
      <c r="H98" s="4">
        <v>3.9657503379900825</v>
      </c>
      <c r="I98" s="4">
        <v>-3.4341890324473137</v>
      </c>
      <c r="K98" s="98"/>
      <c r="L98" s="98"/>
      <c r="M98" s="98"/>
      <c r="N98" s="98"/>
      <c r="O98" s="98"/>
    </row>
    <row r="99" spans="2:15" ht="14.1" customHeight="1">
      <c r="B99" s="275"/>
      <c r="C99" s="198" t="s">
        <v>467</v>
      </c>
      <c r="D99" s="4">
        <v>2.3143298101206624</v>
      </c>
      <c r="E99" s="4">
        <v>-3.420933393747168</v>
      </c>
      <c r="F99" s="4">
        <v>0.82243728541863559</v>
      </c>
      <c r="G99" s="4">
        <v>1.3947141582219298</v>
      </c>
      <c r="H99" s="4">
        <v>3.9916855922090848</v>
      </c>
      <c r="I99" s="4">
        <v>-3.3024938357053251</v>
      </c>
      <c r="K99" s="98"/>
      <c r="L99" s="98"/>
      <c r="M99" s="98"/>
      <c r="N99" s="98"/>
      <c r="O99" s="98"/>
    </row>
    <row r="100" spans="2:15" ht="14.1" customHeight="1">
      <c r="B100" s="275"/>
      <c r="C100" s="198" t="s">
        <v>471</v>
      </c>
      <c r="D100" s="4">
        <v>2.2026750435843998</v>
      </c>
      <c r="E100" s="4">
        <v>-3.4514078110808359</v>
      </c>
      <c r="F100" s="4">
        <v>0.71610581656949501</v>
      </c>
      <c r="G100" s="4">
        <v>1.2938872569590152</v>
      </c>
      <c r="H100" s="4">
        <v>3.9440203562341001</v>
      </c>
      <c r="I100" s="4">
        <v>-3.1225437267631455</v>
      </c>
      <c r="K100" s="98"/>
      <c r="L100" s="98"/>
      <c r="M100" s="98"/>
      <c r="N100" s="98"/>
      <c r="O100" s="98"/>
    </row>
    <row r="101" spans="2:15" ht="14.1" customHeight="1">
      <c r="B101" s="201"/>
      <c r="C101" s="198" t="s">
        <v>472</v>
      </c>
      <c r="D101" s="4">
        <v>2.086979593356669</v>
      </c>
      <c r="E101" s="4">
        <v>-3.383079724281441</v>
      </c>
      <c r="F101" s="4">
        <v>0.7117713740230297</v>
      </c>
      <c r="G101" s="4">
        <v>1.2263466436748809</v>
      </c>
      <c r="H101" s="4">
        <v>3.9817036592681569</v>
      </c>
      <c r="I101" s="4">
        <v>-3.0138866859552498</v>
      </c>
    </row>
    <row r="102" spans="2:15" ht="4.3499999999999996" customHeight="1">
      <c r="B102" s="289"/>
      <c r="C102" s="290"/>
      <c r="D102" s="291"/>
      <c r="E102" s="291"/>
      <c r="F102" s="291"/>
      <c r="G102" s="291"/>
      <c r="H102" s="291"/>
      <c r="I102" s="291"/>
      <c r="K102" s="99"/>
      <c r="L102" s="99"/>
      <c r="M102" s="99"/>
      <c r="N102" s="99"/>
      <c r="O102" s="99"/>
    </row>
    <row r="103" spans="2:15" ht="14.1" customHeight="1">
      <c r="B103" s="277"/>
      <c r="C103" s="277"/>
      <c r="D103" s="277"/>
      <c r="E103" s="277"/>
      <c r="F103" s="277"/>
      <c r="G103" s="277"/>
      <c r="H103" s="277"/>
      <c r="I103" s="277"/>
    </row>
    <row r="104" spans="2:15" ht="16.350000000000001" customHeight="1">
      <c r="B104" s="373" t="str">
        <f>IF(Indice_index!$Z$1=1,"Fluxos de Pensionistas de Aposentação/Reforma","Retirement Pensioners - New and extinct")</f>
        <v>Fluxos de Pensionistas de Aposentação/Reforma</v>
      </c>
      <c r="C104" s="374"/>
      <c r="D104" s="374"/>
      <c r="E104" s="374"/>
      <c r="F104" s="374"/>
      <c r="G104" s="374"/>
      <c r="H104" s="374"/>
      <c r="I104" s="374"/>
      <c r="J104" s="374"/>
      <c r="K104" s="374"/>
      <c r="L104" s="374"/>
      <c r="M104" s="374"/>
      <c r="N104" s="374"/>
      <c r="O104" s="374"/>
    </row>
    <row r="105" spans="2:15" ht="16.350000000000001" customHeight="1">
      <c r="B105" s="449"/>
      <c r="C105" s="449"/>
      <c r="D105" s="449" t="str">
        <f>IF(Indice_index!$Z$1=1,"Número","Number")</f>
        <v>Número</v>
      </c>
      <c r="E105" s="449"/>
      <c r="F105" s="449"/>
      <c r="G105" s="449"/>
      <c r="H105" s="449"/>
      <c r="I105" s="411" t="str">
        <f>IF(Indice_index!$Z$1=1,"Despesa com pensões (€)","Expense with Pensions")</f>
        <v>Despesa com pensões (€)</v>
      </c>
      <c r="J105" s="412"/>
      <c r="K105" s="412"/>
      <c r="L105" s="412"/>
      <c r="M105" s="413"/>
      <c r="N105" s="449" t="str">
        <f>IF(Indice_index!$Z$1=1,"Pensão média nova Aposentação/Reforma (€)"," Average Value paid per new Retirment Pensioner")</f>
        <v>Pensão média nova Aposentação/Reforma (€)</v>
      </c>
      <c r="O105" s="449" t="str">
        <f>IF(Indice_index!$Z$1=1,"Pensão média nova Sobrevivência e Outras (€)"," Average Value paid per new Survival and Others Pensioner")</f>
        <v>Pensão média nova Sobrevivência e Outras (€)</v>
      </c>
    </row>
    <row r="106" spans="2:15" ht="16.350000000000001" customHeight="1">
      <c r="B106" s="449"/>
      <c r="C106" s="449"/>
      <c r="D106" s="449" t="str">
        <f>IF(Indice_index!$Z$1=1,"Novos","New")</f>
        <v>Novos</v>
      </c>
      <c r="E106" s="449"/>
      <c r="F106" s="449"/>
      <c r="G106" s="449"/>
      <c r="H106" s="449" t="str">
        <f>IF(Indice_index!$Z$1=1,"Abonos abatidos de Aposentação/Reforma","Allowances deducted from Retirement/Pension")</f>
        <v>Abonos abatidos de Aposentação/Reforma</v>
      </c>
      <c r="I106" s="411" t="str">
        <f>IF(Indice_index!$Z$1=1,"Novos","New")</f>
        <v>Novos</v>
      </c>
      <c r="J106" s="412"/>
      <c r="K106" s="412"/>
      <c r="L106" s="413"/>
      <c r="M106" s="449" t="str">
        <f>IF(Indice_index!$Z$1=1,"Abonos abatidos de Aposentação /Reforma","Allowances deducted from Retirement / Pension")</f>
        <v>Abonos abatidos de Aposentação /Reforma</v>
      </c>
      <c r="N106" s="449"/>
      <c r="O106" s="449"/>
    </row>
    <row r="107" spans="2:15" ht="36" customHeight="1">
      <c r="B107" s="449"/>
      <c r="C107" s="449"/>
      <c r="D107" s="176" t="str">
        <f>IF(Indice_index!$Z$1=1,"Velhice e Outros Motivos","Old age and other Reasons")</f>
        <v>Velhice e Outros Motivos</v>
      </c>
      <c r="E107" s="176" t="str">
        <f>IF(Indice_index!$Z$1=1,"Invalidez","Disability")</f>
        <v>Invalidez</v>
      </c>
      <c r="F107" s="176" t="str">
        <f>IF(Indice_index!$Z$1=1,"Sobrevivência e Outros","Survival and Others")</f>
        <v>Sobrevivência e Outros</v>
      </c>
      <c r="G107" s="176" t="str">
        <f>IF(Indice_index!$Z$1=1,"Total de Pensionistas","Total of Pensioners")</f>
        <v>Total de Pensionistas</v>
      </c>
      <c r="H107" s="449"/>
      <c r="I107" s="176" t="str">
        <f>IF(Indice_index!$Z$1=1,"Velhice e Outros Motivos","Old age and other Reasons")</f>
        <v>Velhice e Outros Motivos</v>
      </c>
      <c r="J107" s="176" t="str">
        <f>IF(Indice_index!$Z$1=1,"Invalidez","Disability")</f>
        <v>Invalidez</v>
      </c>
      <c r="K107" s="176" t="str">
        <f>IF(Indice_index!$Z$1=1,"Sobrevivência e Outros","Survival and Others")</f>
        <v>Sobrevivência e Outros</v>
      </c>
      <c r="L107" s="176" t="str">
        <f>IF(Indice_index!$Z$1=1,"Total","Total")</f>
        <v>Total</v>
      </c>
      <c r="M107" s="449"/>
      <c r="N107" s="449"/>
      <c r="O107" s="449"/>
    </row>
    <row r="108" spans="2:15" ht="14.1" hidden="1" customHeight="1">
      <c r="B108" s="363">
        <v>2020</v>
      </c>
      <c r="C108" s="363"/>
      <c r="D108" s="179"/>
      <c r="E108" s="196"/>
      <c r="F108" s="196"/>
      <c r="G108" s="196"/>
      <c r="I108" s="4"/>
      <c r="J108" s="196"/>
      <c r="L108" s="98"/>
      <c r="M108" s="98"/>
      <c r="N108" s="98"/>
      <c r="O108" s="98"/>
    </row>
    <row r="109" spans="2:15" ht="14.1" hidden="1" customHeight="1">
      <c r="B109" s="202"/>
      <c r="C109" s="198" t="str">
        <f>IF(Indice_index!$Z$1=1,"janeiro","January")</f>
        <v>janeiro</v>
      </c>
      <c r="D109" s="199">
        <v>1301</v>
      </c>
      <c r="E109" s="199">
        <v>101</v>
      </c>
      <c r="F109" s="199">
        <v>1606</v>
      </c>
      <c r="G109" s="199">
        <v>3008</v>
      </c>
      <c r="H109" s="199">
        <v>1254</v>
      </c>
      <c r="I109" s="4">
        <v>1406215.8599999999</v>
      </c>
      <c r="J109" s="4">
        <v>120721.40999999999</v>
      </c>
      <c r="K109" s="4">
        <v>1121634.8500000001</v>
      </c>
      <c r="L109" s="4">
        <v>2648572.12</v>
      </c>
      <c r="M109" s="4">
        <v>1181130.18</v>
      </c>
      <c r="N109" s="4">
        <v>1089.0999999999999</v>
      </c>
      <c r="O109" s="4">
        <v>698.4</v>
      </c>
    </row>
    <row r="110" spans="2:15" ht="14.1" hidden="1" customHeight="1">
      <c r="B110" s="202"/>
      <c r="C110" s="198" t="str">
        <f>IF(Indice_index!$Z$1=1,"fevereiro","February")</f>
        <v>fevereiro</v>
      </c>
      <c r="D110" s="199">
        <v>1156</v>
      </c>
      <c r="E110" s="199">
        <v>86</v>
      </c>
      <c r="F110" s="199">
        <v>784</v>
      </c>
      <c r="G110" s="199">
        <v>2026</v>
      </c>
      <c r="H110" s="199">
        <v>1433</v>
      </c>
      <c r="I110" s="4">
        <v>1256302.7600000002</v>
      </c>
      <c r="J110" s="4">
        <v>93955.06</v>
      </c>
      <c r="K110" s="4">
        <v>340075.64</v>
      </c>
      <c r="L110" s="4">
        <v>1690333.4600000004</v>
      </c>
      <c r="M110" s="4">
        <v>1470168.61</v>
      </c>
      <c r="N110" s="4">
        <v>1087.2</v>
      </c>
      <c r="O110" s="4">
        <v>433.8</v>
      </c>
    </row>
    <row r="111" spans="2:15" ht="14.1" hidden="1" customHeight="1">
      <c r="B111" s="202"/>
      <c r="C111" s="198" t="str">
        <f>IF(Indice_index!$Z$1=1,"março","March")</f>
        <v>março</v>
      </c>
      <c r="D111" s="199">
        <v>1124</v>
      </c>
      <c r="E111" s="199">
        <v>296</v>
      </c>
      <c r="F111" s="199">
        <v>885</v>
      </c>
      <c r="G111" s="199">
        <v>2305</v>
      </c>
      <c r="H111" s="199">
        <v>1405</v>
      </c>
      <c r="I111" s="4">
        <v>1455949.83</v>
      </c>
      <c r="J111" s="4">
        <v>284777.40000000002</v>
      </c>
      <c r="K111" s="4">
        <v>458761.12</v>
      </c>
      <c r="L111" s="4">
        <v>2199488.35</v>
      </c>
      <c r="M111" s="4">
        <v>1464110.3</v>
      </c>
      <c r="N111" s="4">
        <v>1225.9000000000001</v>
      </c>
      <c r="O111" s="4">
        <v>518.4</v>
      </c>
    </row>
    <row r="112" spans="2:15" ht="14.1" hidden="1" customHeight="1">
      <c r="B112" s="202"/>
      <c r="C112" s="198" t="str">
        <f>IF(Indice_index!$Z$1=1,"abril","April")</f>
        <v>abril</v>
      </c>
      <c r="D112" s="199">
        <v>1369</v>
      </c>
      <c r="E112" s="199">
        <v>110</v>
      </c>
      <c r="F112" s="199">
        <v>958</v>
      </c>
      <c r="G112" s="199">
        <v>2437</v>
      </c>
      <c r="H112" s="199">
        <v>1330</v>
      </c>
      <c r="I112" s="4">
        <v>1733658.78</v>
      </c>
      <c r="J112" s="4">
        <v>136607.13</v>
      </c>
      <c r="K112" s="4">
        <v>469100.58</v>
      </c>
      <c r="L112" s="4">
        <v>2339366.4900000002</v>
      </c>
      <c r="M112" s="4">
        <v>1389223.38</v>
      </c>
      <c r="N112" s="4">
        <v>1264.5</v>
      </c>
      <c r="O112" s="4">
        <v>489.7</v>
      </c>
    </row>
    <row r="113" spans="2:15" ht="14.1" hidden="1" customHeight="1">
      <c r="B113" s="202"/>
      <c r="C113" s="198" t="str">
        <f>IF(Indice_index!$Z$1=1,"maio","May")</f>
        <v>maio</v>
      </c>
      <c r="D113" s="199">
        <v>1531</v>
      </c>
      <c r="E113" s="199">
        <v>78</v>
      </c>
      <c r="F113" s="199">
        <v>981</v>
      </c>
      <c r="G113" s="199">
        <v>2590</v>
      </c>
      <c r="H113" s="199">
        <v>1371</v>
      </c>
      <c r="I113" s="4">
        <v>1984223.61</v>
      </c>
      <c r="J113" s="4">
        <v>92547.049999999988</v>
      </c>
      <c r="K113" s="4">
        <v>505983.3</v>
      </c>
      <c r="L113" s="4">
        <v>2582753.96</v>
      </c>
      <c r="M113" s="4">
        <v>1531210.28</v>
      </c>
      <c r="N113" s="4">
        <v>1290.7</v>
      </c>
      <c r="O113" s="4">
        <v>515.79999999999995</v>
      </c>
    </row>
    <row r="114" spans="2:15" ht="14.1" hidden="1" customHeight="1">
      <c r="B114" s="202"/>
      <c r="C114" s="198" t="str">
        <f>IF(Indice_index!$Z$1=1,"junho","June")</f>
        <v>junho</v>
      </c>
      <c r="D114" s="199">
        <v>1499</v>
      </c>
      <c r="E114" s="199">
        <v>89</v>
      </c>
      <c r="F114" s="199">
        <v>865</v>
      </c>
      <c r="G114" s="199">
        <v>2453</v>
      </c>
      <c r="H114" s="199">
        <v>1349</v>
      </c>
      <c r="I114" s="4">
        <v>1855493.75</v>
      </c>
      <c r="J114" s="4">
        <v>106652.79</v>
      </c>
      <c r="K114" s="4">
        <v>464286.68</v>
      </c>
      <c r="L114" s="4">
        <v>2426433.2200000002</v>
      </c>
      <c r="M114" s="4">
        <v>1540020.1</v>
      </c>
      <c r="N114" s="4">
        <v>1235.5999999999999</v>
      </c>
      <c r="O114" s="4">
        <v>536.70000000000005</v>
      </c>
    </row>
    <row r="115" spans="2:15" ht="14.1" hidden="1" customHeight="1">
      <c r="B115" s="202"/>
      <c r="C115" s="198" t="str">
        <f>IF(Indice_index!$Z$1=1,"julho","July")</f>
        <v>julho</v>
      </c>
      <c r="D115" s="199">
        <v>1452</v>
      </c>
      <c r="E115" s="199">
        <v>58</v>
      </c>
      <c r="F115" s="199">
        <v>929</v>
      </c>
      <c r="G115" s="199">
        <v>2439</v>
      </c>
      <c r="H115" s="199">
        <v>1105</v>
      </c>
      <c r="I115" s="4">
        <v>1944599.44</v>
      </c>
      <c r="J115" s="4">
        <v>67974.77</v>
      </c>
      <c r="K115" s="4">
        <v>541800.02</v>
      </c>
      <c r="L115" s="4">
        <v>2554374.23</v>
      </c>
      <c r="M115" s="4">
        <v>1241641.8799999999</v>
      </c>
      <c r="N115" s="4">
        <v>1332.8</v>
      </c>
      <c r="O115" s="4">
        <v>583.20000000000005</v>
      </c>
    </row>
    <row r="116" spans="2:15" ht="14.1" hidden="1" customHeight="1">
      <c r="B116" s="202"/>
      <c r="C116" s="198" t="str">
        <f>IF(Indice_index!$Z$1=1,"agosto","August")</f>
        <v>agosto</v>
      </c>
      <c r="D116" s="199">
        <v>1470</v>
      </c>
      <c r="E116" s="199">
        <v>36</v>
      </c>
      <c r="F116" s="199">
        <v>1000</v>
      </c>
      <c r="G116" s="199">
        <v>2506</v>
      </c>
      <c r="H116" s="199">
        <v>1168</v>
      </c>
      <c r="I116" s="4">
        <v>1875739.22</v>
      </c>
      <c r="J116" s="4">
        <v>36978.129999999997</v>
      </c>
      <c r="K116" s="4">
        <v>554835.69000000006</v>
      </c>
      <c r="L116" s="4">
        <v>2467553.04</v>
      </c>
      <c r="M116" s="4">
        <v>1282507.42</v>
      </c>
      <c r="N116" s="4">
        <v>1270.0999999999999</v>
      </c>
      <c r="O116" s="4">
        <v>554.79999999999995</v>
      </c>
    </row>
    <row r="117" spans="2:15" ht="14.1" hidden="1" customHeight="1">
      <c r="B117" s="202"/>
      <c r="C117" s="198" t="str">
        <f>IF(Indice_index!$Z$1=1,"setembro","September")</f>
        <v>setembro</v>
      </c>
      <c r="D117" s="199">
        <v>1318</v>
      </c>
      <c r="E117" s="199">
        <v>29</v>
      </c>
      <c r="F117" s="199">
        <v>773</v>
      </c>
      <c r="G117" s="199">
        <v>2120</v>
      </c>
      <c r="H117" s="199">
        <v>1265</v>
      </c>
      <c r="I117" s="4">
        <v>2047092.5899999999</v>
      </c>
      <c r="J117" s="4">
        <v>39101.64</v>
      </c>
      <c r="K117" s="4">
        <v>431175.01</v>
      </c>
      <c r="L117" s="4">
        <v>2517369.2399999998</v>
      </c>
      <c r="M117" s="4">
        <v>1390071.15</v>
      </c>
      <c r="N117" s="4">
        <v>1548.8</v>
      </c>
      <c r="O117" s="4">
        <v>557.79999999999995</v>
      </c>
    </row>
    <row r="118" spans="2:15" ht="14.1" hidden="1" customHeight="1">
      <c r="B118" s="202"/>
      <c r="C118" s="198" t="str">
        <f>IF(Indice_index!$Z$1=1,"outubro","October")</f>
        <v>outubro</v>
      </c>
      <c r="D118" s="199">
        <v>1206</v>
      </c>
      <c r="E118" s="199">
        <v>27</v>
      </c>
      <c r="F118" s="199">
        <v>773</v>
      </c>
      <c r="G118" s="199">
        <v>2006</v>
      </c>
      <c r="H118" s="199">
        <v>1151</v>
      </c>
      <c r="I118" s="4">
        <v>1774555.76</v>
      </c>
      <c r="J118" s="4">
        <v>41696.28</v>
      </c>
      <c r="K118" s="4">
        <v>424627.48</v>
      </c>
      <c r="L118" s="4">
        <v>2240879.52</v>
      </c>
      <c r="M118" s="4">
        <v>1317894.17</v>
      </c>
      <c r="N118" s="4">
        <v>1473</v>
      </c>
      <c r="O118" s="4">
        <v>549.29999999999995</v>
      </c>
    </row>
    <row r="119" spans="2:15" ht="14.1" hidden="1" customHeight="1">
      <c r="B119" s="202"/>
      <c r="C119" s="198" t="str">
        <f>IF(Indice_index!$Z$1=1,"novembro","November")</f>
        <v>novembro</v>
      </c>
      <c r="D119" s="199">
        <v>1111</v>
      </c>
      <c r="E119" s="199">
        <v>86</v>
      </c>
      <c r="F119" s="199">
        <v>871</v>
      </c>
      <c r="G119" s="199">
        <v>2068</v>
      </c>
      <c r="H119" s="199">
        <v>1162</v>
      </c>
      <c r="I119" s="4">
        <v>1770166.95</v>
      </c>
      <c r="J119" s="4">
        <v>101722.77</v>
      </c>
      <c r="K119" s="4">
        <v>447410.54</v>
      </c>
      <c r="L119" s="4">
        <v>2319300.2599999998</v>
      </c>
      <c r="M119" s="4">
        <v>1306216.53</v>
      </c>
      <c r="N119" s="4">
        <v>1563.8</v>
      </c>
      <c r="O119" s="4">
        <v>513.70000000000005</v>
      </c>
    </row>
    <row r="120" spans="2:15" ht="14.1" hidden="1" customHeight="1">
      <c r="B120" s="200"/>
      <c r="C120" s="198" t="str">
        <f>IF(Indice_index!$Z$1=1,"dezembro","December")</f>
        <v>dezembro</v>
      </c>
      <c r="D120" s="199">
        <v>1057</v>
      </c>
      <c r="E120" s="199">
        <v>106</v>
      </c>
      <c r="F120" s="199">
        <v>889</v>
      </c>
      <c r="G120" s="199">
        <v>2052</v>
      </c>
      <c r="H120" s="199">
        <v>1288</v>
      </c>
      <c r="I120" s="4">
        <v>1823991.91</v>
      </c>
      <c r="J120" s="4">
        <v>121644.84</v>
      </c>
      <c r="K120" s="4">
        <v>467474.39</v>
      </c>
      <c r="L120" s="4">
        <v>2413111.14</v>
      </c>
      <c r="M120" s="4">
        <v>1486433.23</v>
      </c>
      <c r="N120" s="4">
        <v>1672.9</v>
      </c>
      <c r="O120" s="4">
        <v>525.79999999999995</v>
      </c>
    </row>
    <row r="121" spans="2:15" ht="14.1" customHeight="1">
      <c r="B121" s="363" t="s">
        <v>14</v>
      </c>
      <c r="C121" s="363"/>
      <c r="D121" s="199"/>
      <c r="E121" s="199"/>
      <c r="F121" s="199"/>
      <c r="G121" s="199"/>
      <c r="H121" s="199"/>
      <c r="I121" s="4"/>
      <c r="J121" s="4"/>
      <c r="K121" s="4"/>
      <c r="L121" s="4"/>
      <c r="M121" s="4"/>
      <c r="N121" s="4"/>
      <c r="O121" s="4"/>
    </row>
    <row r="122" spans="2:15" ht="14.1" customHeight="1">
      <c r="B122" s="200"/>
      <c r="C122" s="198" t="str">
        <f>IF(Indice_index!$Z$1=1,"dezembro","December")</f>
        <v>dezembro</v>
      </c>
      <c r="D122" s="199">
        <v>1258</v>
      </c>
      <c r="E122" s="199">
        <v>86</v>
      </c>
      <c r="F122" s="199">
        <v>799</v>
      </c>
      <c r="G122" s="199">
        <v>2143</v>
      </c>
      <c r="H122" s="199">
        <v>1157</v>
      </c>
      <c r="I122" s="4">
        <v>1695800.9499999997</v>
      </c>
      <c r="J122" s="4">
        <v>99472.79</v>
      </c>
      <c r="K122" s="4">
        <v>423524.91</v>
      </c>
      <c r="L122" s="4">
        <v>2218798.65</v>
      </c>
      <c r="M122" s="4">
        <v>1390334.04</v>
      </c>
      <c r="N122" s="4">
        <v>1335.8</v>
      </c>
      <c r="O122" s="4">
        <v>530.1</v>
      </c>
    </row>
    <row r="123" spans="2:15" ht="14.1" customHeight="1">
      <c r="B123" s="363" t="s">
        <v>15</v>
      </c>
      <c r="C123" s="363"/>
      <c r="D123" s="199"/>
      <c r="E123" s="199"/>
      <c r="F123" s="199"/>
      <c r="G123" s="199"/>
      <c r="H123" s="199"/>
      <c r="I123" s="4"/>
      <c r="J123" s="4"/>
      <c r="K123" s="4"/>
      <c r="L123" s="4"/>
      <c r="M123" s="4"/>
      <c r="N123" s="4"/>
      <c r="O123" s="4"/>
    </row>
    <row r="124" spans="2:15" ht="14.1" customHeight="1">
      <c r="B124" s="200"/>
      <c r="C124" s="198" t="str">
        <f>IF(Indice_index!$Z$1=1,"dezembro","December")</f>
        <v>dezembro</v>
      </c>
      <c r="D124" s="199">
        <v>1573</v>
      </c>
      <c r="E124" s="199">
        <v>87</v>
      </c>
      <c r="F124" s="199">
        <v>902</v>
      </c>
      <c r="G124" s="199">
        <v>2562</v>
      </c>
      <c r="H124" s="199">
        <v>1251</v>
      </c>
      <c r="I124" s="4">
        <v>2484452.7599999998</v>
      </c>
      <c r="J124" s="4">
        <v>95869.8</v>
      </c>
      <c r="K124" s="4">
        <v>515297.80999999988</v>
      </c>
      <c r="L124" s="4">
        <v>3095620.3699999996</v>
      </c>
      <c r="M124" s="4">
        <v>1481113.01</v>
      </c>
      <c r="N124" s="4">
        <v>1554.4</v>
      </c>
      <c r="O124" s="4">
        <v>571.29999999999995</v>
      </c>
    </row>
    <row r="125" spans="2:15" ht="14.1" customHeight="1">
      <c r="B125" s="363">
        <v>2023</v>
      </c>
      <c r="C125" s="363"/>
      <c r="D125" s="199"/>
      <c r="E125" s="199"/>
      <c r="F125" s="199"/>
      <c r="G125" s="199"/>
      <c r="H125" s="199"/>
      <c r="I125" s="4"/>
      <c r="J125" s="4"/>
      <c r="K125" s="4"/>
      <c r="L125" s="4"/>
      <c r="M125" s="4"/>
      <c r="N125" s="4"/>
      <c r="O125" s="4"/>
    </row>
    <row r="126" spans="2:15" ht="14.1" customHeight="1">
      <c r="B126" s="202"/>
      <c r="C126" s="198" t="str">
        <f>IF(Indice_index!$Z$1=1,"dezembro","December")</f>
        <v>dezembro</v>
      </c>
      <c r="D126" s="199">
        <v>2694</v>
      </c>
      <c r="E126" s="199">
        <v>101</v>
      </c>
      <c r="F126" s="199">
        <v>1138</v>
      </c>
      <c r="G126" s="199">
        <v>3933</v>
      </c>
      <c r="H126" s="199">
        <v>1213</v>
      </c>
      <c r="I126" s="4">
        <v>4250855.01</v>
      </c>
      <c r="J126" s="4">
        <v>122365.64</v>
      </c>
      <c r="K126" s="4">
        <v>611297.77</v>
      </c>
      <c r="L126" s="4">
        <v>4984518.42</v>
      </c>
      <c r="M126" s="4">
        <v>1536841.26</v>
      </c>
      <c r="N126" s="4">
        <v>1564.7</v>
      </c>
      <c r="O126" s="4">
        <v>537.20000000000005</v>
      </c>
    </row>
    <row r="127" spans="2:15" ht="14.1" customHeight="1">
      <c r="B127" s="363">
        <v>2024</v>
      </c>
      <c r="C127" s="363"/>
      <c r="D127" s="199"/>
      <c r="E127" s="199"/>
      <c r="F127" s="199"/>
      <c r="G127" s="199"/>
      <c r="H127" s="199"/>
      <c r="I127" s="4"/>
      <c r="J127" s="4"/>
      <c r="K127" s="4"/>
      <c r="L127" s="4"/>
      <c r="M127" s="4"/>
      <c r="N127" s="4"/>
      <c r="O127" s="4"/>
    </row>
    <row r="128" spans="2:15" ht="13.5" customHeight="1">
      <c r="B128" s="202"/>
      <c r="C128" s="198" t="str">
        <f>IF(Indice_index!$Z$1=1,"janeiro","January")</f>
        <v>janeiro</v>
      </c>
      <c r="D128" s="199">
        <v>1995</v>
      </c>
      <c r="E128" s="199">
        <v>102</v>
      </c>
      <c r="F128" s="199">
        <v>871</v>
      </c>
      <c r="G128" s="199">
        <v>2968</v>
      </c>
      <c r="H128" s="199">
        <v>1242</v>
      </c>
      <c r="I128" s="4">
        <v>3650345.17</v>
      </c>
      <c r="J128" s="4">
        <v>111690.52000000002</v>
      </c>
      <c r="K128" s="4">
        <v>493754.42000000004</v>
      </c>
      <c r="L128" s="4">
        <v>4255790.1100000003</v>
      </c>
      <c r="M128" s="4">
        <v>1568082.27</v>
      </c>
      <c r="N128" s="4">
        <v>1794</v>
      </c>
      <c r="O128" s="4">
        <v>566.9</v>
      </c>
    </row>
    <row r="129" spans="2:15" ht="13.5" customHeight="1">
      <c r="B129" s="202"/>
      <c r="C129" s="198" t="str">
        <f>IF(Indice_index!$Z$1=1,"fevereiro","February")</f>
        <v>fevereiro</v>
      </c>
      <c r="D129" s="199">
        <v>1493</v>
      </c>
      <c r="E129" s="199">
        <v>63</v>
      </c>
      <c r="F129" s="199">
        <v>721</v>
      </c>
      <c r="G129" s="199">
        <v>2277</v>
      </c>
      <c r="H129" s="199">
        <v>1628</v>
      </c>
      <c r="I129" s="4">
        <v>2651742.13</v>
      </c>
      <c r="J129" s="4">
        <v>78102.179999999993</v>
      </c>
      <c r="K129" s="4">
        <v>473559.48999999993</v>
      </c>
      <c r="L129" s="4">
        <v>3203403.8</v>
      </c>
      <c r="M129" s="4">
        <v>2080989.97</v>
      </c>
      <c r="N129" s="4">
        <v>1754.4</v>
      </c>
      <c r="O129" s="4">
        <v>656.8</v>
      </c>
    </row>
    <row r="130" spans="2:15" ht="13.5" customHeight="1">
      <c r="B130" s="202"/>
      <c r="C130" s="198" t="str">
        <f>IF(Indice_index!$Z$1=1,"março","March")</f>
        <v>março</v>
      </c>
      <c r="D130" s="199">
        <v>1401</v>
      </c>
      <c r="E130" s="199">
        <v>63</v>
      </c>
      <c r="F130" s="199">
        <v>844</v>
      </c>
      <c r="G130" s="199">
        <v>2308</v>
      </c>
      <c r="H130" s="199">
        <v>1694</v>
      </c>
      <c r="I130" s="4">
        <v>2394266.2199999997</v>
      </c>
      <c r="J130" s="4">
        <v>81875.03</v>
      </c>
      <c r="K130" s="4">
        <v>510102.64000000007</v>
      </c>
      <c r="L130" s="4">
        <v>2986243.8899999997</v>
      </c>
      <c r="M130" s="4">
        <v>2235189.2000000002</v>
      </c>
      <c r="N130" s="4">
        <v>1691.4</v>
      </c>
      <c r="O130" s="4">
        <v>604.4</v>
      </c>
    </row>
    <row r="131" spans="2:15" ht="13.5" customHeight="1">
      <c r="B131" s="202"/>
      <c r="C131" s="198" t="str">
        <f>IF(Indice_index!$Z$1=1,"abril","April")</f>
        <v>abril</v>
      </c>
      <c r="D131" s="199">
        <v>1408</v>
      </c>
      <c r="E131" s="199">
        <v>101</v>
      </c>
      <c r="F131" s="199">
        <v>1132</v>
      </c>
      <c r="G131" s="199">
        <v>2641</v>
      </c>
      <c r="H131" s="199">
        <v>1235</v>
      </c>
      <c r="I131" s="4">
        <v>2254324.2500000005</v>
      </c>
      <c r="J131" s="4">
        <v>120715.87</v>
      </c>
      <c r="K131" s="4">
        <v>641779.54000000015</v>
      </c>
      <c r="L131" s="4">
        <v>3016819.6600000006</v>
      </c>
      <c r="M131" s="4">
        <v>1624317.25</v>
      </c>
      <c r="N131" s="4">
        <v>1573.9</v>
      </c>
      <c r="O131" s="4">
        <v>566.9</v>
      </c>
    </row>
    <row r="132" spans="2:15" ht="13.5" customHeight="1">
      <c r="B132" s="202"/>
      <c r="C132" s="198" t="str">
        <f>IF(Indice_index!$Z$1=1,"maio","May")</f>
        <v>maio</v>
      </c>
      <c r="D132" s="199">
        <v>1498</v>
      </c>
      <c r="E132" s="199">
        <v>90</v>
      </c>
      <c r="F132" s="199">
        <v>1282</v>
      </c>
      <c r="G132" s="199">
        <v>2870</v>
      </c>
      <c r="H132" s="199">
        <v>1275</v>
      </c>
      <c r="I132" s="4">
        <v>2502013.59</v>
      </c>
      <c r="J132" s="4">
        <v>109881.87</v>
      </c>
      <c r="K132" s="4">
        <v>673744.62</v>
      </c>
      <c r="L132" s="4">
        <v>3285640.08</v>
      </c>
      <c r="M132" s="4">
        <v>1654185.55</v>
      </c>
      <c r="N132" s="4">
        <v>1644.8</v>
      </c>
      <c r="O132" s="4">
        <v>525.5</v>
      </c>
    </row>
    <row r="133" spans="2:15" ht="13.5" customHeight="1">
      <c r="B133" s="202"/>
      <c r="C133" s="198" t="str">
        <f>IF(Indice_index!$Z$1=1,"junho","June")</f>
        <v>junho</v>
      </c>
      <c r="D133" s="199">
        <v>1411</v>
      </c>
      <c r="E133" s="199">
        <v>86</v>
      </c>
      <c r="F133" s="199">
        <v>985</v>
      </c>
      <c r="G133" s="199">
        <v>2482</v>
      </c>
      <c r="H133" s="199">
        <v>1365</v>
      </c>
      <c r="I133" s="4">
        <v>2284807.15</v>
      </c>
      <c r="J133" s="4">
        <v>99521.88</v>
      </c>
      <c r="K133" s="4">
        <v>582535.16</v>
      </c>
      <c r="L133" s="4">
        <v>2966864.19</v>
      </c>
      <c r="M133" s="4">
        <v>1783379.67</v>
      </c>
      <c r="N133" s="4">
        <v>1592.7</v>
      </c>
      <c r="O133" s="4">
        <v>591.4</v>
      </c>
    </row>
    <row r="134" spans="2:15" ht="13.5" customHeight="1">
      <c r="B134" s="202"/>
      <c r="C134" s="198" t="str">
        <f>IF(Indice_index!$Z$1=1,"julho","July")</f>
        <v>julho</v>
      </c>
      <c r="D134" s="199">
        <v>1789</v>
      </c>
      <c r="E134" s="199">
        <v>80</v>
      </c>
      <c r="F134" s="199">
        <v>805</v>
      </c>
      <c r="G134" s="199">
        <v>2674</v>
      </c>
      <c r="H134" s="199">
        <v>1281</v>
      </c>
      <c r="I134" s="4">
        <v>3024118.5999999996</v>
      </c>
      <c r="J134" s="4">
        <v>91064.499999999985</v>
      </c>
      <c r="K134" s="4">
        <v>467573.82999999996</v>
      </c>
      <c r="L134" s="4">
        <v>3582756.9299999997</v>
      </c>
      <c r="M134" s="4">
        <v>1713380.34</v>
      </c>
      <c r="N134" s="4">
        <v>1666.8</v>
      </c>
      <c r="O134" s="4">
        <v>580.79999999999995</v>
      </c>
    </row>
    <row r="135" spans="2:15" ht="13.5" customHeight="1">
      <c r="B135" s="202"/>
      <c r="C135" s="198" t="str">
        <f>IF(Indice_index!$Z$1=1,"agosto","August")</f>
        <v>agosto</v>
      </c>
      <c r="D135" s="199">
        <v>1828</v>
      </c>
      <c r="E135" s="199">
        <v>70</v>
      </c>
      <c r="F135" s="199">
        <v>1120</v>
      </c>
      <c r="G135" s="199">
        <v>3018</v>
      </c>
      <c r="H135" s="199">
        <v>1199</v>
      </c>
      <c r="I135" s="4">
        <v>3204695.9499999997</v>
      </c>
      <c r="J135" s="4">
        <v>87946.209999999992</v>
      </c>
      <c r="K135" s="4">
        <v>635955.18000000017</v>
      </c>
      <c r="L135" s="4">
        <v>3928597.34</v>
      </c>
      <c r="M135" s="4">
        <v>1674689.63</v>
      </c>
      <c r="N135" s="4">
        <v>1734.8</v>
      </c>
      <c r="O135" s="4">
        <v>567.79999999999995</v>
      </c>
    </row>
    <row r="136" spans="2:15" ht="13.5" customHeight="1">
      <c r="B136" s="202"/>
      <c r="C136" s="198" t="str">
        <f>IF(Indice_index!$Z$1=1,"setembro","September")</f>
        <v>setembro</v>
      </c>
      <c r="D136" s="199">
        <v>2212</v>
      </c>
      <c r="E136" s="199">
        <v>81</v>
      </c>
      <c r="F136" s="199">
        <v>789</v>
      </c>
      <c r="G136" s="199">
        <v>3082</v>
      </c>
      <c r="H136" s="199">
        <v>1252</v>
      </c>
      <c r="I136" s="4">
        <v>4274136.2699999996</v>
      </c>
      <c r="J136" s="4">
        <v>96028.58</v>
      </c>
      <c r="K136" s="4">
        <v>463945.18</v>
      </c>
      <c r="L136" s="4">
        <v>4834110.0299999993</v>
      </c>
      <c r="M136" s="4">
        <v>1646784.43</v>
      </c>
      <c r="N136" s="4">
        <v>1905.9</v>
      </c>
      <c r="O136" s="4">
        <v>588</v>
      </c>
    </row>
    <row r="137" spans="2:15" ht="13.5" customHeight="1">
      <c r="B137" s="202"/>
      <c r="C137" s="198" t="str">
        <f>IF(Indice_index!$Z$1=1,"outubro","October")</f>
        <v>outubro</v>
      </c>
      <c r="D137" s="199">
        <v>2038</v>
      </c>
      <c r="E137" s="199">
        <v>61</v>
      </c>
      <c r="F137" s="199">
        <v>900</v>
      </c>
      <c r="G137" s="199">
        <v>2999</v>
      </c>
      <c r="H137" s="199">
        <v>1242</v>
      </c>
      <c r="I137" s="4">
        <v>3620568.56</v>
      </c>
      <c r="J137" s="4">
        <v>73040.179999999993</v>
      </c>
      <c r="K137" s="4">
        <v>513825.13000000006</v>
      </c>
      <c r="L137" s="4">
        <v>4207433.87</v>
      </c>
      <c r="M137" s="4">
        <v>1631151.98</v>
      </c>
      <c r="N137" s="4">
        <v>1759.7</v>
      </c>
      <c r="O137" s="4">
        <v>570.9</v>
      </c>
    </row>
    <row r="138" spans="2:15" ht="13.5" customHeight="1">
      <c r="B138" s="202"/>
      <c r="C138" s="198" t="str">
        <f>IF(Indice_index!$Z$1=1,"novembro","November")</f>
        <v>novembro</v>
      </c>
      <c r="D138" s="199">
        <v>2075</v>
      </c>
      <c r="E138" s="199">
        <v>81</v>
      </c>
      <c r="F138" s="199">
        <v>1043</v>
      </c>
      <c r="G138" s="199">
        <v>3199</v>
      </c>
      <c r="H138" s="199">
        <v>1201</v>
      </c>
      <c r="I138" s="4">
        <v>3396411.15</v>
      </c>
      <c r="J138" s="4">
        <v>103126.3</v>
      </c>
      <c r="K138" s="4">
        <v>568442.54</v>
      </c>
      <c r="L138" s="4">
        <v>4067979.99</v>
      </c>
      <c r="M138" s="4">
        <v>1614638</v>
      </c>
      <c r="N138" s="4">
        <v>1623.2</v>
      </c>
      <c r="O138" s="4">
        <v>545</v>
      </c>
    </row>
    <row r="139" spans="2:15" ht="13.5" customHeight="1">
      <c r="B139" s="202"/>
      <c r="C139" s="198" t="str">
        <f>IF(Indice_index!$Z$1=1,"dezembro","December")</f>
        <v>dezembro</v>
      </c>
      <c r="D139" s="199">
        <v>2553</v>
      </c>
      <c r="E139" s="199">
        <v>102</v>
      </c>
      <c r="F139" s="199">
        <v>997</v>
      </c>
      <c r="G139" s="199">
        <v>3652</v>
      </c>
      <c r="H139" s="199">
        <v>1289</v>
      </c>
      <c r="I139" s="4">
        <v>4499801.22</v>
      </c>
      <c r="J139" s="4">
        <v>120189.46</v>
      </c>
      <c r="K139" s="4">
        <v>487858.32</v>
      </c>
      <c r="L139" s="4">
        <v>5107849</v>
      </c>
      <c r="M139" s="4">
        <v>1730121.86</v>
      </c>
      <c r="N139" s="4">
        <v>1740.1</v>
      </c>
      <c r="O139" s="4">
        <v>489.3</v>
      </c>
    </row>
    <row r="140" spans="2:15" ht="14.1" customHeight="1">
      <c r="B140" s="363">
        <v>2025</v>
      </c>
      <c r="C140" s="363"/>
      <c r="D140" s="199"/>
      <c r="E140" s="199"/>
      <c r="F140" s="199"/>
      <c r="G140" s="199"/>
      <c r="H140" s="199"/>
      <c r="I140" s="4"/>
      <c r="J140" s="4"/>
      <c r="K140" s="4"/>
      <c r="L140" s="4"/>
      <c r="M140" s="4"/>
      <c r="N140" s="4"/>
      <c r="O140" s="4"/>
    </row>
    <row r="141" spans="2:15" ht="14.1" customHeight="1">
      <c r="B141" s="275"/>
      <c r="C141" s="198" t="str">
        <f>IF(Indice_index!$Z$1=1,"janeiro","January")</f>
        <v>janeiro</v>
      </c>
      <c r="D141" s="199">
        <v>1943</v>
      </c>
      <c r="E141" s="199">
        <v>76</v>
      </c>
      <c r="F141" s="199">
        <v>936</v>
      </c>
      <c r="G141" s="199">
        <v>2955</v>
      </c>
      <c r="H141" s="199">
        <v>1252</v>
      </c>
      <c r="I141" s="4">
        <v>3393823.9000000004</v>
      </c>
      <c r="J141" s="4">
        <v>84652.290000000008</v>
      </c>
      <c r="K141" s="4">
        <v>501955.26000000007</v>
      </c>
      <c r="L141" s="4">
        <v>3980431.4500000007</v>
      </c>
      <c r="M141" s="4">
        <v>1698994.53</v>
      </c>
      <c r="N141" s="4">
        <v>1722.9</v>
      </c>
      <c r="O141" s="4">
        <v>536.29999999999995</v>
      </c>
    </row>
    <row r="142" spans="2:15" ht="14.1" customHeight="1">
      <c r="B142" s="275"/>
      <c r="C142" s="198" t="str">
        <f>IF(Indice_index!$Z$1=1,"fevereiro","February")</f>
        <v>fevereiro</v>
      </c>
      <c r="D142" s="199">
        <v>1902</v>
      </c>
      <c r="E142" s="199">
        <v>75</v>
      </c>
      <c r="F142" s="199">
        <v>930</v>
      </c>
      <c r="G142" s="199">
        <v>2907</v>
      </c>
      <c r="H142" s="199">
        <v>1608</v>
      </c>
      <c r="I142" s="4">
        <v>3636123.71</v>
      </c>
      <c r="J142" s="4">
        <v>99462.41</v>
      </c>
      <c r="K142" s="4">
        <v>555255.77</v>
      </c>
      <c r="L142" s="4">
        <v>4290841.8900000006</v>
      </c>
      <c r="M142" s="4">
        <v>2217687.66</v>
      </c>
      <c r="N142" s="4">
        <v>1889.5</v>
      </c>
      <c r="O142" s="4">
        <v>597</v>
      </c>
    </row>
    <row r="143" spans="2:15" ht="14.1" customHeight="1">
      <c r="B143" s="275"/>
      <c r="C143" s="198" t="str">
        <f>IF(Indice_index!$Z$1=1,"março","March")</f>
        <v>março</v>
      </c>
      <c r="D143" s="199">
        <v>2059</v>
      </c>
      <c r="E143" s="199">
        <v>84</v>
      </c>
      <c r="F143" s="199">
        <v>990</v>
      </c>
      <c r="G143" s="199">
        <v>3133</v>
      </c>
      <c r="H143" s="199">
        <v>1662</v>
      </c>
      <c r="I143" s="4">
        <v>3748987.3</v>
      </c>
      <c r="J143" s="4">
        <v>109514.23000000001</v>
      </c>
      <c r="K143" s="4">
        <v>602802.45000000007</v>
      </c>
      <c r="L143" s="4">
        <v>4461303.9799999995</v>
      </c>
      <c r="M143" s="4">
        <v>2251904.17</v>
      </c>
      <c r="N143" s="4">
        <v>1800.5</v>
      </c>
      <c r="O143" s="4">
        <v>608.9</v>
      </c>
    </row>
    <row r="144" spans="2:15" ht="14.1" customHeight="1">
      <c r="B144" s="275"/>
      <c r="C144" s="198" t="str">
        <f>IF(Indice_index!$Z$1=1,"abril","April")</f>
        <v>abril</v>
      </c>
      <c r="D144" s="199">
        <v>1814</v>
      </c>
      <c r="E144" s="199">
        <v>68</v>
      </c>
      <c r="F144" s="199">
        <v>946</v>
      </c>
      <c r="G144" s="199">
        <v>2828</v>
      </c>
      <c r="H144" s="199">
        <v>1334</v>
      </c>
      <c r="I144" s="4">
        <v>3216077.3999999994</v>
      </c>
      <c r="J144" s="4">
        <v>84057.78</v>
      </c>
      <c r="K144" s="4">
        <v>581082.86</v>
      </c>
      <c r="L144" s="4">
        <v>3881218.0399999991</v>
      </c>
      <c r="M144" s="4">
        <v>1779102.7999999996</v>
      </c>
      <c r="N144" s="4">
        <v>1753.5</v>
      </c>
      <c r="O144" s="4">
        <v>614.29999999999995</v>
      </c>
    </row>
    <row r="145" spans="2:15" ht="14.1" customHeight="1">
      <c r="B145" s="275"/>
      <c r="C145" s="198" t="str">
        <f>IF(Indice_index!$Z$1=1,"maio","May")</f>
        <v>maio</v>
      </c>
      <c r="D145" s="199">
        <v>1547</v>
      </c>
      <c r="E145" s="199">
        <v>81</v>
      </c>
      <c r="F145" s="199">
        <v>878</v>
      </c>
      <c r="G145" s="199">
        <v>2506</v>
      </c>
      <c r="H145" s="199">
        <v>1359</v>
      </c>
      <c r="I145" s="4">
        <v>2645362.9499999997</v>
      </c>
      <c r="J145" s="4">
        <v>102088.96000000001</v>
      </c>
      <c r="K145" s="4">
        <v>527554.03</v>
      </c>
      <c r="L145" s="4">
        <v>3275005.9399999995</v>
      </c>
      <c r="M145" s="4">
        <v>1780045.73</v>
      </c>
      <c r="N145" s="4">
        <v>1687.6</v>
      </c>
      <c r="O145" s="4">
        <v>600.9</v>
      </c>
    </row>
    <row r="146" spans="2:15" ht="14.1" customHeight="1">
      <c r="B146" s="275"/>
      <c r="C146" s="198" t="s">
        <v>463</v>
      </c>
      <c r="D146" s="199">
        <v>1544</v>
      </c>
      <c r="E146" s="199">
        <v>89</v>
      </c>
      <c r="F146" s="199">
        <v>921</v>
      </c>
      <c r="G146" s="199">
        <v>2554</v>
      </c>
      <c r="H146" s="199">
        <v>1440</v>
      </c>
      <c r="I146" s="4">
        <v>2431508.25</v>
      </c>
      <c r="J146" s="4">
        <v>102718.83</v>
      </c>
      <c r="K146" s="4">
        <v>563952.35999999987</v>
      </c>
      <c r="L146" s="4">
        <v>3098179.44</v>
      </c>
      <c r="M146" s="4">
        <v>2016109.28</v>
      </c>
      <c r="N146" s="4">
        <v>1551.9</v>
      </c>
      <c r="O146" s="4">
        <v>612.29999999999995</v>
      </c>
    </row>
    <row r="147" spans="2:15" ht="14.1" customHeight="1">
      <c r="B147" s="275"/>
      <c r="C147" s="198" t="s">
        <v>467</v>
      </c>
      <c r="D147" s="199">
        <v>1384</v>
      </c>
      <c r="E147" s="199">
        <v>65</v>
      </c>
      <c r="F147" s="199">
        <v>835</v>
      </c>
      <c r="G147" s="199">
        <v>2284</v>
      </c>
      <c r="H147" s="199">
        <v>1211</v>
      </c>
      <c r="I147" s="4">
        <v>2364002.5999999996</v>
      </c>
      <c r="J147" s="4">
        <v>97555.64</v>
      </c>
      <c r="K147" s="4">
        <v>548343.25999999989</v>
      </c>
      <c r="L147" s="4">
        <v>3009901.4999999995</v>
      </c>
      <c r="M147" s="4">
        <v>1649987.62</v>
      </c>
      <c r="N147" s="4">
        <v>1698.8</v>
      </c>
      <c r="O147" s="4">
        <v>656.7</v>
      </c>
    </row>
    <row r="148" spans="2:15" ht="14.1" customHeight="1">
      <c r="B148" s="275"/>
      <c r="C148" s="198" t="s">
        <v>471</v>
      </c>
      <c r="D148" s="199">
        <v>1431</v>
      </c>
      <c r="E148" s="199">
        <v>75</v>
      </c>
      <c r="F148" s="199">
        <v>952</v>
      </c>
      <c r="G148" s="199">
        <v>2458</v>
      </c>
      <c r="H148" s="199">
        <v>1280</v>
      </c>
      <c r="I148" s="4">
        <v>2549947.62</v>
      </c>
      <c r="J148" s="4">
        <v>110925.34</v>
      </c>
      <c r="K148" s="4">
        <v>533143.66</v>
      </c>
      <c r="L148" s="4">
        <v>3194016.62</v>
      </c>
      <c r="M148" s="4">
        <v>1840204.97</v>
      </c>
      <c r="N148" s="4">
        <v>1766.8</v>
      </c>
      <c r="O148" s="4">
        <v>560</v>
      </c>
    </row>
    <row r="149" spans="2:15" ht="14.1" customHeight="1">
      <c r="B149" s="202"/>
      <c r="C149" s="198" t="s">
        <v>472</v>
      </c>
      <c r="D149" s="199">
        <v>1723</v>
      </c>
      <c r="E149" s="199">
        <v>107</v>
      </c>
      <c r="F149" s="199">
        <v>894</v>
      </c>
      <c r="G149" s="199">
        <v>2724</v>
      </c>
      <c r="H149" s="199">
        <v>1213</v>
      </c>
      <c r="I149" s="4">
        <v>3224868.5900000003</v>
      </c>
      <c r="J149" s="4">
        <v>169294.86000000002</v>
      </c>
      <c r="K149" s="4">
        <v>541493.51</v>
      </c>
      <c r="L149" s="4">
        <v>3935656.96</v>
      </c>
      <c r="M149" s="4">
        <v>1726820.99</v>
      </c>
      <c r="N149" s="4">
        <v>1854.7</v>
      </c>
      <c r="O149" s="4">
        <v>605.70000000000005</v>
      </c>
    </row>
    <row r="150" spans="2:15" ht="4.3499999999999996" customHeight="1">
      <c r="B150" s="289"/>
      <c r="C150" s="290"/>
      <c r="D150" s="291"/>
      <c r="E150" s="291"/>
      <c r="F150" s="291"/>
      <c r="G150" s="291"/>
      <c r="H150" s="291"/>
      <c r="I150" s="291"/>
      <c r="J150" s="291"/>
      <c r="K150" s="291"/>
      <c r="L150" s="291"/>
      <c r="M150" s="291"/>
      <c r="N150" s="291"/>
      <c r="O150" s="291"/>
    </row>
    <row r="151" spans="2:15" ht="14.1" customHeight="1">
      <c r="B151" s="277"/>
      <c r="C151" s="277"/>
      <c r="D151" s="277"/>
      <c r="E151" s="277"/>
      <c r="F151" s="277"/>
      <c r="G151" s="277"/>
      <c r="H151" s="277"/>
      <c r="I151" s="277"/>
      <c r="J151" s="277"/>
      <c r="K151" s="277"/>
      <c r="L151" s="277"/>
      <c r="M151" s="277"/>
      <c r="N151" s="277"/>
      <c r="O151" s="277"/>
    </row>
    <row r="152" spans="2:15" ht="16.350000000000001" customHeight="1">
      <c r="B152" s="449"/>
      <c r="C152" s="449"/>
      <c r="D152" s="449" t="str">
        <f>IF(Indice_index!$Z$1=1,"VH do número de pensionistas (%)","YOY Change Rate of the number of subscribers (%)")</f>
        <v>VH do número de pensionistas (%)</v>
      </c>
      <c r="E152" s="449"/>
      <c r="F152" s="449"/>
      <c r="G152" s="449"/>
      <c r="H152" s="449"/>
      <c r="I152" s="411" t="str">
        <f>IF(Indice_index!$Z$1=1,"VHA da Despesa com pensões (€)","YOY Change Rate of the Expense with Pensions")</f>
        <v>VHA da Despesa com pensões (€)</v>
      </c>
      <c r="J152" s="412"/>
      <c r="K152" s="412"/>
      <c r="L152" s="412"/>
      <c r="M152" s="413"/>
      <c r="N152" s="449" t="str">
        <f>IF(Indice_index!$Z$1=1,"VHA Pensão média nova Aposentação/Reforma (€)","YOY Change Rate of the Average Value paid per new Retirment Pensioner")</f>
        <v>VHA Pensão média nova Aposentação/Reforma (€)</v>
      </c>
      <c r="O152" s="449" t="str">
        <f>IF(Indice_index!$Z$1=1,"VHA Pensão média nova Sobrevivência e Outras (€)","YOY Change Rate of the Average Value paid per new Survival and Others Pensioner")</f>
        <v>VHA Pensão média nova Sobrevivência e Outras (€)</v>
      </c>
    </row>
    <row r="153" spans="2:15" ht="16.350000000000001" customHeight="1">
      <c r="B153" s="449"/>
      <c r="C153" s="449"/>
      <c r="D153" s="449" t="str">
        <f>IF(Indice_index!$Z$1=1,"Novos","New")</f>
        <v>Novos</v>
      </c>
      <c r="E153" s="449"/>
      <c r="F153" s="449"/>
      <c r="G153" s="449"/>
      <c r="H153" s="449" t="str">
        <f>IF(Indice_index!$Z$1=1,"Abonos abatidos de Aposentação/Reforma","Allowances deducted from Retirement/Pension")</f>
        <v>Abonos abatidos de Aposentação/Reforma</v>
      </c>
      <c r="I153" s="411" t="str">
        <f>IF(Indice_index!$Z$1=1,"Novos","New")</f>
        <v>Novos</v>
      </c>
      <c r="J153" s="412"/>
      <c r="K153" s="412"/>
      <c r="L153" s="413"/>
      <c r="M153" s="449" t="str">
        <f>IF(Indice_index!$Z$1=1,"Abonos abatidos de Aposentação /Reforma","Allowances deducted from Retirement / Pension")</f>
        <v>Abonos abatidos de Aposentação /Reforma</v>
      </c>
      <c r="N153" s="449"/>
      <c r="O153" s="449"/>
    </row>
    <row r="154" spans="2:15" ht="36" customHeight="1">
      <c r="B154" s="449"/>
      <c r="C154" s="449"/>
      <c r="D154" s="176" t="str">
        <f>IF(Indice_index!$Z$1=1,"Velhice e Outros Motivos","Old age and other Reasons")</f>
        <v>Velhice e Outros Motivos</v>
      </c>
      <c r="E154" s="176" t="str">
        <f>IF(Indice_index!$Z$1=1,"Invalidez","Disability")</f>
        <v>Invalidez</v>
      </c>
      <c r="F154" s="176" t="str">
        <f>IF(Indice_index!$Z$1=1,"Sobrevivência e Outros","Survival and Others")</f>
        <v>Sobrevivência e Outros</v>
      </c>
      <c r="G154" s="176" t="str">
        <f>IF(Indice_index!$Z$1=1,"Total de Pensionistas","Total of Pensioners")</f>
        <v>Total de Pensionistas</v>
      </c>
      <c r="H154" s="449"/>
      <c r="I154" s="176" t="str">
        <f>IF(Indice_index!$Z$1=1,"Velhice e Outros Motivos","Old age and other Reasons")</f>
        <v>Velhice e Outros Motivos</v>
      </c>
      <c r="J154" s="176" t="str">
        <f>IF(Indice_index!$Z$1=1,"Invalidez","Disability")</f>
        <v>Invalidez</v>
      </c>
      <c r="K154" s="176" t="str">
        <f>IF(Indice_index!$Z$1=1,"Sobrevivência e Outros","Survival and Others")</f>
        <v>Sobrevivência e Outros</v>
      </c>
      <c r="L154" s="176" t="str">
        <f>IF(Indice_index!$Z$1=1,"Total","Total")</f>
        <v>Total</v>
      </c>
      <c r="M154" s="449"/>
      <c r="N154" s="449"/>
      <c r="O154" s="449"/>
    </row>
    <row r="155" spans="2:15" ht="14.1" customHeight="1">
      <c r="B155" s="363" t="s">
        <v>14</v>
      </c>
      <c r="C155" s="363"/>
      <c r="D155" s="199"/>
      <c r="E155" s="199"/>
      <c r="F155" s="199"/>
      <c r="G155" s="199"/>
      <c r="H155" s="4"/>
      <c r="I155" s="4"/>
      <c r="J155" s="4"/>
      <c r="K155" s="4"/>
      <c r="L155" s="4"/>
      <c r="M155" s="4"/>
      <c r="N155" s="4"/>
      <c r="O155" s="4"/>
    </row>
    <row r="156" spans="2:15" ht="14.1" customHeight="1">
      <c r="B156" s="197"/>
      <c r="C156" s="198" t="str">
        <f>IF(Indice_index!$Z$1=1,"dezembro","December")</f>
        <v>dezembro</v>
      </c>
      <c r="D156" s="199">
        <v>19.01608325449385</v>
      </c>
      <c r="E156" s="199">
        <v>-18.867924528301888</v>
      </c>
      <c r="F156" s="199">
        <v>-10.123734533183352</v>
      </c>
      <c r="G156" s="199">
        <v>4.4346978557504872</v>
      </c>
      <c r="H156" s="4">
        <v>-10.170807453416149</v>
      </c>
      <c r="I156" s="4">
        <v>-7.0280443294290809</v>
      </c>
      <c r="J156" s="4">
        <v>-18.226872590732171</v>
      </c>
      <c r="K156" s="4">
        <v>-9.4014733085164384</v>
      </c>
      <c r="L156" s="4">
        <v>-8.052363887392282</v>
      </c>
      <c r="M156" s="4">
        <v>-6.4650862252319223</v>
      </c>
      <c r="N156" s="4">
        <v>-20.150636619044779</v>
      </c>
      <c r="O156" s="4">
        <v>0.81780144541652111</v>
      </c>
    </row>
    <row r="157" spans="2:15" ht="14.1" customHeight="1">
      <c r="B157" s="363" t="s">
        <v>15</v>
      </c>
      <c r="C157" s="363"/>
      <c r="D157" s="199"/>
      <c r="E157" s="199"/>
      <c r="F157" s="199"/>
      <c r="G157" s="199"/>
      <c r="H157" s="4"/>
      <c r="I157" s="4"/>
      <c r="J157" s="4"/>
      <c r="K157" s="4"/>
      <c r="L157" s="4"/>
      <c r="M157" s="4"/>
      <c r="N157" s="4"/>
      <c r="O157" s="4"/>
    </row>
    <row r="158" spans="2:15" ht="14.1" customHeight="1">
      <c r="B158" s="197"/>
      <c r="C158" s="198" t="str">
        <f>IF(Indice_index!$Z$1=1,"dezembro","December")</f>
        <v>dezembro</v>
      </c>
      <c r="D158" s="199">
        <v>25.039745627980921</v>
      </c>
      <c r="E158" s="199">
        <v>1.1627906976744187</v>
      </c>
      <c r="F158" s="199">
        <v>12.891113892365457</v>
      </c>
      <c r="G158" s="199">
        <v>19.552029864675688</v>
      </c>
      <c r="H158" s="4">
        <v>8.124459809853068</v>
      </c>
      <c r="I158" s="4">
        <v>46.50615451064585</v>
      </c>
      <c r="J158" s="4">
        <v>-3.622085999598474</v>
      </c>
      <c r="K158" s="4">
        <v>21.668831710512588</v>
      </c>
      <c r="L158" s="4">
        <v>39.517858909820404</v>
      </c>
      <c r="M158" s="4">
        <v>6.5292920541598747</v>
      </c>
      <c r="N158" s="4">
        <v>16.364725258272209</v>
      </c>
      <c r="O158" s="4">
        <v>7.7721184682135318</v>
      </c>
    </row>
    <row r="159" spans="2:15" ht="14.1" customHeight="1">
      <c r="B159" s="363">
        <v>2023</v>
      </c>
      <c r="C159" s="363"/>
      <c r="D159" s="199"/>
      <c r="E159" s="199"/>
      <c r="F159" s="199"/>
      <c r="G159" s="199"/>
      <c r="H159" s="4"/>
      <c r="I159" s="4"/>
      <c r="J159" s="4"/>
      <c r="K159" s="4"/>
      <c r="L159" s="4"/>
      <c r="M159" s="4"/>
      <c r="N159" s="4"/>
      <c r="O159" s="4"/>
    </row>
    <row r="160" spans="2:15" ht="14.1" customHeight="1">
      <c r="B160" s="197"/>
      <c r="C160" s="198" t="str">
        <f>IF(Indice_index!$Z$1=1,"dezembro","December")</f>
        <v>dezembro</v>
      </c>
      <c r="D160" s="199">
        <v>71.265098537825807</v>
      </c>
      <c r="E160" s="199">
        <v>16.091954022988507</v>
      </c>
      <c r="F160" s="199">
        <v>26.164079822616408</v>
      </c>
      <c r="G160" s="199">
        <v>53.512880562060893</v>
      </c>
      <c r="H160" s="4">
        <v>-3.0375699440447641</v>
      </c>
      <c r="I160" s="4">
        <v>71.098242576365195</v>
      </c>
      <c r="J160" s="4">
        <v>27.637316443760181</v>
      </c>
      <c r="K160" s="4">
        <v>18.629995730042044</v>
      </c>
      <c r="L160" s="4">
        <v>61.018400974018675</v>
      </c>
      <c r="M160" s="4">
        <v>3.7625927004719242</v>
      </c>
      <c r="N160" s="4">
        <v>0.66263510036026463</v>
      </c>
      <c r="O160" s="4">
        <v>-5.9688429896726607</v>
      </c>
    </row>
    <row r="161" spans="2:15" ht="14.1" customHeight="1">
      <c r="B161" s="363">
        <v>2024</v>
      </c>
      <c r="C161" s="363"/>
      <c r="D161" s="199"/>
      <c r="E161" s="199"/>
      <c r="F161" s="199"/>
      <c r="G161" s="199"/>
      <c r="H161" s="4"/>
      <c r="I161" s="4"/>
      <c r="J161" s="4"/>
      <c r="K161" s="4"/>
      <c r="L161" s="4"/>
      <c r="M161" s="4"/>
      <c r="N161" s="4"/>
      <c r="O161" s="4"/>
    </row>
    <row r="162" spans="2:15" ht="14.1" customHeight="1">
      <c r="B162" s="197"/>
      <c r="C162" s="198" t="str">
        <f>IF(Indice_index!$Z$1=1,"janeiro","January")</f>
        <v>janeiro</v>
      </c>
      <c r="D162" s="199">
        <v>31.25</v>
      </c>
      <c r="E162" s="199">
        <v>30.76923076923077</v>
      </c>
      <c r="F162" s="199">
        <v>28.466076696165192</v>
      </c>
      <c r="G162" s="199">
        <v>30.404217926186295</v>
      </c>
      <c r="H162" s="4">
        <v>-5.9803179409538227</v>
      </c>
      <c r="I162" s="4">
        <v>47.636299614963306</v>
      </c>
      <c r="J162" s="4">
        <v>15.091982992969118</v>
      </c>
      <c r="K162" s="4">
        <v>25.441781675532049</v>
      </c>
      <c r="L162" s="4">
        <v>43.622275184273249</v>
      </c>
      <c r="M162" s="4">
        <v>4.0909286129688747</v>
      </c>
      <c r="N162" s="4">
        <v>11.567164179104477</v>
      </c>
      <c r="O162" s="4">
        <v>-2.3428079242032771</v>
      </c>
    </row>
    <row r="163" spans="2:15" ht="14.1" customHeight="1">
      <c r="B163" s="197"/>
      <c r="C163" s="198" t="str">
        <f>IF(Indice_index!$Z$1=1,"fevereiro","February")</f>
        <v>fevereiro</v>
      </c>
      <c r="D163" s="199">
        <v>23.797678275290217</v>
      </c>
      <c r="E163" s="199">
        <v>-39.42307692307692</v>
      </c>
      <c r="F163" s="199">
        <v>2.2695035460992909</v>
      </c>
      <c r="G163" s="199">
        <v>13.002481389578163</v>
      </c>
      <c r="H163" s="4">
        <v>5.9895833333333339</v>
      </c>
      <c r="I163" s="4">
        <v>39.063271949632615</v>
      </c>
      <c r="J163" s="4">
        <v>-24.293756066750692</v>
      </c>
      <c r="K163" s="4">
        <v>10.883905320552969</v>
      </c>
      <c r="L163" s="4">
        <v>31.443167993405797</v>
      </c>
      <c r="M163" s="4">
        <v>12.733135794601901</v>
      </c>
      <c r="N163" s="4">
        <v>14.337851929092803</v>
      </c>
      <c r="O163" s="4">
        <v>8.4186200066028398</v>
      </c>
    </row>
    <row r="164" spans="2:15" ht="14.1" customHeight="1">
      <c r="B164" s="197"/>
      <c r="C164" s="198" t="str">
        <f>IF(Indice_index!$Z$1=1,"março","March")</f>
        <v>março</v>
      </c>
      <c r="D164" s="199">
        <v>15.88089330024814</v>
      </c>
      <c r="E164" s="199">
        <v>-16</v>
      </c>
      <c r="F164" s="199">
        <v>14.054054054054054</v>
      </c>
      <c r="G164" s="199">
        <v>14.031620553359684</v>
      </c>
      <c r="H164" s="4">
        <v>13.159652638610556</v>
      </c>
      <c r="I164" s="4">
        <v>20.69697383569973</v>
      </c>
      <c r="J164" s="4">
        <v>-12.204516701992169</v>
      </c>
      <c r="K164" s="4">
        <v>18.826510767836826</v>
      </c>
      <c r="L164" s="4">
        <v>19.152334215861057</v>
      </c>
      <c r="M164" s="4">
        <v>21.696841988714596</v>
      </c>
      <c r="N164" s="4">
        <v>4.5623145400593588</v>
      </c>
      <c r="O164" s="4">
        <v>4.1889329425960966</v>
      </c>
    </row>
    <row r="165" spans="2:15" ht="14.1" customHeight="1">
      <c r="B165" s="197"/>
      <c r="C165" s="198" t="str">
        <f>IF(Indice_index!$Z$1=1,"abril","April")</f>
        <v>abril</v>
      </c>
      <c r="D165" s="199">
        <v>-5.1212938005390836</v>
      </c>
      <c r="E165" s="199">
        <v>46.376811594202898</v>
      </c>
      <c r="F165" s="199">
        <v>43.472750316856775</v>
      </c>
      <c r="G165" s="199">
        <v>12.766865926558497</v>
      </c>
      <c r="H165" s="4">
        <v>-18.428005284015853</v>
      </c>
      <c r="I165" s="4">
        <v>-10.642832700578813</v>
      </c>
      <c r="J165" s="4">
        <v>41.594968467884613</v>
      </c>
      <c r="K165" s="4">
        <v>39.099101949909539</v>
      </c>
      <c r="L165" s="4">
        <v>-1.7150190620894661</v>
      </c>
      <c r="M165" s="4">
        <v>-7.8268511938792864</v>
      </c>
      <c r="N165" s="4">
        <v>-6.2820054781469565</v>
      </c>
      <c r="O165" s="4">
        <v>-3.0608755129958922</v>
      </c>
    </row>
    <row r="166" spans="2:15" ht="14.1" customHeight="1">
      <c r="B166" s="197"/>
      <c r="C166" s="198" t="str">
        <f>IF(Indice_index!$Z$1=1,"maio","May")</f>
        <v>maio</v>
      </c>
      <c r="D166" s="199">
        <v>-8</v>
      </c>
      <c r="E166" s="199">
        <v>5.9</v>
      </c>
      <c r="F166" s="199">
        <v>103.5</v>
      </c>
      <c r="G166" s="199">
        <v>22.4</v>
      </c>
      <c r="H166" s="4">
        <v>-2.4</v>
      </c>
      <c r="I166" s="4">
        <v>-8.3000000000000007</v>
      </c>
      <c r="J166" s="4">
        <v>-4.2</v>
      </c>
      <c r="K166" s="4">
        <v>80.7</v>
      </c>
      <c r="L166" s="4">
        <v>2.2000000000000002</v>
      </c>
      <c r="M166" s="4">
        <v>4.0999999999999996</v>
      </c>
      <c r="N166" s="4">
        <v>-0.8</v>
      </c>
      <c r="O166" s="4">
        <v>-11.2</v>
      </c>
    </row>
    <row r="167" spans="2:15" ht="14.1" customHeight="1">
      <c r="B167" s="197"/>
      <c r="C167" s="198" t="str">
        <f>IF(Indice_index!$Z$1=1,"junho","June")</f>
        <v>junho</v>
      </c>
      <c r="D167" s="199">
        <v>6.0105184072126221</v>
      </c>
      <c r="E167" s="199">
        <v>17.80821917808219</v>
      </c>
      <c r="F167" s="199">
        <v>-21.451355661881976</v>
      </c>
      <c r="G167" s="199">
        <v>-6.6215199398043643</v>
      </c>
      <c r="H167" s="4">
        <v>8.5918854415274453</v>
      </c>
      <c r="I167" s="4">
        <v>6.7063099356242191</v>
      </c>
      <c r="J167" s="4">
        <v>29.888889149914693</v>
      </c>
      <c r="K167" s="4">
        <v>-13.712822321295146</v>
      </c>
      <c r="L167" s="4">
        <v>2.5551972619225825</v>
      </c>
      <c r="M167" s="4">
        <v>18.169259535451559</v>
      </c>
      <c r="N167" s="4">
        <v>0.82294106475913154</v>
      </c>
      <c r="O167" s="4">
        <v>9.8439821693907881</v>
      </c>
    </row>
    <row r="168" spans="2:15" ht="14.1" customHeight="1">
      <c r="B168" s="197"/>
      <c r="C168" s="198" t="str">
        <f>IF(Indice_index!$Z$1=1,"julho","July")</f>
        <v>julho</v>
      </c>
      <c r="D168" s="199">
        <v>4.5587375803623615</v>
      </c>
      <c r="E168" s="199">
        <v>6.666666666666667</v>
      </c>
      <c r="F168" s="199">
        <v>3.2051282051282048</v>
      </c>
      <c r="G168" s="199">
        <v>4.2088854247856586</v>
      </c>
      <c r="H168" s="4">
        <v>1.9904458598726114</v>
      </c>
      <c r="I168" s="4">
        <v>8.6558623835491684</v>
      </c>
      <c r="J168" s="4">
        <v>-5.2397359913456905</v>
      </c>
      <c r="K168" s="4">
        <v>8.4499258481996264</v>
      </c>
      <c r="L168" s="4">
        <v>8.2256631161820479</v>
      </c>
      <c r="M168" s="4">
        <v>11.1238529633347</v>
      </c>
      <c r="N168" s="4">
        <v>3.3866765909936674</v>
      </c>
      <c r="O168" s="4">
        <v>5.0841324407454147</v>
      </c>
    </row>
    <row r="169" spans="2:15" ht="14.1" customHeight="1">
      <c r="B169" s="197"/>
      <c r="C169" s="198" t="str">
        <f>IF(Indice_index!$Z$1=1,"agosto","August")</f>
        <v>agosto</v>
      </c>
      <c r="D169" s="199">
        <v>17.254650416933931</v>
      </c>
      <c r="E169" s="199">
        <v>-20.454545454545457</v>
      </c>
      <c r="F169" s="199">
        <v>11.888111888111888</v>
      </c>
      <c r="G169" s="199">
        <v>13.972809667673717</v>
      </c>
      <c r="H169" s="4">
        <v>11.327762302692665</v>
      </c>
      <c r="I169" s="4">
        <v>21.881088868395953</v>
      </c>
      <c r="J169" s="4">
        <v>-26.125742680379403</v>
      </c>
      <c r="K169" s="4">
        <v>6.5178369151251996</v>
      </c>
      <c r="L169" s="4">
        <v>17.430977920178314</v>
      </c>
      <c r="M169" s="4">
        <v>18.080652990971053</v>
      </c>
      <c r="N169" s="4">
        <v>3.9611673758015167</v>
      </c>
      <c r="O169" s="4">
        <v>-4.7954393024815598</v>
      </c>
    </row>
    <row r="170" spans="2:15" ht="14.1" customHeight="1">
      <c r="B170" s="197"/>
      <c r="C170" s="198" t="str">
        <f>IF(Indice_index!$Z$1=1,"setembro","September")</f>
        <v>setembro</v>
      </c>
      <c r="D170" s="199">
        <v>33.898305084745758</v>
      </c>
      <c r="E170" s="199">
        <v>-11.956521739130435</v>
      </c>
      <c r="F170" s="199">
        <v>-22.798434442270057</v>
      </c>
      <c r="G170" s="199">
        <v>11.424439624005785</v>
      </c>
      <c r="H170" s="4">
        <v>8.9643167972149698</v>
      </c>
      <c r="I170" s="4">
        <v>48.248250089085722</v>
      </c>
      <c r="J170" s="4">
        <v>-22.09156611492001</v>
      </c>
      <c r="K170" s="4">
        <v>-24.961386939532403</v>
      </c>
      <c r="L170" s="4">
        <v>33.368466783357086</v>
      </c>
      <c r="M170" s="4">
        <v>16.707073955621972</v>
      </c>
      <c r="N170" s="4">
        <v>10.563870518621659</v>
      </c>
      <c r="O170" s="4">
        <v>-2.8099173553719008</v>
      </c>
    </row>
    <row r="171" spans="2:15" ht="14.1" customHeight="1">
      <c r="B171" s="197"/>
      <c r="C171" s="198" t="str">
        <f>IF(Indice_index!$Z$1=1,"outubro","October")</f>
        <v>outubro</v>
      </c>
      <c r="D171" s="199">
        <v>29.726288987905789</v>
      </c>
      <c r="E171" s="199">
        <v>-20.779220779220779</v>
      </c>
      <c r="F171" s="199">
        <v>-12.366114897760468</v>
      </c>
      <c r="G171" s="199">
        <v>12.11214953271028</v>
      </c>
      <c r="H171" s="4">
        <v>-1.740506329113924</v>
      </c>
      <c r="I171" s="4">
        <v>33.393561261701826</v>
      </c>
      <c r="J171" s="4">
        <v>-29.913940403391102</v>
      </c>
      <c r="K171" s="4">
        <v>-9.0667244165600565</v>
      </c>
      <c r="L171" s="4">
        <v>24.352528985973507</v>
      </c>
      <c r="M171" s="4">
        <v>1.6748494931684961</v>
      </c>
      <c r="N171" s="4">
        <v>2.8943983159864342</v>
      </c>
      <c r="O171" s="4">
        <v>3.7622682660850475</v>
      </c>
    </row>
    <row r="172" spans="2:15" ht="14.1" customHeight="1">
      <c r="B172" s="197"/>
      <c r="C172" s="198" t="str">
        <f>IF(Indice_index!$Z$1=1,"novembro","November")</f>
        <v>novembro</v>
      </c>
      <c r="D172" s="199">
        <v>24.7</v>
      </c>
      <c r="E172" s="199">
        <v>0</v>
      </c>
      <c r="F172" s="199">
        <v>6</v>
      </c>
      <c r="G172" s="199">
        <v>17.2</v>
      </c>
      <c r="H172" s="4">
        <v>0.2</v>
      </c>
      <c r="I172" s="4">
        <v>26.4</v>
      </c>
      <c r="J172" s="4">
        <v>7.1</v>
      </c>
      <c r="K172" s="4">
        <v>8.5</v>
      </c>
      <c r="L172" s="4">
        <v>23</v>
      </c>
      <c r="M172" s="4">
        <v>2.9</v>
      </c>
      <c r="N172" s="4">
        <v>1.7</v>
      </c>
      <c r="O172" s="4">
        <v>2.2999999999999998</v>
      </c>
    </row>
    <row r="173" spans="2:15" ht="14.1" customHeight="1">
      <c r="B173" s="197"/>
      <c r="C173" s="198" t="str">
        <f>IF(Indice_index!$Z$1=1,"dezembro","December")</f>
        <v>dezembro</v>
      </c>
      <c r="D173" s="199">
        <v>-5.2</v>
      </c>
      <c r="E173" s="199">
        <v>1</v>
      </c>
      <c r="F173" s="199">
        <v>-12.4</v>
      </c>
      <c r="G173" s="199">
        <v>-7.1</v>
      </c>
      <c r="H173" s="4">
        <v>6.3</v>
      </c>
      <c r="I173" s="4">
        <v>5.9</v>
      </c>
      <c r="J173" s="4">
        <v>-1.8</v>
      </c>
      <c r="K173" s="4">
        <v>-20.2</v>
      </c>
      <c r="L173" s="4">
        <v>2.5</v>
      </c>
      <c r="M173" s="4">
        <v>12.6</v>
      </c>
      <c r="N173" s="4">
        <v>11.2</v>
      </c>
      <c r="O173" s="4">
        <v>-8.9</v>
      </c>
    </row>
    <row r="174" spans="2:15" ht="14.1" customHeight="1">
      <c r="B174" s="363">
        <v>2025</v>
      </c>
      <c r="C174" s="363"/>
      <c r="D174" s="199"/>
      <c r="E174" s="199"/>
      <c r="F174" s="199"/>
      <c r="G174" s="199"/>
      <c r="H174" s="4"/>
      <c r="I174" s="4"/>
      <c r="J174" s="4"/>
      <c r="K174" s="4"/>
      <c r="L174" s="4"/>
      <c r="M174" s="4"/>
      <c r="N174" s="4"/>
      <c r="O174" s="4"/>
    </row>
    <row r="175" spans="2:15" ht="14.1" customHeight="1">
      <c r="B175" s="275"/>
      <c r="C175" s="198" t="str">
        <f>IF(Indice_index!$Z$1=1,"janeiro","January")</f>
        <v>janeiro</v>
      </c>
      <c r="D175" s="199">
        <v>-2.6065162907268169</v>
      </c>
      <c r="E175" s="199">
        <v>-25.490196078431371</v>
      </c>
      <c r="F175" s="199">
        <v>7.4626865671641784</v>
      </c>
      <c r="G175" s="199">
        <v>-0.43800539083557954</v>
      </c>
      <c r="H175" s="4">
        <v>0.80515297906602246</v>
      </c>
      <c r="I175" s="4">
        <v>-7.0273154469937298</v>
      </c>
      <c r="J175" s="4">
        <v>-24.208169144525431</v>
      </c>
      <c r="K175" s="4">
        <v>1.6609147519125043</v>
      </c>
      <c r="L175" s="4">
        <v>-6.4702124137414208</v>
      </c>
      <c r="M175" s="4">
        <v>8.3485581403837958</v>
      </c>
      <c r="N175" s="4">
        <v>-3.963210702341132</v>
      </c>
      <c r="O175" s="4">
        <v>-5.3977773857823292</v>
      </c>
    </row>
    <row r="176" spans="2:15" ht="14.1" customHeight="1">
      <c r="B176" s="275"/>
      <c r="C176" s="198" t="str">
        <f>IF(Indice_index!$Z$1=1,"fevereiro","February")</f>
        <v>fevereiro</v>
      </c>
      <c r="D176" s="199">
        <v>27.394507702612191</v>
      </c>
      <c r="E176" s="199">
        <v>19.047619047619047</v>
      </c>
      <c r="F176" s="199">
        <v>28.9875173370319</v>
      </c>
      <c r="G176" s="199">
        <v>27.66798418972332</v>
      </c>
      <c r="H176" s="4">
        <v>-1.2285012285012284</v>
      </c>
      <c r="I176" s="4">
        <v>37.122070387741665</v>
      </c>
      <c r="J176" s="4">
        <v>27.349082957735639</v>
      </c>
      <c r="K176" s="4">
        <v>17.25153475437692</v>
      </c>
      <c r="L176" s="4">
        <v>33.946332023455824</v>
      </c>
      <c r="M176" s="4">
        <v>6.5688778884407686</v>
      </c>
      <c r="N176" s="4">
        <v>7.7006383948928354</v>
      </c>
      <c r="O176" s="4">
        <v>-9.1047503045066929</v>
      </c>
    </row>
    <row r="177" spans="2:15" ht="14.1" customHeight="1">
      <c r="B177" s="275"/>
      <c r="C177" s="198" t="str">
        <f>IF(Indice_index!$Z$1=1,"março","March")</f>
        <v>março</v>
      </c>
      <c r="D177" s="199">
        <v>46.966452533904352</v>
      </c>
      <c r="E177" s="199">
        <v>33.333333333333329</v>
      </c>
      <c r="F177" s="199">
        <v>17.298578199052134</v>
      </c>
      <c r="G177" s="199">
        <v>35.745233968804158</v>
      </c>
      <c r="H177" s="4">
        <v>-1.8890200708382525</v>
      </c>
      <c r="I177" s="4">
        <v>56.581890045627439</v>
      </c>
      <c r="J177" s="4">
        <v>33.75778915745132</v>
      </c>
      <c r="K177" s="4">
        <v>18.172775973086512</v>
      </c>
      <c r="L177" s="4">
        <v>49.395164773363504</v>
      </c>
      <c r="M177" s="4">
        <v>0.74781007352754469</v>
      </c>
      <c r="N177" s="4">
        <v>6.4502778763154733</v>
      </c>
      <c r="O177" s="4">
        <v>0.74454003970880223</v>
      </c>
    </row>
    <row r="178" spans="2:15" ht="14.1" customHeight="1">
      <c r="B178" s="275"/>
      <c r="C178" s="198" t="str">
        <f>IF(Indice_index!$Z$1=1,"abril","April")</f>
        <v>abril</v>
      </c>
      <c r="D178" s="199">
        <v>28.83522727272727</v>
      </c>
      <c r="E178" s="199">
        <v>-32.673267326732677</v>
      </c>
      <c r="F178" s="199">
        <v>-16.431095406360424</v>
      </c>
      <c r="G178" s="199">
        <v>7.0806512684589169</v>
      </c>
      <c r="H178" s="4">
        <v>8.0161943319838063</v>
      </c>
      <c r="I178" s="4">
        <v>42.662591683516638</v>
      </c>
      <c r="J178" s="4">
        <v>-30.367249973015149</v>
      </c>
      <c r="K178" s="4">
        <v>-9.4575592110649325</v>
      </c>
      <c r="L178" s="4">
        <v>28.652636796990322</v>
      </c>
      <c r="M178" s="4">
        <v>9.5292683741430189</v>
      </c>
      <c r="N178" s="4">
        <v>11.411144291251025</v>
      </c>
      <c r="O178" s="4">
        <v>8.3612630093490878</v>
      </c>
    </row>
    <row r="179" spans="2:15" ht="14.1" customHeight="1">
      <c r="B179" s="275"/>
      <c r="C179" s="198" t="str">
        <f>IF(Indice_index!$Z$1=1,"maio","May")</f>
        <v>maio</v>
      </c>
      <c r="D179" s="199">
        <v>3.2710280373831773</v>
      </c>
      <c r="E179" s="199">
        <v>-10</v>
      </c>
      <c r="F179" s="199">
        <v>-31.513260530421217</v>
      </c>
      <c r="G179" s="199">
        <v>-12.682926829268293</v>
      </c>
      <c r="H179" s="4">
        <v>6.5882352941176476</v>
      </c>
      <c r="I179" s="4">
        <v>5.7293597673863905</v>
      </c>
      <c r="J179" s="4">
        <v>-7.0920798854260516</v>
      </c>
      <c r="K179" s="4">
        <v>-21.698220016955393</v>
      </c>
      <c r="L179" s="4">
        <v>-0.32365504866864769</v>
      </c>
      <c r="M179" s="4">
        <v>7.6085890122785758</v>
      </c>
      <c r="N179" s="4">
        <v>2.6021400778210091</v>
      </c>
      <c r="O179" s="4">
        <v>14.348239771646046</v>
      </c>
    </row>
    <row r="180" spans="2:15" ht="13.5" customHeight="1">
      <c r="B180" s="197"/>
      <c r="C180" s="198" t="str">
        <f>IF(Indice_index!$Z$1=1,"junho","June")</f>
        <v>junho</v>
      </c>
      <c r="D180" s="199">
        <v>9.425939050318922</v>
      </c>
      <c r="E180" s="199">
        <v>3.4883720930232558</v>
      </c>
      <c r="F180" s="199">
        <v>-6.4974619289340101</v>
      </c>
      <c r="G180" s="199">
        <v>2.9008863819500403</v>
      </c>
      <c r="H180" s="4">
        <v>5.4945054945054945</v>
      </c>
      <c r="I180" s="4">
        <v>6.4207213287125837</v>
      </c>
      <c r="J180" s="4">
        <v>3.2123086903101075</v>
      </c>
      <c r="K180" s="4">
        <v>-3.1899877082097778</v>
      </c>
      <c r="L180" s="4">
        <v>4.4260620503832362</v>
      </c>
      <c r="M180" s="4">
        <v>13.049919426299175</v>
      </c>
      <c r="N180" s="4">
        <v>-2.5616877001318485</v>
      </c>
      <c r="O180" s="4">
        <v>3.5339871491376358</v>
      </c>
    </row>
    <row r="181" spans="2:15" ht="13.5" customHeight="1">
      <c r="B181" s="197"/>
      <c r="C181" s="198" t="s">
        <v>467</v>
      </c>
      <c r="D181" s="199">
        <v>-22.638345444382338</v>
      </c>
      <c r="E181" s="199">
        <v>-18.75</v>
      </c>
      <c r="F181" s="199">
        <v>3.7267080745341614</v>
      </c>
      <c r="G181" s="199">
        <v>-14.584891548242334</v>
      </c>
      <c r="H181" s="4">
        <v>-5.4644808743169397</v>
      </c>
      <c r="I181" s="4">
        <v>-21.82837670453798</v>
      </c>
      <c r="J181" s="4">
        <v>7.1280685667850978</v>
      </c>
      <c r="K181" s="4">
        <v>17.274155399159088</v>
      </c>
      <c r="L181" s="4">
        <v>-15.989235139097206</v>
      </c>
      <c r="M181" s="4">
        <v>-3.6998626936503758</v>
      </c>
      <c r="N181" s="4">
        <v>1.9198464122870171</v>
      </c>
      <c r="O181" s="4">
        <v>13.068181818181834</v>
      </c>
    </row>
    <row r="182" spans="2:15" ht="13.5" customHeight="1">
      <c r="B182" s="197"/>
      <c r="C182" s="198" t="s">
        <v>471</v>
      </c>
      <c r="D182" s="199">
        <v>-21.717724288840262</v>
      </c>
      <c r="E182" s="199">
        <v>7.1428571428571423</v>
      </c>
      <c r="F182" s="199">
        <v>-15</v>
      </c>
      <c r="G182" s="199">
        <v>-18.555334658714383</v>
      </c>
      <c r="H182" s="4">
        <v>6.7556296914095082</v>
      </c>
      <c r="I182" s="4">
        <v>-20.43090328116774</v>
      </c>
      <c r="J182" s="4">
        <v>26.128618845542071</v>
      </c>
      <c r="K182" s="4">
        <v>-16.166472612110827</v>
      </c>
      <c r="L182" s="4">
        <v>-18.698295000118282</v>
      </c>
      <c r="M182" s="4">
        <v>9.8833441752427937</v>
      </c>
      <c r="N182" s="4">
        <v>1.8445930366612868</v>
      </c>
      <c r="O182" s="4">
        <v>-1.3737231419513833</v>
      </c>
    </row>
    <row r="183" spans="2:15" ht="13.5" customHeight="1">
      <c r="B183" s="197"/>
      <c r="C183" s="198" t="s">
        <v>472</v>
      </c>
      <c r="D183" s="199">
        <v>-22.106690777576855</v>
      </c>
      <c r="E183" s="199">
        <v>32.098765432098766</v>
      </c>
      <c r="F183" s="199">
        <v>13.307984790874524</v>
      </c>
      <c r="G183" s="199">
        <v>-11.615833874107723</v>
      </c>
      <c r="H183" s="4">
        <v>-3.1150159744408943</v>
      </c>
      <c r="I183" s="4">
        <v>-24.549233195131595</v>
      </c>
      <c r="J183" s="4">
        <v>76.296327614133219</v>
      </c>
      <c r="K183" s="4">
        <v>16.714976972063816</v>
      </c>
      <c r="L183" s="4">
        <v>-18.585697562204629</v>
      </c>
      <c r="M183" s="4">
        <v>4.8601722570330628</v>
      </c>
      <c r="N183" s="4">
        <v>-2.686394879059764</v>
      </c>
      <c r="O183" s="4">
        <v>3.0102040816326605</v>
      </c>
    </row>
    <row r="184" spans="2:15" ht="3.75" customHeight="1">
      <c r="B184" s="289"/>
      <c r="C184" s="290"/>
      <c r="D184" s="291"/>
      <c r="E184" s="291"/>
      <c r="F184" s="291"/>
      <c r="G184" s="291"/>
      <c r="H184" s="291"/>
      <c r="I184" s="291"/>
      <c r="J184" s="291"/>
      <c r="K184" s="291"/>
      <c r="L184" s="291"/>
      <c r="M184" s="291"/>
      <c r="N184" s="291"/>
      <c r="O184" s="291"/>
    </row>
    <row r="185" spans="2:15" ht="21" customHeight="1">
      <c r="B185" s="277" t="str">
        <f>IF(Indice_index!$Z$1=1,"Notas:","Notes:")</f>
        <v>Notas:</v>
      </c>
      <c r="C185" s="277"/>
      <c r="D185" s="277"/>
      <c r="E185" s="277"/>
      <c r="F185" s="277"/>
      <c r="G185" s="277"/>
      <c r="H185" s="277"/>
      <c r="I185" s="277"/>
      <c r="J185" s="277"/>
      <c r="K185" s="277"/>
      <c r="L185" s="277"/>
      <c r="M185" s="277"/>
      <c r="N185" s="277"/>
      <c r="O185" s="277"/>
    </row>
    <row r="186" spans="2:15" ht="25.5" customHeight="1">
      <c r="B186" s="451" t="str">
        <f>IF(Indice_index!$Z$1=1,B191,B192)</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86" s="451"/>
      <c r="D186" s="451"/>
      <c r="E186" s="451"/>
      <c r="F186" s="451"/>
      <c r="G186" s="451"/>
      <c r="H186" s="451"/>
      <c r="I186" s="451"/>
      <c r="J186" s="451"/>
      <c r="K186" s="451"/>
      <c r="L186" s="451"/>
      <c r="M186" s="451"/>
      <c r="N186" s="451"/>
      <c r="O186" s="451"/>
    </row>
    <row r="187" spans="2:15" ht="36" customHeight="1">
      <c r="B187" s="451" t="str">
        <f>IF(Indice_index!$Z$1=1,B193,B194)</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87" s="451"/>
      <c r="D187" s="451"/>
      <c r="E187" s="451"/>
      <c r="F187" s="451"/>
      <c r="G187" s="451"/>
      <c r="H187" s="451"/>
      <c r="I187" s="451"/>
      <c r="J187" s="451"/>
      <c r="K187" s="451"/>
      <c r="L187" s="451"/>
      <c r="M187" s="451"/>
      <c r="N187" s="451"/>
      <c r="O187" s="451"/>
    </row>
    <row r="188" spans="2:15" ht="15">
      <c r="B188" s="452" t="str">
        <f>IF(Indice_index!$Z$1=1,"Fonte: Caixa Geral de Aposentações, I.P.","Source: CGA - Public Servants Social Scheme")</f>
        <v>Fonte: Caixa Geral de Aposentações, I.P.</v>
      </c>
      <c r="C188" s="452"/>
      <c r="D188" s="452"/>
      <c r="E188" s="452"/>
      <c r="F188" s="452"/>
      <c r="G188" s="452"/>
      <c r="H188" s="452"/>
      <c r="I188" s="452"/>
      <c r="J188" s="452"/>
      <c r="K188" s="452"/>
      <c r="L188" s="452"/>
      <c r="M188" s="452"/>
      <c r="N188" s="452"/>
      <c r="O188" s="452"/>
    </row>
    <row r="189" spans="2:15" ht="15"/>
    <row r="190" spans="2:15" ht="15" hidden="1"/>
    <row r="191" spans="2:15" ht="15" hidden="1">
      <c r="B191" s="450" t="s">
        <v>325</v>
      </c>
      <c r="C191" s="450"/>
      <c r="D191" s="450"/>
      <c r="E191" s="450"/>
      <c r="F191" s="450"/>
      <c r="G191" s="450"/>
      <c r="H191" s="450"/>
      <c r="I191" s="450"/>
      <c r="J191" s="450"/>
      <c r="K191" s="450"/>
      <c r="L191" s="450"/>
      <c r="M191" s="450"/>
      <c r="N191" s="450"/>
      <c r="O191" s="100"/>
    </row>
    <row r="192" spans="2:15" ht="15" hidden="1">
      <c r="B192" s="101" t="s">
        <v>16</v>
      </c>
      <c r="C192" s="100"/>
      <c r="D192" s="100"/>
      <c r="E192" s="100"/>
      <c r="F192" s="100"/>
      <c r="G192" s="100"/>
      <c r="H192" s="100"/>
      <c r="I192" s="100"/>
      <c r="J192" s="100"/>
      <c r="K192" s="100"/>
      <c r="L192" s="100"/>
      <c r="M192" s="100"/>
      <c r="N192" s="100"/>
      <c r="O192" s="100"/>
    </row>
    <row r="193" spans="2:15" ht="15.6" hidden="1" customHeight="1">
      <c r="B193" s="101" t="s">
        <v>328</v>
      </c>
      <c r="C193" s="101"/>
      <c r="D193" s="101"/>
      <c r="E193" s="101"/>
      <c r="F193" s="101"/>
      <c r="G193" s="101"/>
      <c r="H193" s="101"/>
      <c r="I193" s="101"/>
      <c r="J193" s="101"/>
      <c r="K193" s="101"/>
      <c r="L193" s="101"/>
      <c r="M193" s="101"/>
      <c r="N193" s="101"/>
      <c r="O193" s="100"/>
    </row>
    <row r="194" spans="2:15" ht="15" hidden="1">
      <c r="B194" s="101" t="s">
        <v>329</v>
      </c>
    </row>
  </sheetData>
  <mergeCells count="56">
    <mergeCell ref="B108:C108"/>
    <mergeCell ref="B123:C123"/>
    <mergeCell ref="B125:C125"/>
    <mergeCell ref="B152:C154"/>
    <mergeCell ref="B105:C107"/>
    <mergeCell ref="B127:C127"/>
    <mergeCell ref="B121:C121"/>
    <mergeCell ref="B140:C140"/>
    <mergeCell ref="I11:I12"/>
    <mergeCell ref="D10:H10"/>
    <mergeCell ref="B10:C12"/>
    <mergeCell ref="H11:H12"/>
    <mergeCell ref="D11:G11"/>
    <mergeCell ref="B191:N191"/>
    <mergeCell ref="B155:C155"/>
    <mergeCell ref="B157:C157"/>
    <mergeCell ref="B159:C159"/>
    <mergeCell ref="B186:O186"/>
    <mergeCell ref="B187:O187"/>
    <mergeCell ref="B161:C161"/>
    <mergeCell ref="B188:O188"/>
    <mergeCell ref="B174:C174"/>
    <mergeCell ref="O152:O154"/>
    <mergeCell ref="D153:G153"/>
    <mergeCell ref="H153:H154"/>
    <mergeCell ref="I153:L153"/>
    <mergeCell ref="M153:M154"/>
    <mergeCell ref="N152:N154"/>
    <mergeCell ref="D152:H152"/>
    <mergeCell ref="I152:M152"/>
    <mergeCell ref="N105:N107"/>
    <mergeCell ref="O105:O107"/>
    <mergeCell ref="D106:G106"/>
    <mergeCell ref="H106:H107"/>
    <mergeCell ref="I106:L106"/>
    <mergeCell ref="M106:M107"/>
    <mergeCell ref="D105:H105"/>
    <mergeCell ref="I105:M105"/>
    <mergeCell ref="I58:I59"/>
    <mergeCell ref="B13:C13"/>
    <mergeCell ref="B26:C26"/>
    <mergeCell ref="B28:C28"/>
    <mergeCell ref="B30:C30"/>
    <mergeCell ref="B57:C59"/>
    <mergeCell ref="D57:H57"/>
    <mergeCell ref="D58:G58"/>
    <mergeCell ref="H58:H59"/>
    <mergeCell ref="B32:C32"/>
    <mergeCell ref="B45:C45"/>
    <mergeCell ref="B75:C75"/>
    <mergeCell ref="B77:C77"/>
    <mergeCell ref="B104:O104"/>
    <mergeCell ref="B60:C60"/>
    <mergeCell ref="B73:C73"/>
    <mergeCell ref="B79:C79"/>
    <mergeCell ref="B92:C92"/>
  </mergeCells>
  <conditionalFormatting sqref="D13:D25 D60:D102 I108:I149 D108:D150">
    <cfRule type="cellIs" dxfId="22" priority="22" operator="equal">
      <formula>0</formula>
    </cfRule>
  </conditionalFormatting>
  <conditionalFormatting sqref="D26:I55">
    <cfRule type="cellIs" dxfId="21" priority="21" operator="equal">
      <formula>0</formula>
    </cfRule>
  </conditionalFormatting>
  <conditionalFormatting sqref="D155:O184">
    <cfRule type="cellIs" dxfId="20" priority="1" operator="equal">
      <formula>0</formula>
    </cfRule>
  </conditionalFormatting>
  <conditionalFormatting sqref="E109:H149">
    <cfRule type="cellIs" dxfId="19" priority="12" operator="equal">
      <formula>0</formula>
    </cfRule>
  </conditionalFormatting>
  <conditionalFormatting sqref="E14:I25">
    <cfRule type="cellIs" dxfId="18" priority="122" operator="equal">
      <formula>0</formula>
    </cfRule>
  </conditionalFormatting>
  <conditionalFormatting sqref="E61:I102">
    <cfRule type="cellIs" dxfId="17" priority="16" operator="equal">
      <formula>0</formula>
    </cfRule>
  </conditionalFormatting>
  <conditionalFormatting sqref="E150:I150">
    <cfRule type="cellIs" dxfId="16" priority="10" operator="equal">
      <formula>0</formula>
    </cfRule>
  </conditionalFormatting>
  <conditionalFormatting sqref="J109:O150">
    <cfRule type="cellIs" dxfId="15" priority="8"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56" min="1" max="14" man="1"/>
    <brk id="103" min="1" max="14" man="1"/>
    <brk id="151" min="1" max="14" man="1"/>
  </rowBreaks>
  <ignoredErrors>
    <ignoredError sqref="B26 B28 B73 B75 B157 B155 B121:C121 B122:C12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6"/>
  <sheetViews>
    <sheetView showGridLines="0" zoomScaleNormal="100" workbookViewId="0"/>
  </sheetViews>
  <sheetFormatPr defaultColWidth="9.42578125" defaultRowHeight="14.85" customHeight="1" zeroHeight="1"/>
  <cols>
    <col min="1" max="1" width="8.5703125" style="50" customWidth="1"/>
    <col min="2" max="2" width="77.42578125" style="102" customWidth="1"/>
    <col min="3" max="3" width="6.5703125" style="102" bestFit="1" customWidth="1"/>
    <col min="4" max="4" width="18.42578125" style="103" customWidth="1"/>
    <col min="5" max="10" width="8.42578125" style="102" hidden="1" customWidth="1"/>
    <col min="11" max="13" width="8.42578125" style="102" customWidth="1"/>
    <col min="14" max="16" width="8.42578125" style="102" hidden="1" customWidth="1"/>
    <col min="17" max="18" width="8.5703125" style="102" customWidth="1"/>
    <col min="19" max="24" width="8.42578125" style="102" hidden="1" customWidth="1"/>
    <col min="25" max="27" width="8.42578125" style="102" customWidth="1"/>
    <col min="28" max="30" width="8.42578125" style="102" hidden="1" customWidth="1"/>
    <col min="31" max="31" width="8.5703125" style="102" customWidth="1"/>
    <col min="32" max="32" width="10" style="102" customWidth="1"/>
    <col min="33" max="33" width="18.5703125" style="132" customWidth="1"/>
  </cols>
  <sheetData>
    <row r="1" spans="1:33" ht="14.85" customHeight="1"/>
    <row r="2" spans="1:33" ht="15">
      <c r="E2" s="104"/>
      <c r="S2" s="104"/>
    </row>
    <row r="3" spans="1:33" ht="15">
      <c r="E3" s="104"/>
      <c r="S3" s="104"/>
    </row>
    <row r="4" spans="1:33" ht="15">
      <c r="E4" s="104"/>
      <c r="S4" s="104"/>
    </row>
    <row r="5" spans="1:33" ht="18" customHeight="1">
      <c r="A5"/>
      <c r="B5" s="269"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row>
    <row r="6" spans="1:33" ht="18" customHeight="1">
      <c r="A6"/>
      <c r="B6" s="270" t="str">
        <f>IF(Indice_index!$Z$1=1,"Setembro de 2025","September 2025")</f>
        <v>Setembro de 2025</v>
      </c>
      <c r="C6"/>
      <c r="D6"/>
      <c r="E6"/>
      <c r="F6"/>
      <c r="G6"/>
      <c r="H6"/>
      <c r="I6"/>
      <c r="J6"/>
      <c r="K6"/>
      <c r="L6"/>
      <c r="M6"/>
      <c r="N6"/>
      <c r="O6"/>
      <c r="P6"/>
      <c r="Q6"/>
      <c r="R6"/>
      <c r="S6"/>
      <c r="T6"/>
      <c r="U6"/>
      <c r="V6"/>
      <c r="W6"/>
      <c r="X6"/>
      <c r="Y6"/>
      <c r="Z6"/>
      <c r="AA6"/>
      <c r="AB6"/>
      <c r="AC6"/>
      <c r="AD6"/>
      <c r="AE6"/>
      <c r="AF6"/>
      <c r="AG6"/>
    </row>
    <row r="7" spans="1:33" ht="50.1" customHeight="1">
      <c r="B7" s="12"/>
      <c r="C7" s="13"/>
      <c r="D7" s="11"/>
      <c r="E7" s="11"/>
      <c r="F7" s="11"/>
      <c r="G7" s="11"/>
      <c r="H7" s="11"/>
      <c r="I7" s="11"/>
      <c r="J7" s="11"/>
      <c r="K7" s="11"/>
      <c r="L7" s="10"/>
      <c r="M7" s="10"/>
      <c r="N7" s="10"/>
      <c r="O7" s="10"/>
      <c r="P7"/>
      <c r="Q7"/>
      <c r="R7"/>
      <c r="S7"/>
      <c r="T7"/>
      <c r="U7"/>
      <c r="V7"/>
      <c r="W7"/>
      <c r="X7"/>
      <c r="Y7"/>
      <c r="Z7"/>
      <c r="AA7"/>
      <c r="AB7"/>
      <c r="AC7"/>
      <c r="AD7"/>
      <c r="AE7"/>
    </row>
    <row r="8" spans="1:33"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1:33" ht="15">
      <c r="B9" s="105"/>
      <c r="E9" s="106"/>
      <c r="F9" s="106"/>
      <c r="G9" s="106"/>
      <c r="H9" s="106"/>
      <c r="I9" s="106"/>
      <c r="R9" s="106"/>
      <c r="S9" s="3"/>
      <c r="T9" s="106"/>
      <c r="U9" s="106"/>
      <c r="V9" s="106"/>
      <c r="W9" s="106"/>
      <c r="AE9" s="3" t="str">
        <f>IF(Indice_index!$Z$1=1,"€ Milhões","€ Millions")</f>
        <v>€ Milhões</v>
      </c>
    </row>
    <row r="10" spans="1:33" ht="16.350000000000001" customHeight="1">
      <c r="B10" s="373"/>
      <c r="C10" s="374"/>
      <c r="D10" s="390" t="str">
        <f>IF(Indice_index!$Z$1=1,"Classificação económica","Economic classification")</f>
        <v>Classificação económica</v>
      </c>
      <c r="E10" s="373" t="str">
        <f>IF(Indice_index!$Z$1=1,"2024","2024")</f>
        <v>2024</v>
      </c>
      <c r="F10" s="374"/>
      <c r="G10" s="374"/>
      <c r="H10" s="374"/>
      <c r="I10" s="374"/>
      <c r="J10" s="374"/>
      <c r="K10" s="374"/>
      <c r="L10" s="374"/>
      <c r="M10" s="374"/>
      <c r="N10" s="374"/>
      <c r="O10" s="374"/>
      <c r="P10" s="374"/>
      <c r="Q10" s="374"/>
      <c r="R10" s="374"/>
      <c r="S10" s="373" t="str">
        <f>IF(Indice_index!$Z$1=1,"2025","2025")</f>
        <v>2025</v>
      </c>
      <c r="T10" s="374"/>
      <c r="U10" s="374"/>
      <c r="V10" s="374"/>
      <c r="W10" s="374"/>
      <c r="X10" s="374"/>
      <c r="Y10" s="374"/>
      <c r="Z10" s="374"/>
      <c r="AA10" s="374"/>
      <c r="AB10" s="374"/>
      <c r="AC10" s="374"/>
      <c r="AD10" s="374"/>
      <c r="AE10" s="374"/>
    </row>
    <row r="11" spans="1:33" ht="26.85" customHeight="1">
      <c r="B11" s="373"/>
      <c r="C11" s="374"/>
      <c r="D11" s="389"/>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1:33" ht="14.1" customHeight="1">
      <c r="B12" s="363" t="str">
        <f>IF(Indice_index!$Z$1=1,"Receita corrente","Current revenue")</f>
        <v>Receita corrente</v>
      </c>
      <c r="C12" s="363"/>
      <c r="D12" s="297"/>
      <c r="E12" s="298">
        <f t="shared" ref="E12:O12" si="0">+E13+E14+E16+E19+E15</f>
        <v>141.34810534000002</v>
      </c>
      <c r="F12" s="298">
        <f t="shared" si="0"/>
        <v>91.081173880000009</v>
      </c>
      <c r="G12" s="298">
        <f t="shared" si="0"/>
        <v>170.15859605999998</v>
      </c>
      <c r="H12" s="298">
        <f t="shared" si="0"/>
        <v>99.386283040000009</v>
      </c>
      <c r="I12" s="298">
        <f t="shared" si="0"/>
        <v>61.245916710000003</v>
      </c>
      <c r="J12" s="298">
        <f t="shared" si="0"/>
        <v>618.64403647999995</v>
      </c>
      <c r="K12" s="298">
        <f t="shared" si="0"/>
        <v>210.00492012999999</v>
      </c>
      <c r="L12" s="298">
        <f t="shared" si="0"/>
        <v>244.70980401</v>
      </c>
      <c r="M12" s="298">
        <f t="shared" si="0"/>
        <v>0.12863873000000001</v>
      </c>
      <c r="N12" s="298">
        <f t="shared" si="0"/>
        <v>646.09167851000007</v>
      </c>
      <c r="O12" s="298">
        <f t="shared" si="0"/>
        <v>18.229936410000001</v>
      </c>
      <c r="P12" s="298">
        <f>+P13+P14+P16+P19+P15</f>
        <v>191.40786911000001</v>
      </c>
      <c r="Q12" s="298">
        <f>+Q13+Q14+Q16+Q19+Q15</f>
        <v>1636.7074743799999</v>
      </c>
      <c r="R12" s="298">
        <f>+R13+R14+R16+R19+R15</f>
        <v>2492.4369584100004</v>
      </c>
      <c r="S12" s="298">
        <f>+S13+S14+S16+S19+S15</f>
        <v>146.22496056</v>
      </c>
      <c r="T12" s="298">
        <f t="shared" ref="T12:AD12" si="1">+T13+T14+T16+T19+T15</f>
        <v>116.73249326999999</v>
      </c>
      <c r="U12" s="298">
        <f>+U13+U14+U16+U19+U15</f>
        <v>189.85259667999998</v>
      </c>
      <c r="V12" s="298">
        <f>+V13+V14+V16+V19+V15</f>
        <v>123.75514601999998</v>
      </c>
      <c r="W12" s="298">
        <f t="shared" si="1"/>
        <v>673.30172317999995</v>
      </c>
      <c r="X12" s="298">
        <f t="shared" si="1"/>
        <v>202.47484295000004</v>
      </c>
      <c r="Y12" s="298">
        <f t="shared" si="1"/>
        <v>13.911911750000002</v>
      </c>
      <c r="Z12" s="298">
        <f t="shared" si="1"/>
        <v>0.74460828999999995</v>
      </c>
      <c r="AA12" s="298">
        <f t="shared" si="1"/>
        <v>2.6158455799999998</v>
      </c>
      <c r="AB12" s="298">
        <f t="shared" si="1"/>
        <v>0</v>
      </c>
      <c r="AC12" s="298">
        <f t="shared" si="1"/>
        <v>0</v>
      </c>
      <c r="AD12" s="298">
        <f t="shared" si="1"/>
        <v>0</v>
      </c>
      <c r="AE12" s="298">
        <f>+AE13+AE14+AE16+AE19+AE15</f>
        <v>1469.6141282799999</v>
      </c>
    </row>
    <row r="13" spans="1:33" ht="14.1" customHeight="1">
      <c r="B13" s="357" t="str">
        <f>IF(Indice_index!$Z$1=1,"Impostos diretos ","Direct taxes")</f>
        <v xml:space="preserve">Impostos diretos </v>
      </c>
      <c r="C13" s="357"/>
      <c r="D13" s="299" t="s">
        <v>17</v>
      </c>
      <c r="E13" s="292">
        <f t="shared" ref="E13:N15" si="2">+SUMIF($D$54:$D$85,$D13,E$54:E$85)</f>
        <v>0.52537933000000003</v>
      </c>
      <c r="F13" s="292">
        <f t="shared" si="2"/>
        <v>-0.34765652000000002</v>
      </c>
      <c r="G13" s="292">
        <f t="shared" si="2"/>
        <v>0.36648025000000001</v>
      </c>
      <c r="H13" s="292">
        <f t="shared" si="2"/>
        <v>-0.43179037999999997</v>
      </c>
      <c r="I13" s="292">
        <f t="shared" si="2"/>
        <v>1.2889320099999999</v>
      </c>
      <c r="J13" s="292">
        <f t="shared" si="2"/>
        <v>188.41830282999999</v>
      </c>
      <c r="K13" s="292">
        <f t="shared" si="2"/>
        <v>0.26337708999999998</v>
      </c>
      <c r="L13" s="292">
        <f t="shared" si="2"/>
        <v>-0.62938136</v>
      </c>
      <c r="M13" s="292">
        <f t="shared" si="2"/>
        <v>6.0301979999999998E-2</v>
      </c>
      <c r="N13" s="292">
        <f t="shared" si="2"/>
        <v>636.39569486000005</v>
      </c>
      <c r="O13" s="292">
        <f t="shared" ref="O13:X15" si="3">+SUMIF($D$54:$D$85,$D13,O$54:O$85)</f>
        <v>4.1099700000000001E-3</v>
      </c>
      <c r="P13" s="292">
        <f>+SUMIF($D$54:$D$85,$D13,P$54:P$85)</f>
        <v>2.1154341900000002</v>
      </c>
      <c r="Q13" s="292">
        <f>+SUMIF($D$54:$D$85,$D13,Q$54:Q$85)</f>
        <v>189.51394522999999</v>
      </c>
      <c r="R13" s="292">
        <f>+SUMIF($D$54:$D$85,$D13,R$54:R$85)</f>
        <v>828.02918424999996</v>
      </c>
      <c r="S13" s="292">
        <f t="shared" si="3"/>
        <v>-0.86642496999999996</v>
      </c>
      <c r="T13" s="292">
        <f t="shared" si="3"/>
        <v>2.5368550700000001</v>
      </c>
      <c r="U13" s="292">
        <f t="shared" si="3"/>
        <v>-0.31989685000000001</v>
      </c>
      <c r="V13" s="292">
        <f t="shared" si="3"/>
        <v>0.42140464999999999</v>
      </c>
      <c r="W13" s="292">
        <f t="shared" si="3"/>
        <v>1.60903079</v>
      </c>
      <c r="X13" s="292">
        <f t="shared" si="3"/>
        <v>192.22887508000002</v>
      </c>
      <c r="Y13" s="292">
        <f t="shared" ref="Y13:AE15" si="4">+SUMIF($D$54:$D$85,$D13,Y$54:Y$85)</f>
        <v>1.77959552</v>
      </c>
      <c r="Z13" s="292">
        <f t="shared" si="4"/>
        <v>4.6878240000000002E-2</v>
      </c>
      <c r="AA13" s="292">
        <f t="shared" si="4"/>
        <v>-0.56175754</v>
      </c>
      <c r="AB13" s="292">
        <f t="shared" si="4"/>
        <v>0</v>
      </c>
      <c r="AC13" s="292">
        <f t="shared" si="4"/>
        <v>0</v>
      </c>
      <c r="AD13" s="292">
        <f t="shared" si="4"/>
        <v>0</v>
      </c>
      <c r="AE13" s="292">
        <f>+SUMIF($D$54:$D$85,$D13,AE$54:AE$85)</f>
        <v>196.87455998999999</v>
      </c>
    </row>
    <row r="14" spans="1:33" ht="14.1" customHeight="1">
      <c r="B14" s="357" t="str">
        <f>IF(Indice_index!$Z$1=1,"Impostos indiretos","Indirect taxes")</f>
        <v>Impostos indiretos</v>
      </c>
      <c r="C14" s="357"/>
      <c r="D14" s="299" t="s">
        <v>18</v>
      </c>
      <c r="E14" s="292">
        <f t="shared" si="2"/>
        <v>91.818548010000001</v>
      </c>
      <c r="F14" s="292">
        <f t="shared" si="2"/>
        <v>91.42883040000001</v>
      </c>
      <c r="G14" s="292">
        <f t="shared" si="2"/>
        <v>85.494037480000003</v>
      </c>
      <c r="H14" s="292">
        <f t="shared" si="2"/>
        <v>99.818073420000005</v>
      </c>
      <c r="I14" s="292">
        <f t="shared" si="2"/>
        <v>59.9569847</v>
      </c>
      <c r="J14" s="292">
        <f t="shared" si="2"/>
        <v>1.157509E-2</v>
      </c>
      <c r="K14" s="292">
        <f t="shared" si="2"/>
        <v>9.7415430399999998</v>
      </c>
      <c r="L14" s="292">
        <f t="shared" si="2"/>
        <v>3.8519240000000003E-2</v>
      </c>
      <c r="M14" s="292">
        <f t="shared" si="2"/>
        <v>6.8336750000000002E-2</v>
      </c>
      <c r="N14" s="292">
        <f t="shared" si="2"/>
        <v>9.6959836499999987</v>
      </c>
      <c r="O14" s="292">
        <f t="shared" si="3"/>
        <v>4.9183589999999999E-2</v>
      </c>
      <c r="P14" s="292">
        <f t="shared" si="3"/>
        <v>-1.0826779999999999E-2</v>
      </c>
      <c r="Q14" s="292">
        <f>+SUMIF($D$54:$D$85,$D14,Q$54:Q$85)</f>
        <v>438.37644813000003</v>
      </c>
      <c r="R14" s="292">
        <f t="shared" si="3"/>
        <v>448.11078859000008</v>
      </c>
      <c r="S14" s="292">
        <f t="shared" si="3"/>
        <v>146.23523982999998</v>
      </c>
      <c r="T14" s="292">
        <f t="shared" si="3"/>
        <v>114.19563819999999</v>
      </c>
      <c r="U14" s="292">
        <f t="shared" si="3"/>
        <v>93.48991341</v>
      </c>
      <c r="V14" s="292">
        <f t="shared" si="3"/>
        <v>78.680950779999989</v>
      </c>
      <c r="W14" s="292">
        <f t="shared" si="3"/>
        <v>0.19269238999999999</v>
      </c>
      <c r="X14" s="292">
        <f t="shared" si="3"/>
        <v>9.8636110000000027E-2</v>
      </c>
      <c r="Y14" s="292">
        <f t="shared" si="4"/>
        <v>12.132316230000001</v>
      </c>
      <c r="Z14" s="292">
        <f t="shared" si="4"/>
        <v>0.69773004999999999</v>
      </c>
      <c r="AA14" s="292">
        <f t="shared" si="4"/>
        <v>1.3500919199999999</v>
      </c>
      <c r="AB14" s="292">
        <f t="shared" si="4"/>
        <v>0</v>
      </c>
      <c r="AC14" s="292">
        <f t="shared" si="4"/>
        <v>0</v>
      </c>
      <c r="AD14" s="292">
        <f t="shared" si="4"/>
        <v>0</v>
      </c>
      <c r="AE14" s="292">
        <f>+SUMIF($D$54:$D$85,$D14,AE$54:AE$85)</f>
        <v>447.07320892000001</v>
      </c>
    </row>
    <row r="15" spans="1:33" ht="14.1" customHeight="1">
      <c r="B15" s="357" t="str">
        <f>IF(Indice_index!$Z$1=1,"Contribuições para Segurança Social, CGA e ADSE","Social security, CGA and ADSE contributions")</f>
        <v>Contribuições para Segurança Social, CGA e ADSE</v>
      </c>
      <c r="C15" s="357"/>
      <c r="D15" s="299" t="s">
        <v>19</v>
      </c>
      <c r="E15" s="292">
        <f t="shared" si="2"/>
        <v>0</v>
      </c>
      <c r="F15" s="292">
        <f t="shared" si="2"/>
        <v>0</v>
      </c>
      <c r="G15" s="292">
        <f t="shared" si="2"/>
        <v>0</v>
      </c>
      <c r="H15" s="292">
        <f t="shared" si="2"/>
        <v>0</v>
      </c>
      <c r="I15" s="292">
        <f t="shared" si="2"/>
        <v>0</v>
      </c>
      <c r="J15" s="292">
        <f t="shared" si="2"/>
        <v>0</v>
      </c>
      <c r="K15" s="292">
        <f t="shared" si="2"/>
        <v>0</v>
      </c>
      <c r="L15" s="292">
        <f t="shared" si="2"/>
        <v>0</v>
      </c>
      <c r="M15" s="292">
        <f t="shared" si="2"/>
        <v>0</v>
      </c>
      <c r="N15" s="292">
        <f t="shared" si="2"/>
        <v>0</v>
      </c>
      <c r="O15" s="292">
        <f t="shared" si="3"/>
        <v>0</v>
      </c>
      <c r="P15" s="292">
        <f t="shared" si="3"/>
        <v>0</v>
      </c>
      <c r="Q15" s="292">
        <f>+SUMIF($D$54:$D$85,$D15,Q$54:Q$85)</f>
        <v>0</v>
      </c>
      <c r="R15" s="292">
        <f t="shared" si="3"/>
        <v>0</v>
      </c>
      <c r="S15" s="292">
        <f t="shared" si="3"/>
        <v>0</v>
      </c>
      <c r="T15" s="292">
        <f t="shared" si="3"/>
        <v>0</v>
      </c>
      <c r="U15" s="292">
        <f t="shared" si="3"/>
        <v>0</v>
      </c>
      <c r="V15" s="292">
        <f t="shared" si="3"/>
        <v>0</v>
      </c>
      <c r="W15" s="292">
        <f t="shared" si="3"/>
        <v>0</v>
      </c>
      <c r="X15" s="292">
        <f t="shared" si="3"/>
        <v>0</v>
      </c>
      <c r="Y15" s="292">
        <f t="shared" si="4"/>
        <v>0</v>
      </c>
      <c r="Z15" s="292">
        <f t="shared" si="4"/>
        <v>0</v>
      </c>
      <c r="AA15" s="292">
        <f t="shared" si="4"/>
        <v>0</v>
      </c>
      <c r="AB15" s="292">
        <f t="shared" si="4"/>
        <v>0</v>
      </c>
      <c r="AC15" s="292">
        <f t="shared" si="4"/>
        <v>0</v>
      </c>
      <c r="AD15" s="292">
        <f t="shared" si="4"/>
        <v>0</v>
      </c>
      <c r="AE15" s="292">
        <f t="shared" si="4"/>
        <v>0</v>
      </c>
    </row>
    <row r="16" spans="1:33" ht="14.1" customHeight="1">
      <c r="B16" s="357" t="str">
        <f>IF(Indice_index!$Z$1=1,"Transferências correntes","Current transfers")</f>
        <v>Transferências correntes</v>
      </c>
      <c r="C16" s="357"/>
      <c r="D16" s="299" t="s">
        <v>20</v>
      </c>
      <c r="E16" s="292">
        <f t="shared" ref="E16:AE16" si="5">+E17+E18</f>
        <v>0</v>
      </c>
      <c r="F16" s="292">
        <f t="shared" si="5"/>
        <v>0</v>
      </c>
      <c r="G16" s="292">
        <f t="shared" si="5"/>
        <v>0</v>
      </c>
      <c r="H16" s="292">
        <f t="shared" si="5"/>
        <v>0</v>
      </c>
      <c r="I16" s="292">
        <f t="shared" si="5"/>
        <v>0</v>
      </c>
      <c r="J16" s="292">
        <f t="shared" si="5"/>
        <v>0</v>
      </c>
      <c r="K16" s="292">
        <f t="shared" si="5"/>
        <v>0</v>
      </c>
      <c r="L16" s="292">
        <f t="shared" si="5"/>
        <v>0</v>
      </c>
      <c r="M16" s="292">
        <f t="shared" si="5"/>
        <v>0</v>
      </c>
      <c r="N16" s="292">
        <f t="shared" si="5"/>
        <v>0</v>
      </c>
      <c r="O16" s="292">
        <f t="shared" si="5"/>
        <v>0</v>
      </c>
      <c r="P16" s="292">
        <f t="shared" si="5"/>
        <v>0</v>
      </c>
      <c r="Q16" s="292">
        <f t="shared" si="5"/>
        <v>0</v>
      </c>
      <c r="R16" s="292">
        <f t="shared" si="5"/>
        <v>0</v>
      </c>
      <c r="S16" s="292">
        <f t="shared" si="5"/>
        <v>0</v>
      </c>
      <c r="T16" s="292">
        <f t="shared" si="5"/>
        <v>0</v>
      </c>
      <c r="U16" s="292">
        <f t="shared" si="5"/>
        <v>0</v>
      </c>
      <c r="V16" s="292">
        <f t="shared" si="5"/>
        <v>0</v>
      </c>
      <c r="W16" s="292">
        <f t="shared" si="5"/>
        <v>0</v>
      </c>
      <c r="X16" s="292">
        <f t="shared" si="5"/>
        <v>0</v>
      </c>
      <c r="Y16" s="292">
        <f t="shared" si="5"/>
        <v>0</v>
      </c>
      <c r="Z16" s="292">
        <f t="shared" si="5"/>
        <v>0</v>
      </c>
      <c r="AA16" s="292">
        <f t="shared" si="5"/>
        <v>0</v>
      </c>
      <c r="AB16" s="292">
        <f t="shared" si="5"/>
        <v>0</v>
      </c>
      <c r="AC16" s="292">
        <f t="shared" si="5"/>
        <v>0</v>
      </c>
      <c r="AD16" s="292">
        <f t="shared" si="5"/>
        <v>0</v>
      </c>
      <c r="AE16" s="292">
        <f t="shared" si="5"/>
        <v>0</v>
      </c>
    </row>
    <row r="17" spans="2:31" ht="14.1" customHeight="1">
      <c r="B17" s="359" t="str">
        <f>IF(Indice_index!$Z$1=1,"Administrações Públicas","General Government subsectors")</f>
        <v>Administrações Públicas</v>
      </c>
      <c r="C17" s="359"/>
      <c r="D17" s="299" t="s">
        <v>21</v>
      </c>
      <c r="E17" s="292">
        <f t="shared" ref="E17:N19" si="6">+SUMIF($D$54:$D$85,$D17,E$54:E$85)</f>
        <v>0</v>
      </c>
      <c r="F17" s="292">
        <f t="shared" si="6"/>
        <v>0</v>
      </c>
      <c r="G17" s="292">
        <f t="shared" si="6"/>
        <v>0</v>
      </c>
      <c r="H17" s="292">
        <f t="shared" si="6"/>
        <v>0</v>
      </c>
      <c r="I17" s="292">
        <f t="shared" si="6"/>
        <v>0</v>
      </c>
      <c r="J17" s="292">
        <f t="shared" si="6"/>
        <v>0</v>
      </c>
      <c r="K17" s="292">
        <f t="shared" si="6"/>
        <v>0</v>
      </c>
      <c r="L17" s="292">
        <f t="shared" si="6"/>
        <v>0</v>
      </c>
      <c r="M17" s="292">
        <f t="shared" si="6"/>
        <v>0</v>
      </c>
      <c r="N17" s="292">
        <f t="shared" si="6"/>
        <v>0</v>
      </c>
      <c r="O17" s="292">
        <f t="shared" ref="O17:X19" si="7">+SUMIF($D$54:$D$85,$D17,O$54:O$85)</f>
        <v>0</v>
      </c>
      <c r="P17" s="292">
        <f t="shared" si="7"/>
        <v>0</v>
      </c>
      <c r="Q17" s="292">
        <f t="shared" si="7"/>
        <v>0</v>
      </c>
      <c r="R17" s="292">
        <f t="shared" si="7"/>
        <v>0</v>
      </c>
      <c r="S17" s="292">
        <f t="shared" si="7"/>
        <v>0</v>
      </c>
      <c r="T17" s="292">
        <f t="shared" si="7"/>
        <v>0</v>
      </c>
      <c r="U17" s="292">
        <f t="shared" si="7"/>
        <v>0</v>
      </c>
      <c r="V17" s="292">
        <f t="shared" si="7"/>
        <v>0</v>
      </c>
      <c r="W17" s="292">
        <f t="shared" si="7"/>
        <v>0</v>
      </c>
      <c r="X17" s="292">
        <f t="shared" si="7"/>
        <v>0</v>
      </c>
      <c r="Y17" s="292">
        <f t="shared" ref="Y17:AE19" si="8">+SUMIF($D$54:$D$85,$D17,Y$54:Y$85)</f>
        <v>0</v>
      </c>
      <c r="Z17" s="292">
        <f t="shared" si="8"/>
        <v>0</v>
      </c>
      <c r="AA17" s="292">
        <f t="shared" si="8"/>
        <v>0</v>
      </c>
      <c r="AB17" s="292">
        <f t="shared" si="8"/>
        <v>0</v>
      </c>
      <c r="AC17" s="292">
        <f t="shared" si="8"/>
        <v>0</v>
      </c>
      <c r="AD17" s="292">
        <f t="shared" si="8"/>
        <v>0</v>
      </c>
      <c r="AE17" s="292">
        <f t="shared" si="8"/>
        <v>0</v>
      </c>
    </row>
    <row r="18" spans="2:31" ht="14.1" customHeight="1">
      <c r="B18" s="359" t="str">
        <f>IF(Indice_index!$Z$1=1,"Outras","Others")</f>
        <v>Outras</v>
      </c>
      <c r="C18" s="359"/>
      <c r="D18" s="299" t="s">
        <v>22</v>
      </c>
      <c r="E18" s="292">
        <f t="shared" si="6"/>
        <v>0</v>
      </c>
      <c r="F18" s="292">
        <f t="shared" si="6"/>
        <v>0</v>
      </c>
      <c r="G18" s="292">
        <f t="shared" si="6"/>
        <v>0</v>
      </c>
      <c r="H18" s="292">
        <f t="shared" si="6"/>
        <v>0</v>
      </c>
      <c r="I18" s="292">
        <f t="shared" si="6"/>
        <v>0</v>
      </c>
      <c r="J18" s="292">
        <f t="shared" si="6"/>
        <v>0</v>
      </c>
      <c r="K18" s="292">
        <f t="shared" si="6"/>
        <v>0</v>
      </c>
      <c r="L18" s="292">
        <f t="shared" si="6"/>
        <v>0</v>
      </c>
      <c r="M18" s="292">
        <f t="shared" si="6"/>
        <v>0</v>
      </c>
      <c r="N18" s="292">
        <f t="shared" si="6"/>
        <v>0</v>
      </c>
      <c r="O18" s="292">
        <f t="shared" si="7"/>
        <v>0</v>
      </c>
      <c r="P18" s="292">
        <f t="shared" si="7"/>
        <v>0</v>
      </c>
      <c r="Q18" s="292">
        <f t="shared" si="7"/>
        <v>0</v>
      </c>
      <c r="R18" s="292">
        <f t="shared" si="7"/>
        <v>0</v>
      </c>
      <c r="S18" s="292">
        <f t="shared" si="7"/>
        <v>0</v>
      </c>
      <c r="T18" s="292">
        <f t="shared" si="7"/>
        <v>0</v>
      </c>
      <c r="U18" s="292">
        <f t="shared" si="7"/>
        <v>0</v>
      </c>
      <c r="V18" s="292">
        <f t="shared" si="7"/>
        <v>0</v>
      </c>
      <c r="W18" s="292">
        <f t="shared" si="7"/>
        <v>0</v>
      </c>
      <c r="X18" s="292">
        <f t="shared" si="7"/>
        <v>0</v>
      </c>
      <c r="Y18" s="292">
        <f t="shared" si="8"/>
        <v>0</v>
      </c>
      <c r="Z18" s="292">
        <f t="shared" si="8"/>
        <v>0</v>
      </c>
      <c r="AA18" s="292">
        <f t="shared" si="8"/>
        <v>0</v>
      </c>
      <c r="AB18" s="292">
        <f t="shared" si="8"/>
        <v>0</v>
      </c>
      <c r="AC18" s="292">
        <f t="shared" si="8"/>
        <v>0</v>
      </c>
      <c r="AD18" s="292">
        <f t="shared" si="8"/>
        <v>0</v>
      </c>
      <c r="AE18" s="292">
        <f t="shared" si="8"/>
        <v>0</v>
      </c>
    </row>
    <row r="19" spans="2:31" ht="14.1" customHeight="1">
      <c r="B19" s="357" t="str">
        <f>IF(Indice_index!$Z$1=1,"Outras receitas correntes","Other current revenue")</f>
        <v>Outras receitas correntes</v>
      </c>
      <c r="C19" s="357"/>
      <c r="D19" s="299" t="s">
        <v>23</v>
      </c>
      <c r="E19" s="292">
        <f t="shared" si="6"/>
        <v>49.004178000000003</v>
      </c>
      <c r="F19" s="292">
        <f t="shared" si="6"/>
        <v>0</v>
      </c>
      <c r="G19" s="292">
        <f t="shared" si="6"/>
        <v>84.298078329999996</v>
      </c>
      <c r="H19" s="292">
        <f t="shared" si="6"/>
        <v>0</v>
      </c>
      <c r="I19" s="292">
        <f t="shared" si="6"/>
        <v>0</v>
      </c>
      <c r="J19" s="292">
        <f t="shared" si="6"/>
        <v>430.21415855999999</v>
      </c>
      <c r="K19" s="292">
        <f t="shared" si="6"/>
        <v>200</v>
      </c>
      <c r="L19" s="292">
        <f t="shared" si="6"/>
        <v>245.30066613</v>
      </c>
      <c r="M19" s="292">
        <f t="shared" si="6"/>
        <v>0</v>
      </c>
      <c r="N19" s="292">
        <f t="shared" si="6"/>
        <v>0</v>
      </c>
      <c r="O19" s="292">
        <f t="shared" si="7"/>
        <v>18.17664285</v>
      </c>
      <c r="P19" s="292">
        <f t="shared" si="7"/>
        <v>189.30326170000001</v>
      </c>
      <c r="Q19" s="292">
        <f t="shared" si="7"/>
        <v>1008.81708102</v>
      </c>
      <c r="R19" s="292">
        <f t="shared" si="7"/>
        <v>1216.2969855700003</v>
      </c>
      <c r="S19" s="292">
        <f t="shared" si="7"/>
        <v>0.85614570000000001</v>
      </c>
      <c r="T19" s="292">
        <f t="shared" si="7"/>
        <v>0</v>
      </c>
      <c r="U19" s="292">
        <f t="shared" si="7"/>
        <v>96.682580119999997</v>
      </c>
      <c r="V19" s="292">
        <f t="shared" si="7"/>
        <v>44.652790590000002</v>
      </c>
      <c r="W19" s="292">
        <f t="shared" si="7"/>
        <v>671.5</v>
      </c>
      <c r="X19" s="292">
        <f t="shared" si="7"/>
        <v>10.14733176</v>
      </c>
      <c r="Y19" s="292">
        <f t="shared" si="8"/>
        <v>0</v>
      </c>
      <c r="Z19" s="292">
        <f t="shared" si="8"/>
        <v>0</v>
      </c>
      <c r="AA19" s="292">
        <f t="shared" si="8"/>
        <v>1.8275112</v>
      </c>
      <c r="AB19" s="292">
        <f t="shared" si="8"/>
        <v>0</v>
      </c>
      <c r="AC19" s="292">
        <f t="shared" si="8"/>
        <v>0</v>
      </c>
      <c r="AD19" s="292">
        <f t="shared" si="8"/>
        <v>0</v>
      </c>
      <c r="AE19" s="292">
        <f t="shared" si="8"/>
        <v>825.66635937000001</v>
      </c>
    </row>
    <row r="20" spans="2:31" ht="14.1" customHeight="1">
      <c r="B20" s="363" t="str">
        <f>IF(Indice_index!$Z$1=1,"Receita de capital","Capital revenue")</f>
        <v>Receita de capital</v>
      </c>
      <c r="C20" s="363"/>
      <c r="D20" s="300"/>
      <c r="E20" s="298">
        <f t="shared" ref="E20:AE20" si="9">+E21+E22+E25</f>
        <v>0</v>
      </c>
      <c r="F20" s="298">
        <f t="shared" si="9"/>
        <v>0</v>
      </c>
      <c r="G20" s="298">
        <f t="shared" si="9"/>
        <v>0</v>
      </c>
      <c r="H20" s="298">
        <f t="shared" si="9"/>
        <v>2.9249999999999998</v>
      </c>
      <c r="I20" s="298">
        <f t="shared" si="9"/>
        <v>0</v>
      </c>
      <c r="J20" s="298">
        <f t="shared" si="9"/>
        <v>134.62822305</v>
      </c>
      <c r="K20" s="298">
        <f t="shared" si="9"/>
        <v>0</v>
      </c>
      <c r="L20" s="298">
        <f t="shared" si="9"/>
        <v>0</v>
      </c>
      <c r="M20" s="298">
        <f t="shared" si="9"/>
        <v>0</v>
      </c>
      <c r="N20" s="298">
        <f t="shared" si="9"/>
        <v>0</v>
      </c>
      <c r="O20" s="298">
        <f t="shared" si="9"/>
        <v>0</v>
      </c>
      <c r="P20" s="298">
        <f t="shared" si="9"/>
        <v>0</v>
      </c>
      <c r="Q20" s="298">
        <f t="shared" si="9"/>
        <v>137.55322305000001</v>
      </c>
      <c r="R20" s="298">
        <f t="shared" si="9"/>
        <v>137.55322305000001</v>
      </c>
      <c r="S20" s="298">
        <f t="shared" si="9"/>
        <v>0</v>
      </c>
      <c r="T20" s="298">
        <f t="shared" si="9"/>
        <v>0</v>
      </c>
      <c r="U20" s="298">
        <f t="shared" si="9"/>
        <v>0</v>
      </c>
      <c r="V20" s="298">
        <f t="shared" si="9"/>
        <v>0</v>
      </c>
      <c r="W20" s="298">
        <f t="shared" si="9"/>
        <v>0</v>
      </c>
      <c r="X20" s="298">
        <f t="shared" si="9"/>
        <v>0</v>
      </c>
      <c r="Y20" s="298">
        <f t="shared" si="9"/>
        <v>0</v>
      </c>
      <c r="Z20" s="298">
        <f t="shared" si="9"/>
        <v>0</v>
      </c>
      <c r="AA20" s="298">
        <f t="shared" si="9"/>
        <v>0</v>
      </c>
      <c r="AB20" s="298">
        <f t="shared" si="9"/>
        <v>0</v>
      </c>
      <c r="AC20" s="298">
        <f t="shared" si="9"/>
        <v>0</v>
      </c>
      <c r="AD20" s="298">
        <f t="shared" si="9"/>
        <v>0</v>
      </c>
      <c r="AE20" s="298">
        <f t="shared" si="9"/>
        <v>0</v>
      </c>
    </row>
    <row r="21" spans="2:31" ht="14.1" customHeight="1">
      <c r="B21" s="357" t="str">
        <f>IF(Indice_index!$Z$1=1,"Venda de bens de investimento","Sale of investment good")</f>
        <v>Venda de bens de investimento</v>
      </c>
      <c r="C21" s="357"/>
      <c r="D21" s="299" t="s">
        <v>24</v>
      </c>
      <c r="E21" s="292">
        <f t="shared" ref="E21:AE21" si="10">+SUMIF($D$54:$D$85,$D21,E$54:E$85)</f>
        <v>0</v>
      </c>
      <c r="F21" s="292">
        <f t="shared" si="10"/>
        <v>0</v>
      </c>
      <c r="G21" s="292">
        <f t="shared" si="10"/>
        <v>0</v>
      </c>
      <c r="H21" s="292">
        <f t="shared" si="10"/>
        <v>2.9249999999999998</v>
      </c>
      <c r="I21" s="292">
        <f t="shared" si="10"/>
        <v>0</v>
      </c>
      <c r="J21" s="292">
        <f t="shared" si="10"/>
        <v>0</v>
      </c>
      <c r="K21" s="292">
        <f t="shared" si="10"/>
        <v>0</v>
      </c>
      <c r="L21" s="292">
        <f t="shared" si="10"/>
        <v>0</v>
      </c>
      <c r="M21" s="292">
        <f t="shared" si="10"/>
        <v>0</v>
      </c>
      <c r="N21" s="292">
        <f t="shared" si="10"/>
        <v>0</v>
      </c>
      <c r="O21" s="292">
        <f t="shared" si="10"/>
        <v>0</v>
      </c>
      <c r="P21" s="292">
        <f t="shared" si="10"/>
        <v>0</v>
      </c>
      <c r="Q21" s="292">
        <f t="shared" si="10"/>
        <v>2.9249999999999998</v>
      </c>
      <c r="R21" s="292">
        <f t="shared" si="10"/>
        <v>2.9249999999999998</v>
      </c>
      <c r="S21" s="292">
        <f t="shared" si="10"/>
        <v>0</v>
      </c>
      <c r="T21" s="292">
        <f t="shared" si="10"/>
        <v>0</v>
      </c>
      <c r="U21" s="292">
        <f t="shared" si="10"/>
        <v>0</v>
      </c>
      <c r="V21" s="292">
        <f t="shared" si="10"/>
        <v>0</v>
      </c>
      <c r="W21" s="292">
        <f t="shared" si="10"/>
        <v>0</v>
      </c>
      <c r="X21" s="292">
        <f t="shared" si="10"/>
        <v>0</v>
      </c>
      <c r="Y21" s="292">
        <f t="shared" si="10"/>
        <v>0</v>
      </c>
      <c r="Z21" s="292">
        <f t="shared" si="10"/>
        <v>0</v>
      </c>
      <c r="AA21" s="292">
        <f t="shared" si="10"/>
        <v>0</v>
      </c>
      <c r="AB21" s="292">
        <f t="shared" si="10"/>
        <v>0</v>
      </c>
      <c r="AC21" s="292">
        <f t="shared" si="10"/>
        <v>0</v>
      </c>
      <c r="AD21" s="292">
        <f t="shared" si="10"/>
        <v>0</v>
      </c>
      <c r="AE21" s="292">
        <f t="shared" si="10"/>
        <v>0</v>
      </c>
    </row>
    <row r="22" spans="2:31" ht="14.1" customHeight="1">
      <c r="B22" s="357" t="str">
        <f>IF(Indice_index!$Z$1=1,"Transferências de capital","Capital transfers")</f>
        <v>Transferências de capital</v>
      </c>
      <c r="C22" s="357"/>
      <c r="D22" s="299" t="s">
        <v>25</v>
      </c>
      <c r="E22" s="292">
        <f t="shared" ref="E22:AE22" si="11">+E23+E24</f>
        <v>0</v>
      </c>
      <c r="F22" s="292">
        <f t="shared" si="11"/>
        <v>0</v>
      </c>
      <c r="G22" s="292">
        <f t="shared" si="11"/>
        <v>0</v>
      </c>
      <c r="H22" s="292">
        <f t="shared" si="11"/>
        <v>0</v>
      </c>
      <c r="I22" s="292">
        <f t="shared" si="11"/>
        <v>0</v>
      </c>
      <c r="J22" s="292">
        <f t="shared" si="11"/>
        <v>0</v>
      </c>
      <c r="K22" s="292">
        <f t="shared" si="11"/>
        <v>0</v>
      </c>
      <c r="L22" s="292">
        <f t="shared" si="11"/>
        <v>0</v>
      </c>
      <c r="M22" s="292">
        <f t="shared" si="11"/>
        <v>0</v>
      </c>
      <c r="N22" s="292">
        <f t="shared" si="11"/>
        <v>0</v>
      </c>
      <c r="O22" s="292">
        <f t="shared" si="11"/>
        <v>0</v>
      </c>
      <c r="P22" s="292">
        <f t="shared" si="11"/>
        <v>0</v>
      </c>
      <c r="Q22" s="292">
        <f t="shared" si="11"/>
        <v>0</v>
      </c>
      <c r="R22" s="292">
        <f t="shared" si="11"/>
        <v>0</v>
      </c>
      <c r="S22" s="292">
        <f t="shared" si="11"/>
        <v>0</v>
      </c>
      <c r="T22" s="292">
        <f t="shared" si="11"/>
        <v>0</v>
      </c>
      <c r="U22" s="292">
        <f t="shared" si="11"/>
        <v>0</v>
      </c>
      <c r="V22" s="292">
        <f t="shared" si="11"/>
        <v>0</v>
      </c>
      <c r="W22" s="292">
        <f t="shared" si="11"/>
        <v>0</v>
      </c>
      <c r="X22" s="292">
        <f t="shared" si="11"/>
        <v>0</v>
      </c>
      <c r="Y22" s="292">
        <f t="shared" si="11"/>
        <v>0</v>
      </c>
      <c r="Z22" s="292">
        <f t="shared" si="11"/>
        <v>0</v>
      </c>
      <c r="AA22" s="292">
        <f t="shared" si="11"/>
        <v>0</v>
      </c>
      <c r="AB22" s="292">
        <f t="shared" si="11"/>
        <v>0</v>
      </c>
      <c r="AC22" s="292">
        <f t="shared" si="11"/>
        <v>0</v>
      </c>
      <c r="AD22" s="292">
        <f t="shared" si="11"/>
        <v>0</v>
      </c>
      <c r="AE22" s="292">
        <f t="shared" si="11"/>
        <v>0</v>
      </c>
    </row>
    <row r="23" spans="2:31" ht="14.1" customHeight="1">
      <c r="B23" s="359" t="str">
        <f>IF(Indice_index!$Z$1=1,"Administrações Públicas","General Government subsectors")</f>
        <v>Administrações Públicas</v>
      </c>
      <c r="C23" s="359"/>
      <c r="D23" s="299" t="s">
        <v>26</v>
      </c>
      <c r="E23" s="292">
        <f t="shared" ref="E23:N25" si="12">+SUMIF($D$54:$D$85,$D23,E$54:E$85)</f>
        <v>0</v>
      </c>
      <c r="F23" s="292">
        <f t="shared" si="12"/>
        <v>0</v>
      </c>
      <c r="G23" s="292">
        <f t="shared" si="12"/>
        <v>0</v>
      </c>
      <c r="H23" s="292">
        <f t="shared" si="12"/>
        <v>0</v>
      </c>
      <c r="I23" s="292">
        <f t="shared" si="12"/>
        <v>0</v>
      </c>
      <c r="J23" s="292">
        <f t="shared" si="12"/>
        <v>0</v>
      </c>
      <c r="K23" s="292">
        <f t="shared" si="12"/>
        <v>0</v>
      </c>
      <c r="L23" s="292">
        <f t="shared" si="12"/>
        <v>0</v>
      </c>
      <c r="M23" s="292">
        <f t="shared" si="12"/>
        <v>0</v>
      </c>
      <c r="N23" s="292">
        <f t="shared" si="12"/>
        <v>0</v>
      </c>
      <c r="O23" s="292">
        <f t="shared" ref="O23:X25" si="13">+SUMIF($D$54:$D$85,$D23,O$54:O$85)</f>
        <v>0</v>
      </c>
      <c r="P23" s="292">
        <f t="shared" si="13"/>
        <v>0</v>
      </c>
      <c r="Q23" s="292">
        <f t="shared" si="13"/>
        <v>0</v>
      </c>
      <c r="R23" s="292">
        <f t="shared" si="13"/>
        <v>0</v>
      </c>
      <c r="S23" s="292">
        <f t="shared" si="13"/>
        <v>0</v>
      </c>
      <c r="T23" s="292">
        <f t="shared" si="13"/>
        <v>0</v>
      </c>
      <c r="U23" s="292">
        <f t="shared" si="13"/>
        <v>0</v>
      </c>
      <c r="V23" s="292">
        <f t="shared" si="13"/>
        <v>0</v>
      </c>
      <c r="W23" s="292">
        <f t="shared" si="13"/>
        <v>0</v>
      </c>
      <c r="X23" s="292">
        <f t="shared" si="13"/>
        <v>0</v>
      </c>
      <c r="Y23" s="292">
        <f t="shared" ref="Y23:AE25" si="14">+SUMIF($D$54:$D$85,$D23,Y$54:Y$85)</f>
        <v>0</v>
      </c>
      <c r="Z23" s="292">
        <f t="shared" si="14"/>
        <v>0</v>
      </c>
      <c r="AA23" s="292">
        <f t="shared" si="14"/>
        <v>0</v>
      </c>
      <c r="AB23" s="292">
        <f t="shared" si="14"/>
        <v>0</v>
      </c>
      <c r="AC23" s="292">
        <f t="shared" si="14"/>
        <v>0</v>
      </c>
      <c r="AD23" s="292">
        <f t="shared" si="14"/>
        <v>0</v>
      </c>
      <c r="AE23" s="292">
        <f t="shared" si="14"/>
        <v>0</v>
      </c>
    </row>
    <row r="24" spans="2:31" ht="14.1" customHeight="1">
      <c r="B24" s="359" t="str">
        <f>IF(Indice_index!$Z$1=1,"Outras","Others")</f>
        <v>Outras</v>
      </c>
      <c r="C24" s="359"/>
      <c r="D24" s="299" t="s">
        <v>27</v>
      </c>
      <c r="E24" s="292">
        <f t="shared" si="12"/>
        <v>0</v>
      </c>
      <c r="F24" s="292">
        <f t="shared" si="12"/>
        <v>0</v>
      </c>
      <c r="G24" s="292">
        <f t="shared" si="12"/>
        <v>0</v>
      </c>
      <c r="H24" s="292">
        <f t="shared" si="12"/>
        <v>0</v>
      </c>
      <c r="I24" s="292">
        <f t="shared" si="12"/>
        <v>0</v>
      </c>
      <c r="J24" s="292">
        <f t="shared" si="12"/>
        <v>0</v>
      </c>
      <c r="K24" s="292">
        <f t="shared" si="12"/>
        <v>0</v>
      </c>
      <c r="L24" s="292">
        <f t="shared" si="12"/>
        <v>0</v>
      </c>
      <c r="M24" s="292">
        <f t="shared" si="12"/>
        <v>0</v>
      </c>
      <c r="N24" s="292">
        <f t="shared" si="12"/>
        <v>0</v>
      </c>
      <c r="O24" s="292">
        <f t="shared" si="13"/>
        <v>0</v>
      </c>
      <c r="P24" s="292">
        <f t="shared" si="13"/>
        <v>0</v>
      </c>
      <c r="Q24" s="292">
        <f t="shared" si="13"/>
        <v>0</v>
      </c>
      <c r="R24" s="292">
        <f t="shared" si="13"/>
        <v>0</v>
      </c>
      <c r="S24" s="292">
        <f t="shared" si="13"/>
        <v>0</v>
      </c>
      <c r="T24" s="292">
        <f t="shared" si="13"/>
        <v>0</v>
      </c>
      <c r="U24" s="292">
        <f t="shared" si="13"/>
        <v>0</v>
      </c>
      <c r="V24" s="292">
        <f t="shared" si="13"/>
        <v>0</v>
      </c>
      <c r="W24" s="292">
        <f t="shared" si="13"/>
        <v>0</v>
      </c>
      <c r="X24" s="292">
        <f t="shared" si="13"/>
        <v>0</v>
      </c>
      <c r="Y24" s="292">
        <f t="shared" si="14"/>
        <v>0</v>
      </c>
      <c r="Z24" s="292">
        <f t="shared" si="14"/>
        <v>0</v>
      </c>
      <c r="AA24" s="292">
        <f t="shared" si="14"/>
        <v>0</v>
      </c>
      <c r="AB24" s="292">
        <f t="shared" si="14"/>
        <v>0</v>
      </c>
      <c r="AC24" s="292">
        <f t="shared" si="14"/>
        <v>0</v>
      </c>
      <c r="AD24" s="292">
        <f t="shared" si="14"/>
        <v>0</v>
      </c>
      <c r="AE24" s="292">
        <f t="shared" si="14"/>
        <v>0</v>
      </c>
    </row>
    <row r="25" spans="2:31" ht="14.1" customHeight="1">
      <c r="B25" s="357" t="str">
        <f>IF(Indice_index!$Z$1=1,"Outras receitas de capital","Other capital revenue")</f>
        <v>Outras receitas de capital</v>
      </c>
      <c r="C25" s="357"/>
      <c r="D25" s="299" t="s">
        <v>28</v>
      </c>
      <c r="E25" s="292">
        <f t="shared" si="12"/>
        <v>0</v>
      </c>
      <c r="F25" s="292">
        <f t="shared" si="12"/>
        <v>0</v>
      </c>
      <c r="G25" s="292">
        <f t="shared" si="12"/>
        <v>0</v>
      </c>
      <c r="H25" s="292">
        <f t="shared" si="12"/>
        <v>0</v>
      </c>
      <c r="I25" s="292">
        <f t="shared" si="12"/>
        <v>0</v>
      </c>
      <c r="J25" s="292">
        <f t="shared" si="12"/>
        <v>134.62822305</v>
      </c>
      <c r="K25" s="292">
        <f t="shared" si="12"/>
        <v>0</v>
      </c>
      <c r="L25" s="292">
        <f t="shared" si="12"/>
        <v>0</v>
      </c>
      <c r="M25" s="292">
        <f t="shared" si="12"/>
        <v>0</v>
      </c>
      <c r="N25" s="292">
        <f t="shared" si="12"/>
        <v>0</v>
      </c>
      <c r="O25" s="292">
        <f t="shared" si="13"/>
        <v>0</v>
      </c>
      <c r="P25" s="292">
        <f t="shared" si="13"/>
        <v>0</v>
      </c>
      <c r="Q25" s="292">
        <f>+SUMIF($D$54:$D$85,$D25,Q$54:Q$85)</f>
        <v>134.62822305</v>
      </c>
      <c r="R25" s="292">
        <f t="shared" si="13"/>
        <v>134.62822305</v>
      </c>
      <c r="S25" s="292">
        <f t="shared" si="13"/>
        <v>0</v>
      </c>
      <c r="T25" s="292">
        <f t="shared" si="13"/>
        <v>0</v>
      </c>
      <c r="U25" s="292">
        <f t="shared" si="13"/>
        <v>0</v>
      </c>
      <c r="V25" s="292">
        <f t="shared" si="13"/>
        <v>0</v>
      </c>
      <c r="W25" s="292">
        <f t="shared" si="13"/>
        <v>0</v>
      </c>
      <c r="X25" s="292">
        <f t="shared" si="13"/>
        <v>0</v>
      </c>
      <c r="Y25" s="292">
        <f t="shared" si="14"/>
        <v>0</v>
      </c>
      <c r="Z25" s="292">
        <f t="shared" si="14"/>
        <v>0</v>
      </c>
      <c r="AA25" s="292">
        <f t="shared" si="14"/>
        <v>0</v>
      </c>
      <c r="AB25" s="292">
        <f t="shared" si="14"/>
        <v>0</v>
      </c>
      <c r="AC25" s="292">
        <f t="shared" si="14"/>
        <v>0</v>
      </c>
      <c r="AD25" s="292">
        <f t="shared" si="14"/>
        <v>0</v>
      </c>
      <c r="AE25" s="292">
        <f t="shared" si="14"/>
        <v>0</v>
      </c>
    </row>
    <row r="26" spans="2:31" ht="14.1" customHeight="1">
      <c r="B26" s="455" t="str">
        <f>IF(Indice_index!$Z$1=1,"Receita efetiva","Effective revenue")</f>
        <v>Receita efetiva</v>
      </c>
      <c r="C26" s="456"/>
      <c r="D26" s="107"/>
      <c r="E26" s="108">
        <f t="shared" ref="E26:AE26" si="15">+E12+E20</f>
        <v>141.34810534000002</v>
      </c>
      <c r="F26" s="108">
        <f t="shared" si="15"/>
        <v>91.081173880000009</v>
      </c>
      <c r="G26" s="108">
        <f t="shared" si="15"/>
        <v>170.15859605999998</v>
      </c>
      <c r="H26" s="108">
        <f t="shared" si="15"/>
        <v>102.31128304000001</v>
      </c>
      <c r="I26" s="108">
        <f t="shared" si="15"/>
        <v>61.245916710000003</v>
      </c>
      <c r="J26" s="108">
        <f t="shared" si="15"/>
        <v>753.27225952999993</v>
      </c>
      <c r="K26" s="108">
        <f t="shared" si="15"/>
        <v>210.00492012999999</v>
      </c>
      <c r="L26" s="108">
        <f t="shared" si="15"/>
        <v>244.70980401</v>
      </c>
      <c r="M26" s="108">
        <f t="shared" si="15"/>
        <v>0.12863873000000001</v>
      </c>
      <c r="N26" s="108">
        <f t="shared" si="15"/>
        <v>646.09167851000007</v>
      </c>
      <c r="O26" s="108">
        <f t="shared" si="15"/>
        <v>18.229936410000001</v>
      </c>
      <c r="P26" s="108">
        <f>+P12+P20</f>
        <v>191.40786911000001</v>
      </c>
      <c r="Q26" s="108">
        <f t="shared" si="15"/>
        <v>1774.2606974299999</v>
      </c>
      <c r="R26" s="108">
        <f t="shared" si="15"/>
        <v>2629.9901814600003</v>
      </c>
      <c r="S26" s="108">
        <f t="shared" si="15"/>
        <v>146.22496056</v>
      </c>
      <c r="T26" s="108">
        <f t="shared" si="15"/>
        <v>116.73249326999999</v>
      </c>
      <c r="U26" s="108">
        <f t="shared" si="15"/>
        <v>189.85259667999998</v>
      </c>
      <c r="V26" s="108">
        <f t="shared" si="15"/>
        <v>123.75514601999998</v>
      </c>
      <c r="W26" s="108">
        <f t="shared" si="15"/>
        <v>673.30172317999995</v>
      </c>
      <c r="X26" s="108">
        <f t="shared" si="15"/>
        <v>202.47484295000004</v>
      </c>
      <c r="Y26" s="108">
        <f t="shared" si="15"/>
        <v>13.911911750000002</v>
      </c>
      <c r="Z26" s="108">
        <f t="shared" si="15"/>
        <v>0.74460828999999995</v>
      </c>
      <c r="AA26" s="108">
        <f t="shared" si="15"/>
        <v>2.6158455799999998</v>
      </c>
      <c r="AB26" s="108">
        <f t="shared" si="15"/>
        <v>0</v>
      </c>
      <c r="AC26" s="108">
        <f t="shared" si="15"/>
        <v>0</v>
      </c>
      <c r="AD26" s="108">
        <f t="shared" si="15"/>
        <v>0</v>
      </c>
      <c r="AE26" s="108">
        <f t="shared" si="15"/>
        <v>1469.6141282799999</v>
      </c>
    </row>
    <row r="27" spans="2:31" ht="14.1" customHeight="1">
      <c r="B27" s="363" t="str">
        <f>IF(Indice_index!$Z$1=1,"Despesa corrente","Current expenditure")</f>
        <v>Despesa corrente</v>
      </c>
      <c r="C27" s="363"/>
      <c r="D27" s="300"/>
      <c r="E27" s="298">
        <f t="shared" ref="E27:R27" si="16">+E28+E29+E30+E31+E34+E35</f>
        <v>191.79408907000001</v>
      </c>
      <c r="F27" s="298">
        <f t="shared" si="16"/>
        <v>9.3333879999999994</v>
      </c>
      <c r="G27" s="298">
        <f t="shared" si="16"/>
        <v>281.84011700000002</v>
      </c>
      <c r="H27" s="298">
        <f t="shared" si="16"/>
        <v>9.3333879999999994</v>
      </c>
      <c r="I27" s="298">
        <f t="shared" si="16"/>
        <v>9.3333879999999994</v>
      </c>
      <c r="J27" s="298">
        <f t="shared" si="16"/>
        <v>9.3333879999999994</v>
      </c>
      <c r="K27" s="298">
        <f t="shared" si="16"/>
        <v>-35.541612000000001</v>
      </c>
      <c r="L27" s="298">
        <f t="shared" si="16"/>
        <v>9.3333879999999994</v>
      </c>
      <c r="M27" s="298">
        <f t="shared" si="16"/>
        <v>9.3333879999999994</v>
      </c>
      <c r="N27" s="298">
        <f t="shared" si="16"/>
        <v>9.3333879999999994</v>
      </c>
      <c r="O27" s="298">
        <f t="shared" si="16"/>
        <v>9.3333880000000136</v>
      </c>
      <c r="P27" s="298">
        <f t="shared" si="16"/>
        <v>1501.3974672600002</v>
      </c>
      <c r="Q27" s="298">
        <f t="shared" si="16"/>
        <v>494.09292206999999</v>
      </c>
      <c r="R27" s="298">
        <f t="shared" si="16"/>
        <v>2014.1571653300002</v>
      </c>
      <c r="S27" s="298">
        <f t="shared" ref="S27:AD27" si="17">+S28+S29+S30+S31+S34+S35</f>
        <v>12.362410000000001</v>
      </c>
      <c r="T27" s="298">
        <f t="shared" si="17"/>
        <v>12.362410000000001</v>
      </c>
      <c r="U27" s="298">
        <f t="shared" si="17"/>
        <v>12.362410000000001</v>
      </c>
      <c r="V27" s="298">
        <f t="shared" si="17"/>
        <v>12.362410000000001</v>
      </c>
      <c r="W27" s="298">
        <f t="shared" si="17"/>
        <v>12.362410000000001</v>
      </c>
      <c r="X27" s="298">
        <f t="shared" si="17"/>
        <v>12.362410000000001</v>
      </c>
      <c r="Y27" s="298">
        <f t="shared" si="17"/>
        <v>179.07550925000001</v>
      </c>
      <c r="Z27" s="298">
        <f t="shared" si="17"/>
        <v>198.14387526000002</v>
      </c>
      <c r="AA27" s="298">
        <f t="shared" si="17"/>
        <v>31.385092050000001</v>
      </c>
      <c r="AB27" s="298">
        <f t="shared" si="17"/>
        <v>0</v>
      </c>
      <c r="AC27" s="298">
        <f t="shared" si="17"/>
        <v>0</v>
      </c>
      <c r="AD27" s="298">
        <f t="shared" si="17"/>
        <v>0</v>
      </c>
      <c r="AE27" s="298">
        <f>SUM(S27:AD27)</f>
        <v>482.77893656000003</v>
      </c>
    </row>
    <row r="28" spans="2:31" ht="14.1" customHeight="1">
      <c r="B28" s="357" t="str">
        <f>IF(Indice_index!$Z$1=1,"Despesas com o pessoal","Employees")</f>
        <v>Despesas com o pessoal</v>
      </c>
      <c r="C28" s="357"/>
      <c r="D28" s="299" t="s">
        <v>29</v>
      </c>
      <c r="E28" s="292">
        <f t="shared" ref="E28:N30" si="18">+SUMIF($D$54:$D$85,$D28,E$54:E$85)</f>
        <v>17.26070107</v>
      </c>
      <c r="F28" s="292">
        <f t="shared" si="18"/>
        <v>0</v>
      </c>
      <c r="G28" s="292">
        <f t="shared" si="18"/>
        <v>0</v>
      </c>
      <c r="H28" s="292">
        <f t="shared" si="18"/>
        <v>0</v>
      </c>
      <c r="I28" s="292">
        <f t="shared" si="18"/>
        <v>0</v>
      </c>
      <c r="J28" s="292">
        <f t="shared" si="18"/>
        <v>0</v>
      </c>
      <c r="K28" s="292">
        <f t="shared" si="18"/>
        <v>0</v>
      </c>
      <c r="L28" s="292">
        <f t="shared" si="18"/>
        <v>0</v>
      </c>
      <c r="M28" s="292">
        <f t="shared" si="18"/>
        <v>0</v>
      </c>
      <c r="N28" s="292">
        <f t="shared" si="18"/>
        <v>0</v>
      </c>
      <c r="O28" s="292">
        <f t="shared" ref="O28:X30" si="19">+SUMIF($D$54:$D$85,$D28,O$54:O$85)</f>
        <v>0</v>
      </c>
      <c r="P28" s="292">
        <f t="shared" si="19"/>
        <v>0</v>
      </c>
      <c r="Q28" s="292">
        <f t="shared" si="19"/>
        <v>17.26070107</v>
      </c>
      <c r="R28" s="292">
        <f t="shared" si="19"/>
        <v>17.26070107</v>
      </c>
      <c r="S28" s="292">
        <f t="shared" si="19"/>
        <v>0</v>
      </c>
      <c r="T28" s="292">
        <f t="shared" si="19"/>
        <v>0</v>
      </c>
      <c r="U28" s="292">
        <f t="shared" si="19"/>
        <v>0</v>
      </c>
      <c r="V28" s="292">
        <f t="shared" si="19"/>
        <v>0</v>
      </c>
      <c r="W28" s="292">
        <f t="shared" si="19"/>
        <v>0</v>
      </c>
      <c r="X28" s="292">
        <f t="shared" si="19"/>
        <v>0</v>
      </c>
      <c r="Y28" s="292">
        <f t="shared" ref="Y28:AE30" si="20">+SUMIF($D$54:$D$85,$D28,Y$54:Y$85)</f>
        <v>0</v>
      </c>
      <c r="Z28" s="292">
        <f t="shared" si="20"/>
        <v>0</v>
      </c>
      <c r="AA28" s="292">
        <f t="shared" si="20"/>
        <v>0</v>
      </c>
      <c r="AB28" s="292">
        <f t="shared" si="20"/>
        <v>0</v>
      </c>
      <c r="AC28" s="292">
        <f t="shared" si="20"/>
        <v>0</v>
      </c>
      <c r="AD28" s="292">
        <f t="shared" si="20"/>
        <v>0</v>
      </c>
      <c r="AE28" s="292">
        <f t="shared" si="20"/>
        <v>0</v>
      </c>
    </row>
    <row r="29" spans="2:31" ht="14.1" customHeight="1">
      <c r="B29" s="357" t="str">
        <f>IF(Indice_index!$Z$1=1,"Aquisição de bens e serviços","Purchase of goods and services")</f>
        <v>Aquisição de bens e serviços</v>
      </c>
      <c r="C29" s="357"/>
      <c r="D29" s="299" t="s">
        <v>30</v>
      </c>
      <c r="E29" s="292">
        <f t="shared" si="18"/>
        <v>0</v>
      </c>
      <c r="F29" s="292">
        <f t="shared" si="18"/>
        <v>0</v>
      </c>
      <c r="G29" s="292">
        <f t="shared" si="18"/>
        <v>0</v>
      </c>
      <c r="H29" s="292">
        <f t="shared" si="18"/>
        <v>0</v>
      </c>
      <c r="I29" s="292">
        <f t="shared" si="18"/>
        <v>0</v>
      </c>
      <c r="J29" s="292">
        <f t="shared" si="18"/>
        <v>0</v>
      </c>
      <c r="K29" s="292">
        <f t="shared" si="18"/>
        <v>0</v>
      </c>
      <c r="L29" s="292">
        <f t="shared" si="18"/>
        <v>0</v>
      </c>
      <c r="M29" s="292">
        <f t="shared" si="18"/>
        <v>0</v>
      </c>
      <c r="N29" s="292">
        <f t="shared" si="18"/>
        <v>0</v>
      </c>
      <c r="O29" s="292">
        <f t="shared" si="19"/>
        <v>0</v>
      </c>
      <c r="P29" s="292">
        <f t="shared" si="19"/>
        <v>1123.7381566100003</v>
      </c>
      <c r="Q29" s="292">
        <f t="shared" si="19"/>
        <v>0</v>
      </c>
      <c r="R29" s="292">
        <f t="shared" si="19"/>
        <v>1123.7381566100003</v>
      </c>
      <c r="S29" s="292">
        <f t="shared" si="19"/>
        <v>0</v>
      </c>
      <c r="T29" s="292">
        <f t="shared" si="19"/>
        <v>0</v>
      </c>
      <c r="U29" s="292">
        <f t="shared" si="19"/>
        <v>0</v>
      </c>
      <c r="V29" s="292">
        <f t="shared" si="19"/>
        <v>0</v>
      </c>
      <c r="W29" s="292">
        <f t="shared" si="19"/>
        <v>0</v>
      </c>
      <c r="X29" s="292">
        <f t="shared" si="19"/>
        <v>0</v>
      </c>
      <c r="Y29" s="292">
        <f t="shared" si="20"/>
        <v>166.71309925</v>
      </c>
      <c r="Z29" s="292">
        <f t="shared" si="20"/>
        <v>13.40747135</v>
      </c>
      <c r="AA29" s="292">
        <f t="shared" si="20"/>
        <v>19.02268205</v>
      </c>
      <c r="AB29" s="292">
        <f t="shared" si="20"/>
        <v>0</v>
      </c>
      <c r="AC29" s="292">
        <f t="shared" si="20"/>
        <v>0</v>
      </c>
      <c r="AD29" s="292">
        <f t="shared" si="20"/>
        <v>0</v>
      </c>
      <c r="AE29" s="292">
        <f t="shared" si="20"/>
        <v>199.14325265000002</v>
      </c>
    </row>
    <row r="30" spans="2:31" ht="14.1" customHeight="1">
      <c r="B30" s="357" t="str">
        <f>IF(Indice_index!$Z$1=1,"Juros e outros encargos","Interests and other charges")</f>
        <v>Juros e outros encargos</v>
      </c>
      <c r="C30" s="357"/>
      <c r="D30" s="299" t="s">
        <v>31</v>
      </c>
      <c r="E30" s="292">
        <f t="shared" si="18"/>
        <v>0</v>
      </c>
      <c r="F30" s="292">
        <f t="shared" si="18"/>
        <v>0</v>
      </c>
      <c r="G30" s="292">
        <f t="shared" si="18"/>
        <v>0</v>
      </c>
      <c r="H30" s="292">
        <f t="shared" si="18"/>
        <v>0</v>
      </c>
      <c r="I30" s="292">
        <f t="shared" si="18"/>
        <v>0</v>
      </c>
      <c r="J30" s="292">
        <f t="shared" si="18"/>
        <v>0</v>
      </c>
      <c r="K30" s="292">
        <f t="shared" si="18"/>
        <v>0</v>
      </c>
      <c r="L30" s="292">
        <f t="shared" si="18"/>
        <v>0</v>
      </c>
      <c r="M30" s="292">
        <f t="shared" si="18"/>
        <v>0</v>
      </c>
      <c r="N30" s="292">
        <f t="shared" si="18"/>
        <v>0</v>
      </c>
      <c r="O30" s="292">
        <f t="shared" si="19"/>
        <v>0</v>
      </c>
      <c r="P30" s="292">
        <f t="shared" si="19"/>
        <v>0</v>
      </c>
      <c r="Q30" s="292">
        <f t="shared" si="19"/>
        <v>0</v>
      </c>
      <c r="R30" s="292">
        <f t="shared" si="19"/>
        <v>0</v>
      </c>
      <c r="S30" s="292">
        <f t="shared" si="19"/>
        <v>0</v>
      </c>
      <c r="T30" s="292">
        <f t="shared" si="19"/>
        <v>0</v>
      </c>
      <c r="U30" s="292">
        <f t="shared" si="19"/>
        <v>0</v>
      </c>
      <c r="V30" s="292">
        <f t="shared" si="19"/>
        <v>0</v>
      </c>
      <c r="W30" s="292">
        <f t="shared" si="19"/>
        <v>0</v>
      </c>
      <c r="X30" s="292">
        <f t="shared" si="19"/>
        <v>0</v>
      </c>
      <c r="Y30" s="292">
        <f t="shared" si="20"/>
        <v>0</v>
      </c>
      <c r="Z30" s="292">
        <f t="shared" si="20"/>
        <v>0</v>
      </c>
      <c r="AA30" s="292">
        <f t="shared" si="20"/>
        <v>0</v>
      </c>
      <c r="AB30" s="292">
        <f t="shared" si="20"/>
        <v>0</v>
      </c>
      <c r="AC30" s="292">
        <f t="shared" si="20"/>
        <v>0</v>
      </c>
      <c r="AD30" s="292">
        <f t="shared" si="20"/>
        <v>0</v>
      </c>
      <c r="AE30" s="292">
        <f t="shared" si="20"/>
        <v>0</v>
      </c>
    </row>
    <row r="31" spans="2:31" ht="14.1" customHeight="1">
      <c r="B31" s="357" t="str">
        <f>IF(Indice_index!$Z$1=1,"Transferências correntes","Current transfers")</f>
        <v>Transferências correntes</v>
      </c>
      <c r="C31" s="357"/>
      <c r="D31" s="299" t="s">
        <v>32</v>
      </c>
      <c r="E31" s="292">
        <f t="shared" ref="E31:AE31" si="21">+E32+E33</f>
        <v>174.533388</v>
      </c>
      <c r="F31" s="292">
        <f t="shared" si="21"/>
        <v>9.3333879999999994</v>
      </c>
      <c r="G31" s="292">
        <f t="shared" si="21"/>
        <v>236.96511700000002</v>
      </c>
      <c r="H31" s="292">
        <f t="shared" si="21"/>
        <v>9.3333879999999994</v>
      </c>
      <c r="I31" s="292">
        <f t="shared" si="21"/>
        <v>9.3333879999999994</v>
      </c>
      <c r="J31" s="292">
        <f t="shared" si="21"/>
        <v>9.3333879999999994</v>
      </c>
      <c r="K31" s="292">
        <f t="shared" si="21"/>
        <v>9.3333879999999994</v>
      </c>
      <c r="L31" s="292">
        <f t="shared" si="21"/>
        <v>9.3333879999999994</v>
      </c>
      <c r="M31" s="292">
        <f t="shared" si="21"/>
        <v>9.3333879999999994</v>
      </c>
      <c r="N31" s="292">
        <f t="shared" si="21"/>
        <v>9.3333879999999994</v>
      </c>
      <c r="O31" s="292">
        <f t="shared" si="21"/>
        <v>9.3333880000000136</v>
      </c>
      <c r="P31" s="292">
        <f t="shared" si="21"/>
        <v>377.65931064999995</v>
      </c>
      <c r="Q31" s="292">
        <f t="shared" si="21"/>
        <v>476.832221</v>
      </c>
      <c r="R31" s="292">
        <f t="shared" si="21"/>
        <v>873.15830764999998</v>
      </c>
      <c r="S31" s="292">
        <f t="shared" si="21"/>
        <v>12.362410000000001</v>
      </c>
      <c r="T31" s="292">
        <f t="shared" si="21"/>
        <v>12.362410000000001</v>
      </c>
      <c r="U31" s="292">
        <f t="shared" si="21"/>
        <v>12.362410000000001</v>
      </c>
      <c r="V31" s="292">
        <f t="shared" si="21"/>
        <v>12.362410000000001</v>
      </c>
      <c r="W31" s="292">
        <f t="shared" si="21"/>
        <v>12.362410000000001</v>
      </c>
      <c r="X31" s="292">
        <f t="shared" si="21"/>
        <v>12.362410000000001</v>
      </c>
      <c r="Y31" s="292">
        <f t="shared" si="21"/>
        <v>12.362410000000001</v>
      </c>
      <c r="Z31" s="292">
        <f t="shared" si="21"/>
        <v>184.73640391000001</v>
      </c>
      <c r="AA31" s="292">
        <f t="shared" si="21"/>
        <v>12.362410000000001</v>
      </c>
      <c r="AB31" s="292">
        <f t="shared" si="21"/>
        <v>0</v>
      </c>
      <c r="AC31" s="292">
        <f t="shared" si="21"/>
        <v>0</v>
      </c>
      <c r="AD31" s="292">
        <f t="shared" si="21"/>
        <v>0</v>
      </c>
      <c r="AE31" s="292">
        <f t="shared" si="21"/>
        <v>283.63568391000001</v>
      </c>
    </row>
    <row r="32" spans="2:31" ht="14.1" customHeight="1">
      <c r="B32" s="301" t="str">
        <f>IF(Indice_index!$Z$1=1,"Administrações Públicas","General Government subsectors")</f>
        <v>Administrações Públicas</v>
      </c>
      <c r="C32" s="31"/>
      <c r="D32" s="299" t="s">
        <v>33</v>
      </c>
      <c r="E32" s="292">
        <f t="shared" ref="E32:N35" si="22">+SUMIF($D$54:$D$85,$D32,E$54:E$85)</f>
        <v>9.3333879999999994</v>
      </c>
      <c r="F32" s="292">
        <f t="shared" si="22"/>
        <v>9.3333879999999994</v>
      </c>
      <c r="G32" s="292">
        <f t="shared" si="22"/>
        <v>9.3333879999999994</v>
      </c>
      <c r="H32" s="292">
        <f t="shared" si="22"/>
        <v>9.3333879999999994</v>
      </c>
      <c r="I32" s="292">
        <f t="shared" si="22"/>
        <v>9.3333879999999994</v>
      </c>
      <c r="J32" s="292">
        <f t="shared" si="22"/>
        <v>9.3333879999999994</v>
      </c>
      <c r="K32" s="292">
        <f t="shared" si="22"/>
        <v>9.3333879999999994</v>
      </c>
      <c r="L32" s="292">
        <f t="shared" si="22"/>
        <v>9.3333879999999994</v>
      </c>
      <c r="M32" s="292">
        <f t="shared" si="22"/>
        <v>9.3333879999999994</v>
      </c>
      <c r="N32" s="292">
        <f t="shared" si="22"/>
        <v>9.3333879999999994</v>
      </c>
      <c r="O32" s="292">
        <f t="shared" ref="O32:X35" si="23">+SUMIF($D$54:$D$85,$D32,O$54:O$85)</f>
        <v>9.3333880000000136</v>
      </c>
      <c r="P32" s="292">
        <f t="shared" si="23"/>
        <v>9.3509169999999955</v>
      </c>
      <c r="Q32" s="292">
        <f t="shared" si="23"/>
        <v>84.000491999999994</v>
      </c>
      <c r="R32" s="292">
        <f t="shared" si="23"/>
        <v>112.018185</v>
      </c>
      <c r="S32" s="292">
        <f t="shared" si="23"/>
        <v>12.362410000000001</v>
      </c>
      <c r="T32" s="292">
        <f t="shared" si="23"/>
        <v>12.362410000000001</v>
      </c>
      <c r="U32" s="292">
        <f t="shared" si="23"/>
        <v>12.362410000000001</v>
      </c>
      <c r="V32" s="292">
        <f t="shared" si="23"/>
        <v>12.362410000000001</v>
      </c>
      <c r="W32" s="292">
        <f t="shared" si="23"/>
        <v>12.362410000000001</v>
      </c>
      <c r="X32" s="292">
        <f t="shared" si="23"/>
        <v>12.362410000000001</v>
      </c>
      <c r="Y32" s="292">
        <f t="shared" ref="Y32:AE35" si="24">+SUMIF($D$54:$D$85,$D32,Y$54:Y$85)</f>
        <v>12.362410000000001</v>
      </c>
      <c r="Z32" s="292">
        <f t="shared" si="24"/>
        <v>12.362410000000001</v>
      </c>
      <c r="AA32" s="292">
        <f t="shared" si="24"/>
        <v>12.362410000000001</v>
      </c>
      <c r="AB32" s="292">
        <f t="shared" si="24"/>
        <v>0</v>
      </c>
      <c r="AC32" s="292">
        <f t="shared" si="24"/>
        <v>0</v>
      </c>
      <c r="AD32" s="292">
        <f t="shared" si="24"/>
        <v>0</v>
      </c>
      <c r="AE32" s="292">
        <f t="shared" si="24"/>
        <v>111.26168999999999</v>
      </c>
    </row>
    <row r="33" spans="2:31" ht="14.1" customHeight="1">
      <c r="B33" s="359" t="str">
        <f>IF(Indice_index!$Z$1=1,"Outras","Others")</f>
        <v>Outras</v>
      </c>
      <c r="C33" s="359"/>
      <c r="D33" s="299" t="s">
        <v>34</v>
      </c>
      <c r="E33" s="292">
        <f t="shared" si="22"/>
        <v>165.2</v>
      </c>
      <c r="F33" s="292">
        <f t="shared" si="22"/>
        <v>0</v>
      </c>
      <c r="G33" s="292">
        <f t="shared" si="22"/>
        <v>227.63172900000001</v>
      </c>
      <c r="H33" s="292">
        <f t="shared" si="22"/>
        <v>0</v>
      </c>
      <c r="I33" s="292">
        <f t="shared" si="22"/>
        <v>0</v>
      </c>
      <c r="J33" s="292">
        <f t="shared" si="22"/>
        <v>0</v>
      </c>
      <c r="K33" s="292">
        <f t="shared" si="22"/>
        <v>0</v>
      </c>
      <c r="L33" s="292">
        <f t="shared" si="22"/>
        <v>0</v>
      </c>
      <c r="M33" s="292">
        <f t="shared" si="22"/>
        <v>0</v>
      </c>
      <c r="N33" s="292">
        <f t="shared" si="22"/>
        <v>0</v>
      </c>
      <c r="O33" s="292">
        <f t="shared" si="23"/>
        <v>0</v>
      </c>
      <c r="P33" s="292">
        <f t="shared" si="23"/>
        <v>368.30839364999997</v>
      </c>
      <c r="Q33" s="292">
        <f t="shared" si="23"/>
        <v>392.831729</v>
      </c>
      <c r="R33" s="292">
        <f t="shared" si="23"/>
        <v>761.14012264999997</v>
      </c>
      <c r="S33" s="292">
        <f t="shared" si="23"/>
        <v>0</v>
      </c>
      <c r="T33" s="292">
        <f t="shared" si="23"/>
        <v>0</v>
      </c>
      <c r="U33" s="292">
        <f t="shared" si="23"/>
        <v>0</v>
      </c>
      <c r="V33" s="292">
        <f t="shared" si="23"/>
        <v>0</v>
      </c>
      <c r="W33" s="292">
        <f t="shared" si="23"/>
        <v>0</v>
      </c>
      <c r="X33" s="292">
        <f t="shared" si="23"/>
        <v>0</v>
      </c>
      <c r="Y33" s="292">
        <f t="shared" si="24"/>
        <v>0</v>
      </c>
      <c r="Z33" s="292">
        <f t="shared" si="24"/>
        <v>172.37399391</v>
      </c>
      <c r="AA33" s="292">
        <f t="shared" si="24"/>
        <v>0</v>
      </c>
      <c r="AB33" s="292">
        <f t="shared" si="24"/>
        <v>0</v>
      </c>
      <c r="AC33" s="292">
        <f t="shared" si="24"/>
        <v>0</v>
      </c>
      <c r="AD33" s="292">
        <f t="shared" si="24"/>
        <v>0</v>
      </c>
      <c r="AE33" s="292">
        <f t="shared" si="24"/>
        <v>172.37399391</v>
      </c>
    </row>
    <row r="34" spans="2:31" ht="14.1" customHeight="1">
      <c r="B34" s="359" t="str">
        <f>IF(Indice_index!$Z$1=1,"Subsídios","Subsidies")</f>
        <v>Subsídios</v>
      </c>
      <c r="C34" s="359"/>
      <c r="D34" s="299" t="s">
        <v>35</v>
      </c>
      <c r="E34" s="292">
        <f t="shared" si="22"/>
        <v>0</v>
      </c>
      <c r="F34" s="292">
        <f t="shared" si="22"/>
        <v>0</v>
      </c>
      <c r="G34" s="292">
        <f t="shared" si="22"/>
        <v>44.875</v>
      </c>
      <c r="H34" s="292">
        <f t="shared" si="22"/>
        <v>0</v>
      </c>
      <c r="I34" s="292">
        <f t="shared" si="22"/>
        <v>0</v>
      </c>
      <c r="J34" s="292">
        <f t="shared" si="22"/>
        <v>0</v>
      </c>
      <c r="K34" s="292">
        <f t="shared" si="22"/>
        <v>-44.875</v>
      </c>
      <c r="L34" s="292">
        <f t="shared" si="22"/>
        <v>0</v>
      </c>
      <c r="M34" s="292">
        <f t="shared" si="22"/>
        <v>0</v>
      </c>
      <c r="N34" s="292">
        <f t="shared" si="22"/>
        <v>0</v>
      </c>
      <c r="O34" s="292">
        <f t="shared" si="23"/>
        <v>0</v>
      </c>
      <c r="P34" s="292">
        <f t="shared" si="23"/>
        <v>0</v>
      </c>
      <c r="Q34" s="292">
        <f t="shared" si="23"/>
        <v>0</v>
      </c>
      <c r="R34" s="292">
        <f t="shared" si="23"/>
        <v>0</v>
      </c>
      <c r="S34" s="292">
        <f t="shared" si="23"/>
        <v>0</v>
      </c>
      <c r="T34" s="292">
        <f t="shared" si="23"/>
        <v>0</v>
      </c>
      <c r="U34" s="292">
        <f t="shared" si="23"/>
        <v>0</v>
      </c>
      <c r="V34" s="292">
        <f t="shared" si="23"/>
        <v>0</v>
      </c>
      <c r="W34" s="292">
        <f t="shared" si="23"/>
        <v>0</v>
      </c>
      <c r="X34" s="292">
        <f t="shared" si="23"/>
        <v>0</v>
      </c>
      <c r="Y34" s="292">
        <f t="shared" si="24"/>
        <v>0</v>
      </c>
      <c r="Z34" s="292">
        <f t="shared" si="24"/>
        <v>0</v>
      </c>
      <c r="AA34" s="292">
        <f t="shared" si="24"/>
        <v>0</v>
      </c>
      <c r="AB34" s="292">
        <f t="shared" si="24"/>
        <v>0</v>
      </c>
      <c r="AC34" s="292">
        <f t="shared" si="24"/>
        <v>0</v>
      </c>
      <c r="AD34" s="292">
        <f t="shared" si="24"/>
        <v>0</v>
      </c>
      <c r="AE34" s="292">
        <f t="shared" si="24"/>
        <v>0</v>
      </c>
    </row>
    <row r="35" spans="2:31" ht="14.1" customHeight="1">
      <c r="B35" s="357" t="str">
        <f>IF(Indice_index!$Z$1=1,"Outras despesas correntes","Other current expenditure")</f>
        <v>Outras despesas correntes</v>
      </c>
      <c r="C35" s="357"/>
      <c r="D35" s="299" t="s">
        <v>36</v>
      </c>
      <c r="E35" s="292">
        <f t="shared" si="22"/>
        <v>0</v>
      </c>
      <c r="F35" s="292">
        <f t="shared" si="22"/>
        <v>0</v>
      </c>
      <c r="G35" s="292">
        <f t="shared" si="22"/>
        <v>0</v>
      </c>
      <c r="H35" s="292">
        <f t="shared" si="22"/>
        <v>0</v>
      </c>
      <c r="I35" s="292">
        <f t="shared" si="22"/>
        <v>0</v>
      </c>
      <c r="J35" s="292">
        <f t="shared" si="22"/>
        <v>0</v>
      </c>
      <c r="K35" s="292">
        <f t="shared" si="22"/>
        <v>0</v>
      </c>
      <c r="L35" s="292">
        <f t="shared" si="22"/>
        <v>0</v>
      </c>
      <c r="M35" s="292">
        <f t="shared" si="22"/>
        <v>0</v>
      </c>
      <c r="N35" s="292">
        <f t="shared" si="22"/>
        <v>0</v>
      </c>
      <c r="O35" s="292">
        <f t="shared" si="23"/>
        <v>0</v>
      </c>
      <c r="P35" s="292">
        <f t="shared" si="23"/>
        <v>0</v>
      </c>
      <c r="Q35" s="292">
        <f t="shared" si="23"/>
        <v>0</v>
      </c>
      <c r="R35" s="292">
        <f t="shared" si="23"/>
        <v>0</v>
      </c>
      <c r="S35" s="292">
        <f t="shared" si="23"/>
        <v>0</v>
      </c>
      <c r="T35" s="292">
        <f t="shared" si="23"/>
        <v>0</v>
      </c>
      <c r="U35" s="292">
        <f t="shared" si="23"/>
        <v>0</v>
      </c>
      <c r="V35" s="292">
        <f t="shared" si="23"/>
        <v>0</v>
      </c>
      <c r="W35" s="292">
        <f t="shared" si="23"/>
        <v>0</v>
      </c>
      <c r="X35" s="292">
        <f t="shared" si="23"/>
        <v>0</v>
      </c>
      <c r="Y35" s="292">
        <f t="shared" si="24"/>
        <v>0</v>
      </c>
      <c r="Z35" s="292">
        <f t="shared" si="24"/>
        <v>0</v>
      </c>
      <c r="AA35" s="292">
        <f t="shared" si="24"/>
        <v>0</v>
      </c>
      <c r="AB35" s="292">
        <f t="shared" si="24"/>
        <v>0</v>
      </c>
      <c r="AC35" s="292">
        <f t="shared" si="24"/>
        <v>0</v>
      </c>
      <c r="AD35" s="292">
        <f t="shared" si="24"/>
        <v>0</v>
      </c>
      <c r="AE35" s="292">
        <f t="shared" si="24"/>
        <v>0</v>
      </c>
    </row>
    <row r="36" spans="2:31" ht="14.1" customHeight="1">
      <c r="B36" s="363" t="str">
        <f>IF(Indice_index!$Z$1=1,"Despesa de capital","Capital expenditure")</f>
        <v>Despesa de capital</v>
      </c>
      <c r="C36" s="363"/>
      <c r="D36" s="300"/>
      <c r="E36" s="298">
        <f t="shared" ref="E36:Q36" si="25">+E37+E38+E41</f>
        <v>26.839382000000001</v>
      </c>
      <c r="F36" s="298">
        <f t="shared" si="25"/>
        <v>29.945884639999999</v>
      </c>
      <c r="G36" s="298">
        <f t="shared" si="25"/>
        <v>28.34763332</v>
      </c>
      <c r="H36" s="298">
        <f t="shared" si="25"/>
        <v>28.379133320000001</v>
      </c>
      <c r="I36" s="298">
        <f t="shared" si="25"/>
        <v>29.945884639999999</v>
      </c>
      <c r="J36" s="298">
        <f t="shared" si="25"/>
        <v>27.130691120000002</v>
      </c>
      <c r="K36" s="298">
        <f t="shared" si="25"/>
        <v>28.392633320000002</v>
      </c>
      <c r="L36" s="298">
        <f t="shared" si="25"/>
        <v>28.392633320000002</v>
      </c>
      <c r="M36" s="298">
        <f t="shared" si="25"/>
        <v>28.392633320000002</v>
      </c>
      <c r="N36" s="298">
        <f t="shared" si="25"/>
        <v>28.39263332000003</v>
      </c>
      <c r="O36" s="298">
        <f t="shared" si="25"/>
        <v>28.392633319999998</v>
      </c>
      <c r="P36" s="298">
        <f t="shared" si="25"/>
        <v>28.452985319999968</v>
      </c>
      <c r="Q36" s="298">
        <f t="shared" si="25"/>
        <v>255.76650899999999</v>
      </c>
      <c r="R36" s="298">
        <f>SUM(E36:P36)</f>
        <v>341.00476096000006</v>
      </c>
      <c r="S36" s="298">
        <f t="shared" ref="S36:AD36" si="26">+S37+S38+S41</f>
        <v>40.310046999999997</v>
      </c>
      <c r="T36" s="298">
        <f t="shared" si="26"/>
        <v>43.420046999999997</v>
      </c>
      <c r="U36" s="298">
        <f t="shared" si="26"/>
        <v>41.863298319999998</v>
      </c>
      <c r="V36" s="298">
        <f t="shared" si="26"/>
        <v>41.863298319999998</v>
      </c>
      <c r="W36" s="298">
        <f t="shared" si="26"/>
        <v>41.863298319999998</v>
      </c>
      <c r="X36" s="298">
        <f t="shared" si="26"/>
        <v>41.863298319999998</v>
      </c>
      <c r="Y36" s="298">
        <f t="shared" si="26"/>
        <v>41.863298319999998</v>
      </c>
      <c r="Z36" s="298">
        <f t="shared" si="26"/>
        <v>41.863298319999998</v>
      </c>
      <c r="AA36" s="298">
        <f t="shared" si="26"/>
        <v>40.310046999999997</v>
      </c>
      <c r="AB36" s="298">
        <f t="shared" si="26"/>
        <v>0</v>
      </c>
      <c r="AC36" s="298">
        <f t="shared" si="26"/>
        <v>0</v>
      </c>
      <c r="AD36" s="298">
        <f t="shared" si="26"/>
        <v>0</v>
      </c>
      <c r="AE36" s="298">
        <f>SUM(S36:AD36)</f>
        <v>375.21993092000002</v>
      </c>
    </row>
    <row r="37" spans="2:31" ht="14.1" customHeight="1">
      <c r="B37" s="357" t="str">
        <f>IF(Indice_index!$Z$1=1,"Investimento","Investments")</f>
        <v>Investimento</v>
      </c>
      <c r="C37" s="357"/>
      <c r="D37" s="299" t="s">
        <v>37</v>
      </c>
      <c r="E37" s="292">
        <f t="shared" ref="E37:AE37" si="27">+SUMIF($D$54:$D$85,$D37,E$54:E$85)</f>
        <v>0</v>
      </c>
      <c r="F37" s="292">
        <f t="shared" si="27"/>
        <v>3.10650264</v>
      </c>
      <c r="G37" s="292">
        <f t="shared" si="27"/>
        <v>1.55325132</v>
      </c>
      <c r="H37" s="292">
        <f t="shared" si="27"/>
        <v>1.55325132</v>
      </c>
      <c r="I37" s="292">
        <f t="shared" si="27"/>
        <v>3.1065026399999995</v>
      </c>
      <c r="J37" s="292">
        <f t="shared" si="27"/>
        <v>0</v>
      </c>
      <c r="K37" s="292">
        <f t="shared" si="27"/>
        <v>1.55325132</v>
      </c>
      <c r="L37" s="292">
        <f t="shared" si="27"/>
        <v>1.5532513200000002</v>
      </c>
      <c r="M37" s="292">
        <f t="shared" si="27"/>
        <v>1.5532513200000002</v>
      </c>
      <c r="N37" s="292">
        <f t="shared" si="27"/>
        <v>1.5532513199999993</v>
      </c>
      <c r="O37" s="292">
        <f t="shared" si="27"/>
        <v>1.5532513199999975</v>
      </c>
      <c r="P37" s="292">
        <f t="shared" si="27"/>
        <v>1.5532513200000011</v>
      </c>
      <c r="Q37" s="292">
        <f t="shared" si="27"/>
        <v>13.979261879999999</v>
      </c>
      <c r="R37" s="292">
        <f t="shared" si="27"/>
        <v>18.639015839999999</v>
      </c>
      <c r="S37" s="292">
        <f t="shared" si="27"/>
        <v>0</v>
      </c>
      <c r="T37" s="292">
        <f t="shared" si="27"/>
        <v>3.11</v>
      </c>
      <c r="U37" s="292">
        <f t="shared" si="27"/>
        <v>1.5532513199999998</v>
      </c>
      <c r="V37" s="292">
        <f t="shared" si="27"/>
        <v>1.5532513200000002</v>
      </c>
      <c r="W37" s="292">
        <f t="shared" si="27"/>
        <v>1.5532513200000002</v>
      </c>
      <c r="X37" s="292">
        <f t="shared" si="27"/>
        <v>1.5532513200000002</v>
      </c>
      <c r="Y37" s="292">
        <f t="shared" si="27"/>
        <v>1.5532513200000002</v>
      </c>
      <c r="Z37" s="292">
        <f t="shared" si="27"/>
        <v>1.5532513200000002</v>
      </c>
      <c r="AA37" s="292">
        <f t="shared" si="27"/>
        <v>0</v>
      </c>
      <c r="AB37" s="292">
        <f t="shared" si="27"/>
        <v>0</v>
      </c>
      <c r="AC37" s="292">
        <f t="shared" si="27"/>
        <v>0</v>
      </c>
      <c r="AD37" s="292">
        <f t="shared" si="27"/>
        <v>0</v>
      </c>
      <c r="AE37" s="292">
        <f t="shared" si="27"/>
        <v>12.429507920000002</v>
      </c>
    </row>
    <row r="38" spans="2:31" ht="14.1" customHeight="1">
      <c r="B38" s="357" t="str">
        <f>IF(Indice_index!$Z$1=1,"Transferências de capital","Capital transfers")</f>
        <v>Transferências de capital</v>
      </c>
      <c r="C38" s="357"/>
      <c r="D38" s="299" t="s">
        <v>38</v>
      </c>
      <c r="E38" s="292">
        <f t="shared" ref="E38:AE38" si="28">+E39+E40</f>
        <v>26.839382000000001</v>
      </c>
      <c r="F38" s="292">
        <f t="shared" si="28"/>
        <v>26.839382000000001</v>
      </c>
      <c r="G38" s="292">
        <f t="shared" si="28"/>
        <v>26.794381999999999</v>
      </c>
      <c r="H38" s="292">
        <f t="shared" si="28"/>
        <v>26.825882</v>
      </c>
      <c r="I38" s="292">
        <f t="shared" si="28"/>
        <v>26.839382000000001</v>
      </c>
      <c r="J38" s="292">
        <f t="shared" si="28"/>
        <v>27.130691120000002</v>
      </c>
      <c r="K38" s="292">
        <f t="shared" si="28"/>
        <v>26.839382000000001</v>
      </c>
      <c r="L38" s="292">
        <f t="shared" si="28"/>
        <v>26.839382000000001</v>
      </c>
      <c r="M38" s="292">
        <f t="shared" si="28"/>
        <v>26.839382000000001</v>
      </c>
      <c r="N38" s="292">
        <f t="shared" si="28"/>
        <v>26.839382000000029</v>
      </c>
      <c r="O38" s="292">
        <f t="shared" si="28"/>
        <v>26.839382000000001</v>
      </c>
      <c r="P38" s="292">
        <f t="shared" si="28"/>
        <v>26.899733999999967</v>
      </c>
      <c r="Q38" s="292">
        <f t="shared" si="28"/>
        <v>241.78724711999999</v>
      </c>
      <c r="R38" s="292">
        <f t="shared" si="28"/>
        <v>322.36574511999999</v>
      </c>
      <c r="S38" s="292">
        <f t="shared" si="28"/>
        <v>40.310046999999997</v>
      </c>
      <c r="T38" s="292">
        <f t="shared" si="28"/>
        <v>40.310046999999997</v>
      </c>
      <c r="U38" s="292">
        <f t="shared" si="28"/>
        <v>40.310046999999997</v>
      </c>
      <c r="V38" s="292">
        <f t="shared" si="28"/>
        <v>40.310046999999997</v>
      </c>
      <c r="W38" s="292">
        <f t="shared" si="28"/>
        <v>40.310046999999997</v>
      </c>
      <c r="X38" s="292">
        <f t="shared" si="28"/>
        <v>40.310046999999997</v>
      </c>
      <c r="Y38" s="292">
        <f t="shared" si="28"/>
        <v>40.310046999999997</v>
      </c>
      <c r="Z38" s="292">
        <f t="shared" si="28"/>
        <v>40.310046999999997</v>
      </c>
      <c r="AA38" s="292">
        <f t="shared" si="28"/>
        <v>40.310046999999997</v>
      </c>
      <c r="AB38" s="292">
        <f t="shared" si="28"/>
        <v>0</v>
      </c>
      <c r="AC38" s="292">
        <f t="shared" si="28"/>
        <v>0</v>
      </c>
      <c r="AD38" s="292">
        <f t="shared" si="28"/>
        <v>0</v>
      </c>
      <c r="AE38" s="292">
        <f t="shared" si="28"/>
        <v>362.79042299999998</v>
      </c>
    </row>
    <row r="39" spans="2:31" ht="14.1" customHeight="1">
      <c r="B39" s="359" t="str">
        <f>IF(Indice_index!$Z$1=1,"Administrações Públicas","General Government subsectors")</f>
        <v>Administrações Públicas</v>
      </c>
      <c r="C39" s="359"/>
      <c r="D39" s="299" t="s">
        <v>39</v>
      </c>
      <c r="E39" s="292">
        <f t="shared" ref="E39:N41" si="29">+SUMIF($D$54:$D$85,$D39,E$54:E$85)</f>
        <v>26.839382000000001</v>
      </c>
      <c r="F39" s="292">
        <f t="shared" si="29"/>
        <v>26.839382000000001</v>
      </c>
      <c r="G39" s="292">
        <f t="shared" si="29"/>
        <v>26.794381999999999</v>
      </c>
      <c r="H39" s="292">
        <f t="shared" si="29"/>
        <v>26.825882</v>
      </c>
      <c r="I39" s="292">
        <f t="shared" si="29"/>
        <v>26.839382000000001</v>
      </c>
      <c r="J39" s="292">
        <f t="shared" si="29"/>
        <v>26.839382000000001</v>
      </c>
      <c r="K39" s="292">
        <f t="shared" si="29"/>
        <v>26.839382000000001</v>
      </c>
      <c r="L39" s="292">
        <f t="shared" si="29"/>
        <v>26.839382000000001</v>
      </c>
      <c r="M39" s="292">
        <f t="shared" si="29"/>
        <v>26.839382000000001</v>
      </c>
      <c r="N39" s="292">
        <f t="shared" si="29"/>
        <v>26.839382000000029</v>
      </c>
      <c r="O39" s="292">
        <f t="shared" ref="O39:X41" si="30">+SUMIF($D$54:$D$85,$D39,O$54:O$85)</f>
        <v>26.839382000000001</v>
      </c>
      <c r="P39" s="292">
        <f t="shared" si="30"/>
        <v>26.899733999999967</v>
      </c>
      <c r="Q39" s="292">
        <f t="shared" si="30"/>
        <v>241.495938</v>
      </c>
      <c r="R39" s="292">
        <f t="shared" si="30"/>
        <v>322.07443599999999</v>
      </c>
      <c r="S39" s="292">
        <f t="shared" si="30"/>
        <v>40.310046999999997</v>
      </c>
      <c r="T39" s="292">
        <f t="shared" si="30"/>
        <v>40.310046999999997</v>
      </c>
      <c r="U39" s="292">
        <f t="shared" si="30"/>
        <v>40.310046999999997</v>
      </c>
      <c r="V39" s="292">
        <f t="shared" si="30"/>
        <v>40.310046999999997</v>
      </c>
      <c r="W39" s="292">
        <f t="shared" si="30"/>
        <v>40.310046999999997</v>
      </c>
      <c r="X39" s="292">
        <f t="shared" si="30"/>
        <v>40.310046999999997</v>
      </c>
      <c r="Y39" s="292">
        <f t="shared" ref="Y39:AE41" si="31">+SUMIF($D$54:$D$85,$D39,Y$54:Y$85)</f>
        <v>40.310046999999997</v>
      </c>
      <c r="Z39" s="292">
        <f t="shared" si="31"/>
        <v>40.310046999999997</v>
      </c>
      <c r="AA39" s="292">
        <f t="shared" si="31"/>
        <v>40.310046999999997</v>
      </c>
      <c r="AB39" s="292">
        <f t="shared" si="31"/>
        <v>0</v>
      </c>
      <c r="AC39" s="292">
        <f t="shared" si="31"/>
        <v>0</v>
      </c>
      <c r="AD39" s="292">
        <f t="shared" si="31"/>
        <v>0</v>
      </c>
      <c r="AE39" s="292">
        <f t="shared" si="31"/>
        <v>362.79042299999998</v>
      </c>
    </row>
    <row r="40" spans="2:31" ht="14.1" customHeight="1">
      <c r="B40" s="359" t="str">
        <f>IF(Indice_index!$Z$1=1,"Outras","Others")</f>
        <v>Outras</v>
      </c>
      <c r="C40" s="359"/>
      <c r="D40" s="299" t="s">
        <v>40</v>
      </c>
      <c r="E40" s="292">
        <f t="shared" si="29"/>
        <v>0</v>
      </c>
      <c r="F40" s="292">
        <f t="shared" si="29"/>
        <v>0</v>
      </c>
      <c r="G40" s="292">
        <f t="shared" si="29"/>
        <v>0</v>
      </c>
      <c r="H40" s="292">
        <f t="shared" si="29"/>
        <v>0</v>
      </c>
      <c r="I40" s="292">
        <f t="shared" si="29"/>
        <v>0</v>
      </c>
      <c r="J40" s="292">
        <f t="shared" si="29"/>
        <v>0.29130911999999998</v>
      </c>
      <c r="K40" s="292">
        <f t="shared" si="29"/>
        <v>0</v>
      </c>
      <c r="L40" s="292">
        <f t="shared" si="29"/>
        <v>0</v>
      </c>
      <c r="M40" s="292">
        <f t="shared" si="29"/>
        <v>0</v>
      </c>
      <c r="N40" s="292">
        <f t="shared" si="29"/>
        <v>0</v>
      </c>
      <c r="O40" s="292">
        <f t="shared" si="30"/>
        <v>0</v>
      </c>
      <c r="P40" s="292">
        <f t="shared" si="30"/>
        <v>0</v>
      </c>
      <c r="Q40" s="292">
        <f t="shared" si="30"/>
        <v>0.29130911999999998</v>
      </c>
      <c r="R40" s="292">
        <f t="shared" si="30"/>
        <v>0.29130911999999998</v>
      </c>
      <c r="S40" s="292">
        <f t="shared" si="30"/>
        <v>0</v>
      </c>
      <c r="T40" s="292">
        <f t="shared" si="30"/>
        <v>0</v>
      </c>
      <c r="U40" s="292">
        <f t="shared" si="30"/>
        <v>0</v>
      </c>
      <c r="V40" s="292">
        <f t="shared" si="30"/>
        <v>0</v>
      </c>
      <c r="W40" s="292">
        <f t="shared" si="30"/>
        <v>0</v>
      </c>
      <c r="X40" s="292">
        <f t="shared" si="30"/>
        <v>0</v>
      </c>
      <c r="Y40" s="292">
        <f t="shared" si="31"/>
        <v>0</v>
      </c>
      <c r="Z40" s="292">
        <f t="shared" si="31"/>
        <v>0</v>
      </c>
      <c r="AA40" s="292">
        <f t="shared" si="31"/>
        <v>0</v>
      </c>
      <c r="AB40" s="292">
        <f t="shared" si="31"/>
        <v>0</v>
      </c>
      <c r="AC40" s="292">
        <f t="shared" si="31"/>
        <v>0</v>
      </c>
      <c r="AD40" s="292">
        <f t="shared" si="31"/>
        <v>0</v>
      </c>
      <c r="AE40" s="292">
        <f t="shared" si="31"/>
        <v>0</v>
      </c>
    </row>
    <row r="41" spans="2:31" ht="14.1" customHeight="1">
      <c r="B41" s="357" t="str">
        <f>IF(Indice_index!$Z$1=1,"Outras despesas de capital","Other capital expenditure")</f>
        <v>Outras despesas de capital</v>
      </c>
      <c r="C41" s="357"/>
      <c r="D41" s="299" t="s">
        <v>41</v>
      </c>
      <c r="E41" s="292">
        <f t="shared" si="29"/>
        <v>0</v>
      </c>
      <c r="F41" s="292">
        <f t="shared" si="29"/>
        <v>0</v>
      </c>
      <c r="G41" s="292">
        <f t="shared" si="29"/>
        <v>0</v>
      </c>
      <c r="H41" s="292">
        <f t="shared" si="29"/>
        <v>0</v>
      </c>
      <c r="I41" s="292">
        <f t="shared" si="29"/>
        <v>0</v>
      </c>
      <c r="J41" s="292">
        <f t="shared" si="29"/>
        <v>0</v>
      </c>
      <c r="K41" s="292">
        <f t="shared" si="29"/>
        <v>0</v>
      </c>
      <c r="L41" s="292">
        <f t="shared" si="29"/>
        <v>0</v>
      </c>
      <c r="M41" s="292">
        <f t="shared" si="29"/>
        <v>0</v>
      </c>
      <c r="N41" s="292">
        <f t="shared" si="29"/>
        <v>0</v>
      </c>
      <c r="O41" s="292">
        <f t="shared" si="30"/>
        <v>0</v>
      </c>
      <c r="P41" s="292">
        <f t="shared" si="30"/>
        <v>0</v>
      </c>
      <c r="Q41" s="292">
        <f t="shared" si="30"/>
        <v>0</v>
      </c>
      <c r="R41" s="292">
        <f t="shared" si="30"/>
        <v>0</v>
      </c>
      <c r="S41" s="292">
        <f t="shared" si="30"/>
        <v>0</v>
      </c>
      <c r="T41" s="292">
        <f t="shared" si="30"/>
        <v>0</v>
      </c>
      <c r="U41" s="292">
        <f t="shared" si="30"/>
        <v>0</v>
      </c>
      <c r="V41" s="292">
        <f t="shared" si="30"/>
        <v>0</v>
      </c>
      <c r="W41" s="292">
        <f t="shared" si="30"/>
        <v>0</v>
      </c>
      <c r="X41" s="292">
        <f t="shared" si="30"/>
        <v>0</v>
      </c>
      <c r="Y41" s="292">
        <f t="shared" si="31"/>
        <v>0</v>
      </c>
      <c r="Z41" s="292">
        <f t="shared" si="31"/>
        <v>0</v>
      </c>
      <c r="AA41" s="292">
        <f t="shared" si="31"/>
        <v>0</v>
      </c>
      <c r="AB41" s="292">
        <f t="shared" si="31"/>
        <v>0</v>
      </c>
      <c r="AC41" s="292">
        <f t="shared" si="31"/>
        <v>0</v>
      </c>
      <c r="AD41" s="292">
        <f t="shared" si="31"/>
        <v>0</v>
      </c>
      <c r="AE41" s="292">
        <f t="shared" si="31"/>
        <v>0</v>
      </c>
    </row>
    <row r="42" spans="2:31" ht="14.1" customHeight="1">
      <c r="B42" s="462" t="str">
        <f>IF(Indice_index!$Z$1=1,"Despesa efetiva","Effective Expenditure")</f>
        <v>Despesa efetiva</v>
      </c>
      <c r="C42" s="462"/>
      <c r="D42" s="136"/>
      <c r="E42" s="108">
        <f t="shared" ref="E42:AE42" si="32">+E27+E36</f>
        <v>218.63347107000001</v>
      </c>
      <c r="F42" s="108">
        <f t="shared" si="32"/>
        <v>39.279272640000002</v>
      </c>
      <c r="G42" s="108">
        <f t="shared" si="32"/>
        <v>310.18775032000002</v>
      </c>
      <c r="H42" s="108">
        <f t="shared" si="32"/>
        <v>37.71252132</v>
      </c>
      <c r="I42" s="108">
        <f t="shared" si="32"/>
        <v>39.279272640000002</v>
      </c>
      <c r="J42" s="108">
        <f t="shared" si="32"/>
        <v>36.464079120000001</v>
      </c>
      <c r="K42" s="108">
        <f t="shared" si="32"/>
        <v>-7.148978679999999</v>
      </c>
      <c r="L42" s="108">
        <f t="shared" si="32"/>
        <v>37.726021320000001</v>
      </c>
      <c r="M42" s="108">
        <f t="shared" si="32"/>
        <v>37.726021320000001</v>
      </c>
      <c r="N42" s="108">
        <f t="shared" si="32"/>
        <v>37.726021320000029</v>
      </c>
      <c r="O42" s="108">
        <f t="shared" si="32"/>
        <v>37.726021320000015</v>
      </c>
      <c r="P42" s="108">
        <f t="shared" si="32"/>
        <v>1529.8504525800001</v>
      </c>
      <c r="Q42" s="108">
        <f t="shared" si="32"/>
        <v>749.85943107000003</v>
      </c>
      <c r="R42" s="108">
        <f t="shared" si="32"/>
        <v>2355.1619262900003</v>
      </c>
      <c r="S42" s="108">
        <f t="shared" si="32"/>
        <v>52.672456999999994</v>
      </c>
      <c r="T42" s="108">
        <f t="shared" si="32"/>
        <v>55.782456999999994</v>
      </c>
      <c r="U42" s="108">
        <f t="shared" si="32"/>
        <v>54.225708319999995</v>
      </c>
      <c r="V42" s="108">
        <f t="shared" si="32"/>
        <v>54.225708319999995</v>
      </c>
      <c r="W42" s="108">
        <f t="shared" si="32"/>
        <v>54.225708319999995</v>
      </c>
      <c r="X42" s="108">
        <f t="shared" si="32"/>
        <v>54.225708319999995</v>
      </c>
      <c r="Y42" s="108">
        <f t="shared" si="32"/>
        <v>220.93880756999999</v>
      </c>
      <c r="Z42" s="108">
        <f t="shared" si="32"/>
        <v>240.00717358000003</v>
      </c>
      <c r="AA42" s="108">
        <f t="shared" si="32"/>
        <v>71.695139049999995</v>
      </c>
      <c r="AB42" s="108">
        <f t="shared" si="32"/>
        <v>0</v>
      </c>
      <c r="AC42" s="108">
        <f t="shared" si="32"/>
        <v>0</v>
      </c>
      <c r="AD42" s="108">
        <f t="shared" si="32"/>
        <v>0</v>
      </c>
      <c r="AE42" s="108">
        <f t="shared" si="32"/>
        <v>857.99886748000006</v>
      </c>
    </row>
    <row r="43" spans="2:31" ht="14.1" customHeight="1">
      <c r="B43" s="455" t="str">
        <f>IF(Indice_index!$Z$1=1,"Impacto no Saldo global","Impact in Overall balance")</f>
        <v>Impacto no Saldo global</v>
      </c>
      <c r="C43" s="456"/>
      <c r="D43" s="190"/>
      <c r="E43" s="191">
        <f t="shared" ref="E43:AE43" si="33">+E26-E42</f>
        <v>-77.285365729999995</v>
      </c>
      <c r="F43" s="108">
        <f t="shared" si="33"/>
        <v>51.801901240000007</v>
      </c>
      <c r="G43" s="108">
        <f t="shared" si="33"/>
        <v>-140.02915426000004</v>
      </c>
      <c r="H43" s="108">
        <f t="shared" si="33"/>
        <v>64.598761719999999</v>
      </c>
      <c r="I43" s="108">
        <f t="shared" si="33"/>
        <v>21.966644070000001</v>
      </c>
      <c r="J43" s="108">
        <f t="shared" si="33"/>
        <v>716.80818040999998</v>
      </c>
      <c r="K43" s="108">
        <f t="shared" si="33"/>
        <v>217.15389880999999</v>
      </c>
      <c r="L43" s="108">
        <f t="shared" si="33"/>
        <v>206.98378269</v>
      </c>
      <c r="M43" s="108">
        <f t="shared" si="33"/>
        <v>-37.597382590000002</v>
      </c>
      <c r="N43" s="108">
        <f t="shared" si="33"/>
        <v>608.36565719000009</v>
      </c>
      <c r="O43" s="108">
        <f t="shared" si="33"/>
        <v>-19.496084910000015</v>
      </c>
      <c r="P43" s="108">
        <f t="shared" si="33"/>
        <v>-1338.44258347</v>
      </c>
      <c r="Q43" s="108">
        <f t="shared" si="33"/>
        <v>1024.4012663599999</v>
      </c>
      <c r="R43" s="108">
        <f t="shared" si="33"/>
        <v>274.82825516999992</v>
      </c>
      <c r="S43" s="191">
        <f t="shared" si="33"/>
        <v>93.552503560000005</v>
      </c>
      <c r="T43" s="108">
        <f t="shared" si="33"/>
        <v>60.950036269999998</v>
      </c>
      <c r="U43" s="108">
        <f t="shared" si="33"/>
        <v>135.62688835999998</v>
      </c>
      <c r="V43" s="108">
        <f t="shared" si="33"/>
        <v>69.529437699999988</v>
      </c>
      <c r="W43" s="108">
        <f t="shared" si="33"/>
        <v>619.07601485999999</v>
      </c>
      <c r="X43" s="108">
        <f t="shared" si="33"/>
        <v>148.24913463000004</v>
      </c>
      <c r="Y43" s="108">
        <f t="shared" si="33"/>
        <v>-207.02689581999999</v>
      </c>
      <c r="Z43" s="108">
        <f t="shared" si="33"/>
        <v>-239.26256529000003</v>
      </c>
      <c r="AA43" s="108">
        <f t="shared" si="33"/>
        <v>-69.079293469999996</v>
      </c>
      <c r="AB43" s="108">
        <f t="shared" si="33"/>
        <v>0</v>
      </c>
      <c r="AC43" s="108">
        <f t="shared" si="33"/>
        <v>0</v>
      </c>
      <c r="AD43" s="108">
        <f t="shared" si="33"/>
        <v>0</v>
      </c>
      <c r="AE43" s="108">
        <f t="shared" si="33"/>
        <v>611.61526079999987</v>
      </c>
    </row>
    <row r="44" spans="2:31" ht="14.1" customHeight="1">
      <c r="B44" s="457" t="str">
        <f>IF(Indice_index!$Z$1=1,"   Por memória:","   Memo item:")</f>
        <v xml:space="preserve">   Por memória:</v>
      </c>
      <c r="C44" s="457"/>
      <c r="D44" s="299"/>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row>
    <row r="45" spans="2:31" ht="14.1" customHeight="1">
      <c r="B45" s="359" t="str">
        <f>IF(Indice_index!$Z$1=1,"Saldo corrente","Current balance")</f>
        <v>Saldo corrente</v>
      </c>
      <c r="C45" s="359"/>
      <c r="D45" s="299"/>
      <c r="E45" s="292">
        <f t="shared" ref="E45:AE45" si="34">+E12-E27</f>
        <v>-50.445983729999995</v>
      </c>
      <c r="F45" s="292">
        <f t="shared" si="34"/>
        <v>81.747785880000009</v>
      </c>
      <c r="G45" s="292">
        <f t="shared" si="34"/>
        <v>-111.68152094000004</v>
      </c>
      <c r="H45" s="292">
        <f t="shared" si="34"/>
        <v>90.05289504000001</v>
      </c>
      <c r="I45" s="292">
        <f t="shared" si="34"/>
        <v>51.912528710000004</v>
      </c>
      <c r="J45" s="292">
        <f t="shared" si="34"/>
        <v>609.31064847999994</v>
      </c>
      <c r="K45" s="292">
        <f t="shared" si="34"/>
        <v>245.54653213</v>
      </c>
      <c r="L45" s="292">
        <f t="shared" si="34"/>
        <v>235.37641601000001</v>
      </c>
      <c r="M45" s="292">
        <f t="shared" si="34"/>
        <v>-9.2047492699999989</v>
      </c>
      <c r="N45" s="292">
        <f t="shared" si="34"/>
        <v>636.75829051000005</v>
      </c>
      <c r="O45" s="292">
        <f t="shared" si="34"/>
        <v>8.896548409999987</v>
      </c>
      <c r="P45" s="292">
        <f t="shared" si="34"/>
        <v>-1309.9895981500001</v>
      </c>
      <c r="Q45" s="292">
        <f t="shared" si="34"/>
        <v>1142.6145523099999</v>
      </c>
      <c r="R45" s="292">
        <f t="shared" si="34"/>
        <v>478.27979308000022</v>
      </c>
      <c r="S45" s="292">
        <f t="shared" si="34"/>
        <v>133.86255055999999</v>
      </c>
      <c r="T45" s="292">
        <f t="shared" si="34"/>
        <v>104.37008326999999</v>
      </c>
      <c r="U45" s="292">
        <f t="shared" si="34"/>
        <v>177.49018667999997</v>
      </c>
      <c r="V45" s="292">
        <f t="shared" si="34"/>
        <v>111.39273601999999</v>
      </c>
      <c r="W45" s="292">
        <f t="shared" si="34"/>
        <v>660.93931318</v>
      </c>
      <c r="X45" s="292">
        <f t="shared" si="34"/>
        <v>190.11243295000003</v>
      </c>
      <c r="Y45" s="292">
        <f t="shared" si="34"/>
        <v>-165.16359750000001</v>
      </c>
      <c r="Z45" s="292">
        <f t="shared" si="34"/>
        <v>-197.39926697000001</v>
      </c>
      <c r="AA45" s="292">
        <f t="shared" si="34"/>
        <v>-28.769246470000002</v>
      </c>
      <c r="AB45" s="292">
        <f t="shared" si="34"/>
        <v>0</v>
      </c>
      <c r="AC45" s="292">
        <f t="shared" si="34"/>
        <v>0</v>
      </c>
      <c r="AD45" s="292">
        <f t="shared" si="34"/>
        <v>0</v>
      </c>
      <c r="AE45" s="292">
        <f t="shared" si="34"/>
        <v>986.8351917199999</v>
      </c>
    </row>
    <row r="46" spans="2:31" ht="14.1" customHeight="1">
      <c r="B46" s="359" t="str">
        <f>IF(Indice_index!$Z$1=1,"Saldo de capital","Capital balance")</f>
        <v>Saldo de capital</v>
      </c>
      <c r="C46" s="359"/>
      <c r="D46" s="299"/>
      <c r="E46" s="292">
        <f t="shared" ref="E46:AE46" si="35">+E20-E36</f>
        <v>-26.839382000000001</v>
      </c>
      <c r="F46" s="292">
        <f t="shared" si="35"/>
        <v>-29.945884639999999</v>
      </c>
      <c r="G46" s="292">
        <f t="shared" si="35"/>
        <v>-28.34763332</v>
      </c>
      <c r="H46" s="292">
        <f t="shared" si="35"/>
        <v>-25.45413332</v>
      </c>
      <c r="I46" s="292">
        <f t="shared" si="35"/>
        <v>-29.945884639999999</v>
      </c>
      <c r="J46" s="292">
        <f t="shared" si="35"/>
        <v>107.49753193000001</v>
      </c>
      <c r="K46" s="292">
        <f t="shared" si="35"/>
        <v>-28.392633320000002</v>
      </c>
      <c r="L46" s="292">
        <f t="shared" si="35"/>
        <v>-28.392633320000002</v>
      </c>
      <c r="M46" s="292">
        <f t="shared" si="35"/>
        <v>-28.392633320000002</v>
      </c>
      <c r="N46" s="292">
        <f t="shared" si="35"/>
        <v>-28.39263332000003</v>
      </c>
      <c r="O46" s="292">
        <f t="shared" si="35"/>
        <v>-28.392633319999998</v>
      </c>
      <c r="P46" s="292">
        <f t="shared" si="35"/>
        <v>-28.452985319999968</v>
      </c>
      <c r="Q46" s="292">
        <f t="shared" si="35"/>
        <v>-118.21328594999997</v>
      </c>
      <c r="R46" s="292">
        <f t="shared" si="35"/>
        <v>-203.45153791000004</v>
      </c>
      <c r="S46" s="292">
        <f t="shared" si="35"/>
        <v>-40.310046999999997</v>
      </c>
      <c r="T46" s="292">
        <f t="shared" si="35"/>
        <v>-43.420046999999997</v>
      </c>
      <c r="U46" s="292">
        <f t="shared" si="35"/>
        <v>-41.863298319999998</v>
      </c>
      <c r="V46" s="292">
        <f t="shared" si="35"/>
        <v>-41.863298319999998</v>
      </c>
      <c r="W46" s="292">
        <f t="shared" si="35"/>
        <v>-41.863298319999998</v>
      </c>
      <c r="X46" s="292">
        <f t="shared" si="35"/>
        <v>-41.863298319999998</v>
      </c>
      <c r="Y46" s="292">
        <f t="shared" si="35"/>
        <v>-41.863298319999998</v>
      </c>
      <c r="Z46" s="292">
        <f t="shared" si="35"/>
        <v>-41.863298319999998</v>
      </c>
      <c r="AA46" s="292">
        <f t="shared" si="35"/>
        <v>-40.310046999999997</v>
      </c>
      <c r="AB46" s="292">
        <f t="shared" si="35"/>
        <v>0</v>
      </c>
      <c r="AC46" s="292">
        <f t="shared" si="35"/>
        <v>0</v>
      </c>
      <c r="AD46" s="292">
        <f t="shared" si="35"/>
        <v>0</v>
      </c>
      <c r="AE46" s="292">
        <f t="shared" si="35"/>
        <v>-375.21993092000002</v>
      </c>
    </row>
    <row r="47" spans="2:31" ht="14.1" customHeight="1">
      <c r="B47" s="359" t="str">
        <f>IF(Indice_index!$Z$1=1,"Saldo primário","Primary balance")</f>
        <v>Saldo primário</v>
      </c>
      <c r="C47" s="359"/>
      <c r="D47" s="299"/>
      <c r="E47" s="292">
        <f t="shared" ref="E47:AE47" si="36">+E43+E30</f>
        <v>-77.285365729999995</v>
      </c>
      <c r="F47" s="292">
        <f t="shared" si="36"/>
        <v>51.801901240000007</v>
      </c>
      <c r="G47" s="292">
        <f t="shared" si="36"/>
        <v>-140.02915426000004</v>
      </c>
      <c r="H47" s="292">
        <f t="shared" si="36"/>
        <v>64.598761719999999</v>
      </c>
      <c r="I47" s="292">
        <f t="shared" si="36"/>
        <v>21.966644070000001</v>
      </c>
      <c r="J47" s="292">
        <f t="shared" si="36"/>
        <v>716.80818040999998</v>
      </c>
      <c r="K47" s="292">
        <f t="shared" si="36"/>
        <v>217.15389880999999</v>
      </c>
      <c r="L47" s="292">
        <f t="shared" si="36"/>
        <v>206.98378269</v>
      </c>
      <c r="M47" s="292">
        <f t="shared" si="36"/>
        <v>-37.597382590000002</v>
      </c>
      <c r="N47" s="292">
        <f t="shared" si="36"/>
        <v>608.36565719000009</v>
      </c>
      <c r="O47" s="292">
        <f t="shared" si="36"/>
        <v>-19.496084910000015</v>
      </c>
      <c r="P47" s="292">
        <f t="shared" si="36"/>
        <v>-1338.44258347</v>
      </c>
      <c r="Q47" s="292">
        <f t="shared" si="36"/>
        <v>1024.4012663599999</v>
      </c>
      <c r="R47" s="292">
        <f t="shared" si="36"/>
        <v>274.82825516999992</v>
      </c>
      <c r="S47" s="292">
        <f t="shared" si="36"/>
        <v>93.552503560000005</v>
      </c>
      <c r="T47" s="292">
        <f t="shared" si="36"/>
        <v>60.950036269999998</v>
      </c>
      <c r="U47" s="292">
        <f t="shared" si="36"/>
        <v>135.62688835999998</v>
      </c>
      <c r="V47" s="292">
        <f t="shared" si="36"/>
        <v>69.529437699999988</v>
      </c>
      <c r="W47" s="292">
        <f t="shared" si="36"/>
        <v>619.07601485999999</v>
      </c>
      <c r="X47" s="292">
        <f t="shared" si="36"/>
        <v>148.24913463000004</v>
      </c>
      <c r="Y47" s="292">
        <f t="shared" si="36"/>
        <v>-207.02689581999999</v>
      </c>
      <c r="Z47" s="292">
        <f t="shared" si="36"/>
        <v>-239.26256529000003</v>
      </c>
      <c r="AA47" s="292">
        <f t="shared" si="36"/>
        <v>-69.079293469999996</v>
      </c>
      <c r="AB47" s="292">
        <f t="shared" si="36"/>
        <v>0</v>
      </c>
      <c r="AC47" s="292">
        <f t="shared" si="36"/>
        <v>0</v>
      </c>
      <c r="AD47" s="292">
        <f t="shared" si="36"/>
        <v>0</v>
      </c>
      <c r="AE47" s="292">
        <f t="shared" si="36"/>
        <v>611.61526079999987</v>
      </c>
    </row>
    <row r="48" spans="2:31" ht="14.1" customHeight="1">
      <c r="B48" s="459" t="str">
        <f>IF(Indice_index!$Z$1=1,"Despesa  primária","Primary Expenditure")</f>
        <v>Despesa  primária</v>
      </c>
      <c r="C48" s="459"/>
      <c r="D48" s="302"/>
      <c r="E48" s="303">
        <f t="shared" ref="E48:AE48" si="37">+E42-E30</f>
        <v>218.63347107000001</v>
      </c>
      <c r="F48" s="303">
        <f t="shared" si="37"/>
        <v>39.279272640000002</v>
      </c>
      <c r="G48" s="303">
        <f t="shared" si="37"/>
        <v>310.18775032000002</v>
      </c>
      <c r="H48" s="303">
        <f t="shared" si="37"/>
        <v>37.71252132</v>
      </c>
      <c r="I48" s="303">
        <f t="shared" si="37"/>
        <v>39.279272640000002</v>
      </c>
      <c r="J48" s="303">
        <f t="shared" si="37"/>
        <v>36.464079120000001</v>
      </c>
      <c r="K48" s="303">
        <f t="shared" si="37"/>
        <v>-7.148978679999999</v>
      </c>
      <c r="L48" s="303">
        <f t="shared" si="37"/>
        <v>37.726021320000001</v>
      </c>
      <c r="M48" s="303">
        <f t="shared" si="37"/>
        <v>37.726021320000001</v>
      </c>
      <c r="N48" s="303">
        <f t="shared" si="37"/>
        <v>37.726021320000029</v>
      </c>
      <c r="O48" s="303">
        <f t="shared" si="37"/>
        <v>37.726021320000015</v>
      </c>
      <c r="P48" s="303">
        <f t="shared" si="37"/>
        <v>1529.8504525800001</v>
      </c>
      <c r="Q48" s="303">
        <f t="shared" si="37"/>
        <v>749.85943107000003</v>
      </c>
      <c r="R48" s="303">
        <f t="shared" si="37"/>
        <v>2355.1619262900003</v>
      </c>
      <c r="S48" s="303">
        <f t="shared" si="37"/>
        <v>52.672456999999994</v>
      </c>
      <c r="T48" s="303">
        <f t="shared" si="37"/>
        <v>55.782456999999994</v>
      </c>
      <c r="U48" s="303">
        <f t="shared" si="37"/>
        <v>54.225708319999995</v>
      </c>
      <c r="V48" s="303">
        <f t="shared" si="37"/>
        <v>54.225708319999995</v>
      </c>
      <c r="W48" s="303">
        <f t="shared" si="37"/>
        <v>54.225708319999995</v>
      </c>
      <c r="X48" s="303">
        <f t="shared" si="37"/>
        <v>54.225708319999995</v>
      </c>
      <c r="Y48" s="303">
        <f t="shared" si="37"/>
        <v>220.93880756999999</v>
      </c>
      <c r="Z48" s="303">
        <f t="shared" si="37"/>
        <v>240.00717358000003</v>
      </c>
      <c r="AA48" s="303">
        <f t="shared" si="37"/>
        <v>71.695139049999995</v>
      </c>
      <c r="AB48" s="303">
        <f t="shared" si="37"/>
        <v>0</v>
      </c>
      <c r="AC48" s="303">
        <f t="shared" si="37"/>
        <v>0</v>
      </c>
      <c r="AD48" s="303">
        <f t="shared" si="37"/>
        <v>0</v>
      </c>
      <c r="AE48" s="303">
        <f t="shared" si="37"/>
        <v>857.99886748000006</v>
      </c>
    </row>
    <row r="49" spans="2:31" ht="1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row>
    <row r="50" spans="2:31" ht="16.350000000000001" customHeight="1">
      <c r="B50" s="460"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61"/>
      <c r="D50" s="461"/>
      <c r="E50" s="461"/>
      <c r="F50" s="461"/>
      <c r="G50" s="461"/>
      <c r="H50" s="461"/>
      <c r="I50" s="461"/>
      <c r="J50" s="461"/>
      <c r="K50" s="461"/>
      <c r="L50" s="461"/>
      <c r="M50" s="461"/>
      <c r="N50" s="461"/>
      <c r="O50" s="461"/>
      <c r="P50" s="461"/>
      <c r="Q50" s="461"/>
      <c r="R50" s="461"/>
      <c r="S50" s="461"/>
      <c r="T50" s="461"/>
      <c r="U50" s="461"/>
      <c r="V50" s="461"/>
      <c r="W50" s="461"/>
      <c r="X50" s="461"/>
      <c r="Y50" s="461"/>
      <c r="Z50" s="461"/>
      <c r="AA50" s="461"/>
      <c r="AB50" s="461"/>
      <c r="AC50" s="461"/>
      <c r="AD50" s="461"/>
      <c r="AE50" s="461"/>
    </row>
    <row r="51" spans="2:31" ht="16.350000000000001" customHeight="1">
      <c r="B51" s="373"/>
      <c r="C51" s="374"/>
      <c r="D51" s="109"/>
      <c r="E51" s="373" t="str">
        <f>IF(Indice_index!$Z$1=1,"2024","2024")</f>
        <v>2024</v>
      </c>
      <c r="F51" s="374" t="s">
        <v>42</v>
      </c>
      <c r="G51" s="374" t="s">
        <v>42</v>
      </c>
      <c r="H51" s="374" t="s">
        <v>42</v>
      </c>
      <c r="I51" s="374" t="s">
        <v>42</v>
      </c>
      <c r="J51" s="374" t="s">
        <v>42</v>
      </c>
      <c r="K51" s="374" t="s">
        <v>42</v>
      </c>
      <c r="L51" s="374" t="s">
        <v>42</v>
      </c>
      <c r="M51" s="374" t="s">
        <v>42</v>
      </c>
      <c r="N51" s="374" t="s">
        <v>42</v>
      </c>
      <c r="O51" s="374" t="s">
        <v>42</v>
      </c>
      <c r="P51" s="374" t="s">
        <v>42</v>
      </c>
      <c r="Q51" s="374"/>
      <c r="R51" s="374" t="s">
        <v>42</v>
      </c>
      <c r="S51" s="373" t="str">
        <f>IF(Indice_index!$Z$1=1,"2025","2025")</f>
        <v>2025</v>
      </c>
      <c r="T51" s="374" t="s">
        <v>42</v>
      </c>
      <c r="U51" s="374" t="s">
        <v>42</v>
      </c>
      <c r="V51" s="374" t="s">
        <v>42</v>
      </c>
      <c r="W51" s="374" t="s">
        <v>42</v>
      </c>
      <c r="X51" s="374" t="s">
        <v>42</v>
      </c>
      <c r="Y51" s="374" t="s">
        <v>42</v>
      </c>
      <c r="Z51" s="374" t="s">
        <v>42</v>
      </c>
      <c r="AA51" s="374" t="s">
        <v>42</v>
      </c>
      <c r="AB51" s="374" t="s">
        <v>42</v>
      </c>
      <c r="AC51" s="374" t="s">
        <v>42</v>
      </c>
      <c r="AD51" s="374" t="s">
        <v>42</v>
      </c>
      <c r="AE51" s="374" t="s">
        <v>42</v>
      </c>
    </row>
    <row r="52" spans="2:31" ht="26.85" customHeight="1">
      <c r="B52" s="373"/>
      <c r="C52" s="374"/>
      <c r="D52" s="109"/>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5">
      <c r="B53" s="455" t="str">
        <f>IF(Indice_index!$Z$1=1,"Subtotal da Administração Central","Central Government subtotal")</f>
        <v>Subtotal da Administração Central</v>
      </c>
      <c r="C53" s="456"/>
      <c r="D53" s="107"/>
      <c r="E53" s="108">
        <f t="shared" ref="E53:AE53" si="38">SUMIF($C54:$C85,"Receita",E54:E85)-SUMIF($C54:$C85,"Despesa",E54:E85)+SUMIF($C54:$C85,"Revenue",E54:E85)-SUMIF($C54:$C85,"Expenditure",E54:E85)</f>
        <v>-77.285365729999967</v>
      </c>
      <c r="F53" s="108">
        <f t="shared" si="38"/>
        <v>51.801901240000007</v>
      </c>
      <c r="G53" s="108">
        <f t="shared" si="38"/>
        <v>-140.02915426000004</v>
      </c>
      <c r="H53" s="108">
        <f t="shared" si="38"/>
        <v>64.598761719999999</v>
      </c>
      <c r="I53" s="108">
        <f t="shared" si="38"/>
        <v>21.966644069999994</v>
      </c>
      <c r="J53" s="108">
        <f t="shared" si="38"/>
        <v>716.80818040999998</v>
      </c>
      <c r="K53" s="108">
        <f t="shared" si="38"/>
        <v>217.15389880999999</v>
      </c>
      <c r="L53" s="108">
        <f t="shared" si="38"/>
        <v>206.98378269</v>
      </c>
      <c r="M53" s="108">
        <f t="shared" si="38"/>
        <v>-37.597382590000002</v>
      </c>
      <c r="N53" s="108">
        <f t="shared" si="38"/>
        <v>608.36565719000009</v>
      </c>
      <c r="O53" s="108">
        <f t="shared" si="38"/>
        <v>-19.496084910000015</v>
      </c>
      <c r="P53" s="108">
        <f t="shared" si="38"/>
        <v>-1338.4425834700003</v>
      </c>
      <c r="Q53" s="108">
        <f t="shared" si="38"/>
        <v>1024.4012663599999</v>
      </c>
      <c r="R53" s="108">
        <f t="shared" si="38"/>
        <v>274.82825517000083</v>
      </c>
      <c r="S53" s="108">
        <f t="shared" si="38"/>
        <v>93.552503560000005</v>
      </c>
      <c r="T53" s="108">
        <f t="shared" si="38"/>
        <v>60.950036269999998</v>
      </c>
      <c r="U53" s="108">
        <f t="shared" si="38"/>
        <v>135.62688835999998</v>
      </c>
      <c r="V53" s="108">
        <f t="shared" si="38"/>
        <v>69.529437699999988</v>
      </c>
      <c r="W53" s="108">
        <f t="shared" si="38"/>
        <v>619.07601485999999</v>
      </c>
      <c r="X53" s="108">
        <f t="shared" si="38"/>
        <v>148.24913463000004</v>
      </c>
      <c r="Y53" s="108">
        <f t="shared" si="38"/>
        <v>-207.02689581999999</v>
      </c>
      <c r="Z53" s="108">
        <f t="shared" si="38"/>
        <v>-239.26256528999997</v>
      </c>
      <c r="AA53" s="108">
        <f t="shared" si="38"/>
        <v>-69.079293469999996</v>
      </c>
      <c r="AB53" s="108">
        <f t="shared" si="38"/>
        <v>0</v>
      </c>
      <c r="AC53" s="108">
        <f t="shared" si="38"/>
        <v>0</v>
      </c>
      <c r="AD53" s="108">
        <f t="shared" si="38"/>
        <v>0</v>
      </c>
      <c r="AE53" s="108">
        <f t="shared" si="38"/>
        <v>611.61526080000021</v>
      </c>
    </row>
    <row r="54" spans="2:31" ht="13.5" customHeight="1">
      <c r="B54" s="142"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3" t="str">
        <f>IF(Indice_index!$Z$1=1,"Receita","Revenue")</f>
        <v>Receita</v>
      </c>
      <c r="D54" s="102" t="s">
        <v>17</v>
      </c>
      <c r="E54" s="282"/>
      <c r="F54" s="282"/>
      <c r="G54" s="283"/>
      <c r="H54" s="283"/>
      <c r="I54" s="283"/>
      <c r="J54" s="283"/>
      <c r="K54" s="283"/>
      <c r="L54" s="283"/>
      <c r="M54" s="283"/>
      <c r="N54" s="283">
        <v>586.00862285000005</v>
      </c>
      <c r="O54" s="283"/>
      <c r="P54" s="283"/>
      <c r="Q54" s="283">
        <f>SUM(E54:M54)</f>
        <v>0</v>
      </c>
      <c r="R54" s="283">
        <f>SUM(E54:P54)</f>
        <v>586.00862285000005</v>
      </c>
      <c r="S54" s="282"/>
      <c r="T54" s="282"/>
      <c r="U54" s="283"/>
      <c r="V54" s="283"/>
      <c r="W54" s="283"/>
      <c r="X54" s="283"/>
      <c r="Y54" s="283"/>
      <c r="Z54" s="283"/>
      <c r="AA54" s="283"/>
      <c r="AB54" s="283"/>
      <c r="AC54" s="283"/>
      <c r="AD54" s="283"/>
      <c r="AE54" s="283">
        <f>SUM(S54:AD54)</f>
        <v>0</v>
      </c>
    </row>
    <row r="55" spans="2:31" ht="14.1" customHeight="1">
      <c r="B55" s="142"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3" t="str">
        <f>IF(Indice_index!$Z$1=1,"Receita","Revenue")</f>
        <v>Receita</v>
      </c>
      <c r="D55" s="102" t="s">
        <v>17</v>
      </c>
      <c r="E55" s="282"/>
      <c r="F55" s="282"/>
      <c r="G55" s="283">
        <v>0.36648025000000001</v>
      </c>
      <c r="H55" s="283"/>
      <c r="I55" s="283">
        <v>0.99428638999999996</v>
      </c>
      <c r="J55" s="283">
        <v>187.57081162</v>
      </c>
      <c r="K55" s="283">
        <v>6.7777370000000003E-2</v>
      </c>
      <c r="L55" s="283">
        <v>-0.62938136</v>
      </c>
      <c r="M55" s="283"/>
      <c r="N55" s="283"/>
      <c r="O55" s="283"/>
      <c r="P55" s="283"/>
      <c r="Q55" s="283">
        <f t="shared" ref="Q55:Q73" si="39">SUM(E55:M55)</f>
        <v>188.36997427</v>
      </c>
      <c r="R55" s="283">
        <f t="shared" ref="R55" si="40">SUM(E55:P55)</f>
        <v>188.36997427</v>
      </c>
      <c r="S55" s="282"/>
      <c r="T55" s="282"/>
      <c r="U55" s="283"/>
      <c r="V55" s="283">
        <v>0.42140464999999999</v>
      </c>
      <c r="W55" s="283">
        <v>-6.8736619999999998E-2</v>
      </c>
      <c r="X55" s="283">
        <v>191.64427022000001</v>
      </c>
      <c r="Y55" s="283">
        <v>1.2702470299999999</v>
      </c>
      <c r="Z55" s="283"/>
      <c r="AA55" s="283"/>
      <c r="AB55" s="283"/>
      <c r="AC55" s="283"/>
      <c r="AD55" s="283"/>
      <c r="AE55" s="283">
        <f>SUM(S55:AD55)</f>
        <v>193.26718528000001</v>
      </c>
    </row>
    <row r="56" spans="2:31" ht="14.1" customHeight="1">
      <c r="B56" s="142"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3" t="str">
        <f>IF(Indice_index!$Z$1=1,"Receita","Revenue")</f>
        <v>Receita</v>
      </c>
      <c r="D56" s="102" t="s">
        <v>17</v>
      </c>
      <c r="E56" s="282">
        <v>0.52537933000000003</v>
      </c>
      <c r="F56" s="282">
        <v>-0.34765652000000002</v>
      </c>
      <c r="G56" s="283"/>
      <c r="H56" s="283">
        <v>-0.43179037999999997</v>
      </c>
      <c r="I56" s="283">
        <v>0.29464562</v>
      </c>
      <c r="J56" s="283">
        <v>0.84749121000000005</v>
      </c>
      <c r="K56" s="283">
        <v>0.19559972</v>
      </c>
      <c r="L56" s="283"/>
      <c r="M56" s="283">
        <v>6.0301979999999998E-2</v>
      </c>
      <c r="N56" s="283">
        <v>50.387072009999997</v>
      </c>
      <c r="O56" s="283">
        <v>4.1099700000000001E-3</v>
      </c>
      <c r="P56" s="283">
        <v>2.1154341900000002</v>
      </c>
      <c r="Q56" s="283">
        <f t="shared" si="39"/>
        <v>1.1439709600000001</v>
      </c>
      <c r="R56" s="283">
        <f t="shared" ref="R56:R69" si="41">SUM(E56:P56)</f>
        <v>53.650587129999998</v>
      </c>
      <c r="S56" s="282">
        <v>-0.86642496999999996</v>
      </c>
      <c r="T56" s="282">
        <v>2.5368550700000001</v>
      </c>
      <c r="U56" s="283">
        <v>-0.31989685000000001</v>
      </c>
      <c r="V56" s="283"/>
      <c r="W56" s="283">
        <v>1.67776741</v>
      </c>
      <c r="X56" s="283">
        <v>0.58460486</v>
      </c>
      <c r="Y56" s="283">
        <v>0.50934849000000004</v>
      </c>
      <c r="Z56" s="311">
        <v>4.6878240000000002E-2</v>
      </c>
      <c r="AA56" s="283">
        <v>-0.56175754</v>
      </c>
      <c r="AB56" s="283"/>
      <c r="AC56" s="283"/>
      <c r="AD56" s="283"/>
      <c r="AE56" s="283">
        <f t="shared" ref="AE56:AE84" si="42">SUM(S56:AD56)</f>
        <v>3.6073747099999998</v>
      </c>
    </row>
    <row r="57" spans="2:31" ht="13.5" customHeight="1">
      <c r="B57" s="142"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3" t="str">
        <f>IF(Indice_index!$Z$1=1,"Receita","Revenue")</f>
        <v>Receita</v>
      </c>
      <c r="D57" s="102" t="s">
        <v>18</v>
      </c>
      <c r="E57" s="282">
        <v>81.950739540000001</v>
      </c>
      <c r="F57" s="282">
        <v>91.373872520000006</v>
      </c>
      <c r="G57" s="283">
        <v>85.428676830000001</v>
      </c>
      <c r="H57" s="283">
        <v>92.073773360000004</v>
      </c>
      <c r="I57" s="283">
        <v>59.172937750000003</v>
      </c>
      <c r="J57" s="283"/>
      <c r="K57" s="283"/>
      <c r="L57" s="283"/>
      <c r="M57" s="283"/>
      <c r="N57" s="283"/>
      <c r="O57" s="283"/>
      <c r="P57" s="283"/>
      <c r="Q57" s="283">
        <f t="shared" si="39"/>
        <v>410.00000000000006</v>
      </c>
      <c r="R57" s="283">
        <f t="shared" si="41"/>
        <v>410.00000000000006</v>
      </c>
      <c r="S57" s="282">
        <v>133.87176317999999</v>
      </c>
      <c r="T57" s="282">
        <v>114.25650141</v>
      </c>
      <c r="U57" s="283">
        <v>93.476025329999999</v>
      </c>
      <c r="V57" s="283">
        <v>68.395710080000001</v>
      </c>
      <c r="W57" s="283"/>
      <c r="X57" s="283"/>
      <c r="Y57" s="283"/>
      <c r="Z57" s="311"/>
      <c r="AA57" s="283"/>
      <c r="AB57" s="283"/>
      <c r="AC57" s="283"/>
      <c r="AD57" s="283"/>
      <c r="AE57" s="283">
        <f t="shared" si="42"/>
        <v>410</v>
      </c>
    </row>
    <row r="58" spans="2:31" ht="14.1" customHeight="1">
      <c r="B58" s="142"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3" t="str">
        <f>IF(Indice_index!$Z$1=1,"Receita","Revenue")</f>
        <v>Receita</v>
      </c>
      <c r="D58" s="102" t="s">
        <v>18</v>
      </c>
      <c r="E58" s="282">
        <v>4.6606744000000004</v>
      </c>
      <c r="F58" s="282">
        <v>4.0420379999999999E-2</v>
      </c>
      <c r="G58" s="283">
        <v>-1.0407599999999999E-3</v>
      </c>
      <c r="H58" s="283">
        <v>4.0900768100000002</v>
      </c>
      <c r="I58" s="283">
        <v>0.56733213999999998</v>
      </c>
      <c r="J58" s="283"/>
      <c r="K58" s="283">
        <v>5.1925220799999998</v>
      </c>
      <c r="L58" s="283">
        <v>2.4941660000000001E-2</v>
      </c>
      <c r="M58" s="283"/>
      <c r="N58" s="283">
        <v>5.6267422299999996</v>
      </c>
      <c r="O58" s="283">
        <v>9.9176899999999998E-2</v>
      </c>
      <c r="P58" s="283">
        <v>-1.0826779999999999E-2</v>
      </c>
      <c r="Q58" s="283">
        <f t="shared" si="39"/>
        <v>14.574926709999998</v>
      </c>
      <c r="R58" s="283">
        <f t="shared" si="41"/>
        <v>20.290019059999999</v>
      </c>
      <c r="S58" s="282">
        <v>6.3612598</v>
      </c>
      <c r="T58" s="282">
        <v>-0.13515537</v>
      </c>
      <c r="U58" s="283">
        <v>7.9672400000000004E-3</v>
      </c>
      <c r="V58" s="283">
        <v>5.2373260500000001</v>
      </c>
      <c r="W58" s="283">
        <v>6.9019120000000003E-2</v>
      </c>
      <c r="X58" s="283">
        <v>0.30146376000000003</v>
      </c>
      <c r="Y58" s="283">
        <v>6.6381707099999998</v>
      </c>
      <c r="Z58" s="311">
        <v>2.9151050000000001E-2</v>
      </c>
      <c r="AA58" s="283"/>
      <c r="AB58" s="283"/>
      <c r="AC58" s="283"/>
      <c r="AD58" s="283"/>
      <c r="AE58" s="283">
        <f t="shared" si="42"/>
        <v>18.50920236</v>
      </c>
    </row>
    <row r="59" spans="2:31" ht="14.1" customHeight="1">
      <c r="B59" s="142"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3" t="str">
        <f>IF(Indice_index!$Z$1=1,"Receita","Revenue")</f>
        <v>Receita</v>
      </c>
      <c r="D59" s="102" t="s">
        <v>18</v>
      </c>
      <c r="E59" s="282">
        <v>5.2071340700000004</v>
      </c>
      <c r="F59" s="282">
        <v>1.45375E-2</v>
      </c>
      <c r="G59" s="283">
        <v>6.6401409999999994E-2</v>
      </c>
      <c r="H59" s="283">
        <v>3.6542232499999998</v>
      </c>
      <c r="I59" s="283">
        <v>0.21671481000000001</v>
      </c>
      <c r="J59" s="283">
        <v>1.157509E-2</v>
      </c>
      <c r="K59" s="283">
        <v>4.54902096</v>
      </c>
      <c r="L59" s="283">
        <v>1.3577580000000001E-2</v>
      </c>
      <c r="M59" s="283">
        <v>6.8336750000000002E-2</v>
      </c>
      <c r="N59" s="283">
        <v>4.06924142</v>
      </c>
      <c r="O59" s="283">
        <v>-4.9993309999999999E-2</v>
      </c>
      <c r="P59" s="283"/>
      <c r="Q59" s="283">
        <f t="shared" si="39"/>
        <v>13.801521419999998</v>
      </c>
      <c r="R59" s="283">
        <f t="shared" si="41"/>
        <v>17.820769529999996</v>
      </c>
      <c r="S59" s="282">
        <v>6.0022168499999999</v>
      </c>
      <c r="T59" s="282">
        <v>7.4292159999999996E-2</v>
      </c>
      <c r="U59" s="283">
        <v>5.9208400000000001E-3</v>
      </c>
      <c r="V59" s="283">
        <v>5.0479146500000001</v>
      </c>
      <c r="W59" s="283">
        <v>0.12367327</v>
      </c>
      <c r="X59" s="283">
        <v>-0.20282765</v>
      </c>
      <c r="Y59" s="283">
        <v>5.49414552</v>
      </c>
      <c r="Z59" s="311">
        <v>0.66857900000000003</v>
      </c>
      <c r="AA59" s="283">
        <v>1.3500919199999999</v>
      </c>
      <c r="AB59" s="283"/>
      <c r="AC59" s="283"/>
      <c r="AD59" s="283"/>
      <c r="AE59" s="283">
        <f t="shared" si="42"/>
        <v>18.564006559999999</v>
      </c>
    </row>
    <row r="60" spans="2:31" ht="14.1" hidden="1" customHeight="1">
      <c r="B60" s="142"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3" t="str">
        <f>IF(Indice_index!$Z$1=1,"Receita","Revenue")</f>
        <v>Receita</v>
      </c>
      <c r="D60" s="102" t="s">
        <v>18</v>
      </c>
      <c r="E60" s="282"/>
      <c r="F60" s="282"/>
      <c r="G60" s="283"/>
      <c r="H60" s="283"/>
      <c r="I60" s="283"/>
      <c r="J60" s="283"/>
      <c r="K60" s="283"/>
      <c r="L60" s="283"/>
      <c r="M60" s="283"/>
      <c r="N60" s="283"/>
      <c r="O60" s="283"/>
      <c r="P60" s="283"/>
      <c r="Q60" s="283">
        <f t="shared" si="39"/>
        <v>0</v>
      </c>
      <c r="R60" s="283">
        <f t="shared" si="41"/>
        <v>0</v>
      </c>
      <c r="S60" s="282"/>
      <c r="T60" s="282"/>
      <c r="U60" s="283"/>
      <c r="V60" s="283"/>
      <c r="W60" s="283"/>
      <c r="X60" s="283"/>
      <c r="Y60" s="283"/>
      <c r="Z60" s="283"/>
      <c r="AA60" s="283"/>
      <c r="AB60" s="283"/>
      <c r="AC60" s="283"/>
      <c r="AD60" s="283"/>
      <c r="AE60" s="283">
        <f t="shared" si="42"/>
        <v>0</v>
      </c>
    </row>
    <row r="61" spans="2:31" ht="14.1" hidden="1" customHeight="1">
      <c r="B61" s="142"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3" t="str">
        <f>IF(Indice_index!$Z$1=1,"Receita","Revenue")</f>
        <v>Receita</v>
      </c>
      <c r="D61" s="102" t="s">
        <v>23</v>
      </c>
      <c r="E61" s="282"/>
      <c r="F61" s="282"/>
      <c r="G61" s="283"/>
      <c r="H61" s="283"/>
      <c r="I61" s="283"/>
      <c r="J61" s="283"/>
      <c r="K61" s="283"/>
      <c r="L61" s="283"/>
      <c r="M61" s="283"/>
      <c r="N61" s="283"/>
      <c r="O61" s="283"/>
      <c r="P61" s="283"/>
      <c r="Q61" s="283">
        <f t="shared" si="39"/>
        <v>0</v>
      </c>
      <c r="R61" s="283">
        <f t="shared" si="41"/>
        <v>0</v>
      </c>
      <c r="S61" s="282"/>
      <c r="T61" s="282"/>
      <c r="U61" s="283"/>
      <c r="V61" s="283"/>
      <c r="W61" s="283"/>
      <c r="X61" s="283"/>
      <c r="Y61" s="283"/>
      <c r="Z61" s="283"/>
      <c r="AA61" s="283"/>
      <c r="AB61" s="283"/>
      <c r="AC61" s="283"/>
      <c r="AD61" s="283"/>
      <c r="AE61" s="283">
        <f t="shared" si="42"/>
        <v>0</v>
      </c>
    </row>
    <row r="62" spans="2:31" ht="14.1" customHeight="1">
      <c r="B62" s="142" t="str">
        <f>IF(Indice_index!$Z$1=1,"Leilão no âmbito da 5.ª Geração de comunicações móveis (5G)"," Sale of the 5th generation mobile frequency use rights (5G)")</f>
        <v>Leilão no âmbito da 5.ª Geração de comunicações móveis (5G)</v>
      </c>
      <c r="C62" s="143" t="str">
        <f>IF(Indice_index!$Z$1=1,"Receita","Revenue")</f>
        <v>Receita</v>
      </c>
      <c r="D62" s="102" t="s">
        <v>23</v>
      </c>
      <c r="E62" s="282"/>
      <c r="F62" s="282"/>
      <c r="G62" s="283"/>
      <c r="H62" s="283"/>
      <c r="I62" s="283"/>
      <c r="J62" s="283"/>
      <c r="K62" s="283"/>
      <c r="L62" s="283"/>
      <c r="M62" s="283"/>
      <c r="N62" s="283"/>
      <c r="O62" s="283">
        <v>18.17664285</v>
      </c>
      <c r="P62" s="283"/>
      <c r="Q62" s="283">
        <f t="shared" si="39"/>
        <v>0</v>
      </c>
      <c r="R62" s="283">
        <f t="shared" si="41"/>
        <v>18.17664285</v>
      </c>
      <c r="S62" s="282"/>
      <c r="T62" s="282"/>
      <c r="U62" s="283"/>
      <c r="V62" s="283"/>
      <c r="W62" s="283"/>
      <c r="X62" s="283"/>
      <c r="Y62" s="283"/>
      <c r="Z62" s="283"/>
      <c r="AA62" s="283"/>
      <c r="AB62" s="283"/>
      <c r="AC62" s="283"/>
      <c r="AD62" s="283"/>
      <c r="AE62" s="283">
        <f t="shared" si="42"/>
        <v>0</v>
      </c>
    </row>
    <row r="63" spans="2:31" ht="14.1" hidden="1" customHeight="1">
      <c r="B63" s="309" t="str">
        <f>IF(Indice_index!$Z$1=1,"Dividendos do Banco de Portugal","Dividends from the Bank of Portugal")</f>
        <v>Dividendos do Banco de Portugal</v>
      </c>
      <c r="C63" s="143" t="str">
        <f>IF(Indice_index!$Z$1=1,"Receita","Revenue")</f>
        <v>Receita</v>
      </c>
      <c r="D63" s="102" t="s">
        <v>23</v>
      </c>
      <c r="E63" s="282"/>
      <c r="F63" s="282"/>
      <c r="G63" s="283"/>
      <c r="H63" s="283"/>
      <c r="I63" s="283"/>
      <c r="J63" s="283"/>
      <c r="K63" s="283"/>
      <c r="L63" s="283"/>
      <c r="M63" s="283"/>
      <c r="N63" s="283"/>
      <c r="O63" s="283"/>
      <c r="P63" s="283"/>
      <c r="Q63" s="283">
        <f t="shared" si="39"/>
        <v>0</v>
      </c>
      <c r="R63" s="283">
        <f t="shared" ref="R63" si="43">SUM(E63:P63)</f>
        <v>0</v>
      </c>
      <c r="S63" s="282"/>
      <c r="T63" s="282"/>
      <c r="U63" s="283"/>
      <c r="V63" s="283"/>
      <c r="W63" s="283"/>
      <c r="X63" s="283"/>
      <c r="Y63" s="283"/>
      <c r="Z63" s="283"/>
      <c r="AA63" s="283"/>
      <c r="AB63" s="283"/>
      <c r="AC63" s="283"/>
      <c r="AD63" s="283"/>
      <c r="AE63" s="283">
        <f t="shared" ref="AE63" si="44">SUM(S63:AD63)</f>
        <v>0</v>
      </c>
    </row>
    <row r="64" spans="2:31" ht="14.1" customHeight="1">
      <c r="B64" s="309" t="str">
        <f>IF(Indice_index!$Z$1=1,"Dividendos do Novo Banco","Dividends from the Novo Banco")</f>
        <v>Dividendos do Novo Banco</v>
      </c>
      <c r="C64" s="143" t="str">
        <f>IF(Indice_index!$Z$1=1,"Receita","Revenue")</f>
        <v>Receita</v>
      </c>
      <c r="D64" s="102" t="s">
        <v>23</v>
      </c>
      <c r="E64" s="282"/>
      <c r="F64" s="282"/>
      <c r="G64" s="283"/>
      <c r="H64" s="283"/>
      <c r="I64" s="283"/>
      <c r="J64" s="283"/>
      <c r="K64" s="283"/>
      <c r="L64" s="283"/>
      <c r="M64" s="283"/>
      <c r="N64" s="283"/>
      <c r="O64" s="283"/>
      <c r="P64" s="283"/>
      <c r="Q64" s="283">
        <f t="shared" si="39"/>
        <v>0</v>
      </c>
      <c r="R64" s="283">
        <f t="shared" si="41"/>
        <v>0</v>
      </c>
      <c r="S64" s="282"/>
      <c r="T64" s="282"/>
      <c r="U64" s="283"/>
      <c r="V64" s="283">
        <f>20.33231963+24.32047096</f>
        <v>44.652790590000002</v>
      </c>
      <c r="W64" s="283"/>
      <c r="X64" s="283"/>
      <c r="Y64" s="283"/>
      <c r="Z64" s="283"/>
      <c r="AA64" s="283"/>
      <c r="AB64" s="283"/>
      <c r="AC64" s="283"/>
      <c r="AD64" s="283"/>
      <c r="AE64" s="283">
        <f t="shared" si="42"/>
        <v>44.652790590000002</v>
      </c>
    </row>
    <row r="65" spans="2:31" ht="14.1" customHeight="1">
      <c r="B65" s="309" t="str">
        <f>IF(Indice_index!$Z$1=1,"Dividendos da Caixa Geral de Depósitos","Dividends from the public bank Caixa Geral de Depósitos")</f>
        <v>Dividendos da Caixa Geral de Depósitos</v>
      </c>
      <c r="C65" s="143" t="str">
        <f>IF(Indice_index!$Z$1=1,"Receita","Revenue")</f>
        <v>Receita</v>
      </c>
      <c r="D65" s="102" t="s">
        <v>23</v>
      </c>
      <c r="E65" s="282"/>
      <c r="F65" s="282"/>
      <c r="G65" s="283"/>
      <c r="H65" s="283"/>
      <c r="I65" s="283"/>
      <c r="J65" s="283">
        <v>414.53429524000001</v>
      </c>
      <c r="K65" s="283"/>
      <c r="L65" s="283">
        <v>237</v>
      </c>
      <c r="M65" s="283"/>
      <c r="N65" s="283"/>
      <c r="O65" s="283"/>
      <c r="P65" s="283"/>
      <c r="Q65" s="283">
        <f t="shared" si="39"/>
        <v>651.53429524000001</v>
      </c>
      <c r="R65" s="283">
        <f t="shared" si="41"/>
        <v>651.53429524000001</v>
      </c>
      <c r="S65" s="282"/>
      <c r="T65" s="282"/>
      <c r="V65" s="283"/>
      <c r="W65" s="283">
        <v>671.5</v>
      </c>
      <c r="X65" s="283"/>
      <c r="Y65" s="283"/>
      <c r="Z65" s="283"/>
      <c r="AA65" s="283"/>
      <c r="AB65" s="283"/>
      <c r="AC65" s="283"/>
      <c r="AD65" s="283"/>
      <c r="AE65" s="283">
        <f t="shared" si="42"/>
        <v>671.5</v>
      </c>
    </row>
    <row r="66" spans="2:31" ht="24.6" customHeight="1">
      <c r="B66" s="142"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6" s="143" t="str">
        <f>IF(Indice_index!$Z$1=1,"Receita","Revenue")</f>
        <v>Receita</v>
      </c>
      <c r="D66" s="102" t="s">
        <v>23</v>
      </c>
      <c r="E66" s="282">
        <v>49.004178000000003</v>
      </c>
      <c r="F66" s="282"/>
      <c r="G66" s="283">
        <v>84.298078329999996</v>
      </c>
      <c r="H66" s="283"/>
      <c r="I66" s="283"/>
      <c r="J66" s="283">
        <v>15.679863320000001</v>
      </c>
      <c r="K66" s="283"/>
      <c r="L66" s="283"/>
      <c r="M66" s="283"/>
      <c r="N66" s="283"/>
      <c r="O66" s="283"/>
      <c r="P66" s="283"/>
      <c r="Q66" s="283">
        <f t="shared" si="39"/>
        <v>148.98211965000002</v>
      </c>
      <c r="R66" s="283">
        <f t="shared" si="41"/>
        <v>148.98211965000002</v>
      </c>
      <c r="S66" s="282"/>
      <c r="T66" s="282"/>
      <c r="U66" s="283">
        <v>96.682580119999997</v>
      </c>
      <c r="V66" s="283"/>
      <c r="W66" s="283"/>
      <c r="X66" s="283">
        <v>10.14733176</v>
      </c>
      <c r="Y66" s="283"/>
      <c r="Z66" s="283"/>
      <c r="AA66" s="283"/>
      <c r="AB66" s="283"/>
      <c r="AC66" s="283"/>
      <c r="AD66" s="283"/>
      <c r="AE66" s="283">
        <f t="shared" si="42"/>
        <v>106.82991188</v>
      </c>
    </row>
    <row r="67" spans="2:31" ht="14.1" customHeight="1">
      <c r="B67" s="142"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7" s="143" t="str">
        <f>IF(Indice_index!$Z$1=1,"Receita","Revenue")</f>
        <v>Receita</v>
      </c>
      <c r="D67" s="102" t="s">
        <v>23</v>
      </c>
      <c r="E67" s="282"/>
      <c r="F67" s="282"/>
      <c r="G67" s="283"/>
      <c r="H67" s="283"/>
      <c r="I67" s="283"/>
      <c r="J67" s="283"/>
      <c r="K67" s="283">
        <v>200</v>
      </c>
      <c r="L67" s="283">
        <v>8.3006661299999998</v>
      </c>
      <c r="M67" s="283"/>
      <c r="N67" s="283"/>
      <c r="O67" s="283"/>
      <c r="P67" s="283"/>
      <c r="Q67" s="283">
        <f t="shared" si="39"/>
        <v>208.30066613</v>
      </c>
      <c r="R67" s="283">
        <f t="shared" ref="R67" si="45">SUM(E67:P67)</f>
        <v>208.30066613</v>
      </c>
      <c r="S67" s="282"/>
      <c r="T67" s="282"/>
      <c r="U67" s="283"/>
      <c r="V67" s="283"/>
      <c r="W67" s="283"/>
      <c r="X67" s="283"/>
      <c r="Y67" s="283"/>
      <c r="Z67" s="283"/>
      <c r="AA67" s="283"/>
      <c r="AB67" s="283"/>
      <c r="AC67" s="283"/>
      <c r="AD67" s="283"/>
      <c r="AE67" s="283">
        <f t="shared" ref="AE67" si="46">SUM(S67:AD67)</f>
        <v>0</v>
      </c>
    </row>
    <row r="68" spans="2:31" ht="14.1" hidden="1" customHeight="1">
      <c r="B68" s="142" t="str">
        <f>IF(Indice_index!$Z$1=1,"Devolução ao Estado pela CGA do saldo da gerência de 2021 de receitas de impostos","Return to the State by CGA of the 2021 management balance of tax revenues")</f>
        <v>Devolução ao Estado pela CGA do saldo da gerência de 2021 de receitas de impostos</v>
      </c>
      <c r="C68" s="143" t="str">
        <f>IF(Indice_index!$Z$1=1,"Receita","Revenue")</f>
        <v>Receita</v>
      </c>
      <c r="D68" s="102" t="s">
        <v>23</v>
      </c>
      <c r="E68" s="282"/>
      <c r="F68" s="282"/>
      <c r="G68" s="283"/>
      <c r="H68" s="283"/>
      <c r="I68" s="283"/>
      <c r="J68" s="283"/>
      <c r="K68" s="283"/>
      <c r="L68" s="283"/>
      <c r="M68" s="283"/>
      <c r="N68" s="283"/>
      <c r="O68" s="283"/>
      <c r="P68" s="283"/>
      <c r="Q68" s="283">
        <f t="shared" si="39"/>
        <v>0</v>
      </c>
      <c r="R68" s="283">
        <f t="shared" si="41"/>
        <v>0</v>
      </c>
      <c r="S68" s="282"/>
      <c r="T68" s="282"/>
      <c r="U68" s="283"/>
      <c r="V68" s="283"/>
      <c r="W68" s="283"/>
      <c r="X68" s="283"/>
      <c r="Y68" s="283"/>
      <c r="Z68" s="283"/>
      <c r="AA68" s="283"/>
      <c r="AB68" s="283"/>
      <c r="AC68" s="283"/>
      <c r="AD68" s="283"/>
      <c r="AE68" s="283">
        <f t="shared" si="42"/>
        <v>0</v>
      </c>
    </row>
    <row r="69" spans="2:31" ht="13.5" customHeight="1">
      <c r="B69" s="142" t="str">
        <f>IF(Indice_index!$Z$1=1,"Princípio da onerosidade, receita relativa a rendas de anos anteriores","Principle of onerosity, revenue relating to rents from previous years")</f>
        <v>Princípio da onerosidade, receita relativa a rendas de anos anteriores</v>
      </c>
      <c r="C69" s="143" t="str">
        <f>IF(Indice_index!$Z$1=1,"Receita","Revenue")</f>
        <v>Receita</v>
      </c>
      <c r="D69" s="102" t="s">
        <v>23</v>
      </c>
      <c r="E69" s="282"/>
      <c r="F69" s="282"/>
      <c r="G69" s="283"/>
      <c r="H69" s="283"/>
      <c r="I69" s="283"/>
      <c r="J69" s="283"/>
      <c r="K69" s="283"/>
      <c r="L69" s="283"/>
      <c r="M69" s="283"/>
      <c r="N69" s="283"/>
      <c r="O69" s="283"/>
      <c r="P69" s="283">
        <v>189.30326170000001</v>
      </c>
      <c r="Q69" s="283">
        <f t="shared" si="39"/>
        <v>0</v>
      </c>
      <c r="R69" s="283">
        <f t="shared" si="41"/>
        <v>189.30326170000001</v>
      </c>
      <c r="S69" s="282">
        <v>0.85614570000000001</v>
      </c>
      <c r="T69" s="282"/>
      <c r="U69" s="283"/>
      <c r="V69" s="283"/>
      <c r="W69" s="283"/>
      <c r="X69" s="283"/>
      <c r="Y69" s="283"/>
      <c r="Z69" s="283"/>
      <c r="AA69" s="283">
        <v>1.8275112</v>
      </c>
      <c r="AB69" s="283"/>
      <c r="AC69" s="283"/>
      <c r="AD69" s="283"/>
      <c r="AE69" s="283">
        <f t="shared" si="42"/>
        <v>2.6836568999999999</v>
      </c>
    </row>
    <row r="70" spans="2:31" ht="14.1" customHeight="1">
      <c r="B70" s="142" t="str">
        <f>IF(Indice_index!$Z$1=1,"Alienação de aeronaves à República da Roménia","Aircraft sales to the Republic of Romenia")</f>
        <v>Alienação de aeronaves à República da Roménia</v>
      </c>
      <c r="C70" s="143" t="str">
        <f>IF(Indice_index!$Z$1=1,"Receita","Revenue")</f>
        <v>Receita</v>
      </c>
      <c r="D70" s="102" t="s">
        <v>24</v>
      </c>
      <c r="E70" s="282"/>
      <c r="F70" s="282"/>
      <c r="G70" s="283"/>
      <c r="H70" s="283">
        <v>2.9249999999999998</v>
      </c>
      <c r="I70" s="283"/>
      <c r="J70" s="283"/>
      <c r="K70" s="283"/>
      <c r="L70" s="283"/>
      <c r="M70" s="283"/>
      <c r="N70" s="283"/>
      <c r="O70" s="283"/>
      <c r="P70" s="283"/>
      <c r="Q70" s="283">
        <f t="shared" si="39"/>
        <v>2.9249999999999998</v>
      </c>
      <c r="R70" s="283">
        <f>SUM(E70:P70)</f>
        <v>2.9249999999999998</v>
      </c>
      <c r="S70" s="282"/>
      <c r="T70" s="282"/>
      <c r="U70" s="283"/>
      <c r="V70" s="283"/>
      <c r="W70" s="283"/>
      <c r="X70" s="283"/>
      <c r="Y70" s="283"/>
      <c r="Z70" s="283"/>
      <c r="AA70" s="283"/>
      <c r="AB70" s="283"/>
      <c r="AC70" s="283"/>
      <c r="AD70" s="283"/>
      <c r="AE70" s="283">
        <f>SUM(S70:AD70)</f>
        <v>0</v>
      </c>
    </row>
    <row r="71" spans="2:31" ht="14.1" hidden="1" customHeight="1">
      <c r="B71" s="142"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1" s="102" t="str">
        <f>IF(Indice_index!$Z$1=1,"Receita","Revenue")</f>
        <v>Receita</v>
      </c>
      <c r="D71" s="102" t="s">
        <v>27</v>
      </c>
      <c r="E71" s="282"/>
      <c r="F71" s="282"/>
      <c r="G71" s="283"/>
      <c r="H71" s="283"/>
      <c r="I71" s="283"/>
      <c r="J71" s="283"/>
      <c r="K71" s="283"/>
      <c r="L71" s="283"/>
      <c r="M71" s="283"/>
      <c r="N71" s="283"/>
      <c r="O71" s="283"/>
      <c r="P71" s="283"/>
      <c r="Q71" s="283">
        <f t="shared" si="39"/>
        <v>0</v>
      </c>
      <c r="R71" s="283">
        <f>SUM(E71:P71)</f>
        <v>0</v>
      </c>
      <c r="S71" s="282"/>
      <c r="T71" s="284"/>
      <c r="U71" s="284"/>
      <c r="V71" s="285"/>
      <c r="W71" s="285"/>
      <c r="X71" s="285"/>
      <c r="Y71" s="285"/>
      <c r="Z71" s="285"/>
      <c r="AA71" s="285"/>
      <c r="AB71" s="285"/>
      <c r="AC71" s="285"/>
      <c r="AD71" s="285"/>
      <c r="AE71" s="285">
        <f>SUM(S71:AD71)</f>
        <v>0</v>
      </c>
    </row>
    <row r="72" spans="2:31" ht="14.1" customHeight="1">
      <c r="B72" s="142" t="str">
        <f>IF(Indice_index!$Z$1=1,"Direito postestativo de aquisição de direito de conversão em ações - Novo Banco, S.A.","Potestative right to acquire the right to convert into shares - Novo Banco, S.A.")</f>
        <v>Direito postestativo de aquisição de direito de conversão em ações - Novo Banco, S.A.</v>
      </c>
      <c r="C72" s="143" t="str">
        <f>IF(Indice_index!$Z$1=1,"Receita","Revenue")</f>
        <v>Receita</v>
      </c>
      <c r="D72" s="102" t="s">
        <v>28</v>
      </c>
      <c r="E72" s="282"/>
      <c r="F72" s="282"/>
      <c r="G72" s="283"/>
      <c r="H72" s="283"/>
      <c r="I72" s="283"/>
      <c r="J72" s="283">
        <v>128.67271739</v>
      </c>
      <c r="K72" s="283"/>
      <c r="L72" s="283"/>
      <c r="M72" s="283"/>
      <c r="N72" s="283"/>
      <c r="O72" s="283"/>
      <c r="P72" s="283"/>
      <c r="Q72" s="283">
        <f t="shared" si="39"/>
        <v>128.67271739</v>
      </c>
      <c r="R72" s="283">
        <f>SUM(E72:P72)</f>
        <v>128.67271739</v>
      </c>
      <c r="S72" s="282"/>
      <c r="T72" s="282"/>
      <c r="U72" s="283"/>
      <c r="V72" s="283"/>
      <c r="W72" s="283"/>
      <c r="X72" s="283"/>
      <c r="Y72" s="283"/>
      <c r="Z72" s="283"/>
      <c r="AA72" s="283"/>
      <c r="AB72" s="283"/>
      <c r="AC72" s="283"/>
      <c r="AD72" s="283"/>
      <c r="AE72" s="283">
        <f>SUM(S72:AD72)</f>
        <v>0</v>
      </c>
    </row>
    <row r="73" spans="2:31" ht="14.1" customHeight="1">
      <c r="B73" s="310" t="str">
        <f>IF(Indice_index!$Z$1=1,"Direito postestativo de aquisição de direito de conversão em ações - Haitong Bank, S.A.","Potestative right to acquire the right to convert into shares - Haitong Bank, S.A.")</f>
        <v>Direito postestativo de aquisição de direito de conversão em ações - Haitong Bank, S.A.</v>
      </c>
      <c r="C73" s="286" t="str">
        <f>IF(Indice_index!$Z$1=1,"Receita","Revenue")</f>
        <v>Receita</v>
      </c>
      <c r="D73" s="286" t="s">
        <v>28</v>
      </c>
      <c r="E73" s="284"/>
      <c r="F73" s="284"/>
      <c r="G73" s="285"/>
      <c r="H73" s="285"/>
      <c r="I73" s="285"/>
      <c r="J73" s="285">
        <v>5.95550566</v>
      </c>
      <c r="K73" s="285"/>
      <c r="L73" s="285"/>
      <c r="M73" s="285"/>
      <c r="N73" s="285"/>
      <c r="O73" s="285"/>
      <c r="P73" s="285"/>
      <c r="Q73" s="285">
        <f t="shared" si="39"/>
        <v>5.95550566</v>
      </c>
      <c r="R73" s="285">
        <f>SUM(E73:P73)</f>
        <v>5.95550566</v>
      </c>
      <c r="S73" s="285"/>
      <c r="T73" s="285"/>
      <c r="U73" s="285"/>
      <c r="V73" s="285"/>
      <c r="W73" s="285"/>
      <c r="X73" s="285"/>
      <c r="Y73" s="285"/>
      <c r="Z73" s="285"/>
      <c r="AA73" s="285"/>
      <c r="AB73" s="285"/>
      <c r="AC73" s="285"/>
      <c r="AD73" s="285"/>
      <c r="AE73" s="285">
        <f>SUM(S73:AD73)</f>
        <v>0</v>
      </c>
    </row>
    <row r="74" spans="2:31" ht="24.6" customHeight="1">
      <c r="B74" s="142"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4" s="143" t="str">
        <f>IF(Indice_index!$Z$1=1,"Despesa","Expenditure")</f>
        <v>Despesa</v>
      </c>
      <c r="D74" s="102" t="s">
        <v>29</v>
      </c>
      <c r="E74" s="282">
        <v>17.26070107</v>
      </c>
      <c r="F74" s="282"/>
      <c r="G74" s="283"/>
      <c r="H74" s="283"/>
      <c r="I74" s="283"/>
      <c r="J74" s="283"/>
      <c r="K74" s="283"/>
      <c r="L74" s="283"/>
      <c r="M74" s="283"/>
      <c r="N74" s="283"/>
      <c r="O74" s="283"/>
      <c r="P74" s="283"/>
      <c r="Q74" s="283">
        <f>SUM(E74:M74)</f>
        <v>17.26070107</v>
      </c>
      <c r="R74" s="283">
        <f t="shared" ref="R74" si="47">SUM(E74:P74)</f>
        <v>17.26070107</v>
      </c>
      <c r="S74" s="282"/>
      <c r="T74" s="282"/>
      <c r="U74" s="283"/>
      <c r="V74" s="283"/>
      <c r="W74" s="283"/>
      <c r="X74" s="283"/>
      <c r="Y74" s="283"/>
      <c r="Z74" s="283"/>
      <c r="AA74" s="283"/>
      <c r="AB74" s="283"/>
      <c r="AC74" s="283"/>
      <c r="AD74" s="283"/>
      <c r="AE74" s="283">
        <f>SUM(S74:AD74)</f>
        <v>0</v>
      </c>
    </row>
    <row r="75" spans="2:31" ht="24.6" customHeight="1">
      <c r="B75" s="142"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5" s="143" t="str">
        <f>IF(Indice_index!$Z$1=1,"Despesa","Expenditure")</f>
        <v>Despesa</v>
      </c>
      <c r="D75" s="102" t="s">
        <v>30</v>
      </c>
      <c r="E75" s="282"/>
      <c r="F75" s="282"/>
      <c r="G75" s="283"/>
      <c r="H75" s="283"/>
      <c r="I75" s="283"/>
      <c r="J75" s="283"/>
      <c r="K75" s="283"/>
      <c r="L75" s="283"/>
      <c r="M75" s="283"/>
      <c r="N75" s="283"/>
      <c r="O75" s="283"/>
      <c r="P75" s="283">
        <v>944.59861661000014</v>
      </c>
      <c r="Q75" s="283">
        <f t="shared" ref="Q75:Q85" si="48">SUM(E75:M75)</f>
        <v>0</v>
      </c>
      <c r="R75" s="283">
        <f t="shared" ref="R75:R85" si="49">SUM(E75:P75)</f>
        <v>944.59861661000014</v>
      </c>
      <c r="S75" s="282"/>
      <c r="T75" s="282"/>
      <c r="U75" s="283"/>
      <c r="V75" s="283"/>
      <c r="W75" s="283"/>
      <c r="X75" s="283"/>
      <c r="Y75" s="283">
        <f>166713099.25/10^6</f>
        <v>166.71309925</v>
      </c>
      <c r="Z75" s="283">
        <f>13407471.35/10^6</f>
        <v>13.40747135</v>
      </c>
      <c r="AA75" s="283">
        <f>19022682.05/10^6</f>
        <v>19.02268205</v>
      </c>
      <c r="AB75" s="283"/>
      <c r="AC75" s="283"/>
      <c r="AD75" s="283"/>
      <c r="AE75" s="283">
        <f t="shared" si="42"/>
        <v>199.14325265000002</v>
      </c>
    </row>
    <row r="76" spans="2:31" ht="33.75" customHeight="1">
      <c r="B76" s="142" t="str">
        <f>IF(Indice_index!$Z$1=1,$B$130,$B$131)</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6" s="143" t="str">
        <f>IF(Indice_index!$Z$1=1,"Despesa","Expenditure")</f>
        <v>Despesa</v>
      </c>
      <c r="D76" s="102" t="s">
        <v>30</v>
      </c>
      <c r="E76" s="282"/>
      <c r="F76" s="282"/>
      <c r="G76" s="283"/>
      <c r="H76" s="283"/>
      <c r="I76" s="283"/>
      <c r="J76" s="283"/>
      <c r="K76" s="283"/>
      <c r="L76" s="283"/>
      <c r="M76" s="283"/>
      <c r="N76" s="283"/>
      <c r="O76" s="283"/>
      <c r="P76" s="283">
        <v>179.13954000000001</v>
      </c>
      <c r="Q76" s="283">
        <f t="shared" si="48"/>
        <v>0</v>
      </c>
      <c r="R76" s="283">
        <f t="shared" si="49"/>
        <v>179.13954000000001</v>
      </c>
      <c r="S76" s="282"/>
      <c r="T76" s="282"/>
      <c r="U76" s="283"/>
      <c r="V76" s="283"/>
      <c r="W76" s="283"/>
      <c r="X76" s="283"/>
      <c r="Y76" s="283"/>
      <c r="Z76" s="283"/>
      <c r="AA76" s="283"/>
      <c r="AB76" s="283"/>
      <c r="AC76" s="283"/>
      <c r="AD76" s="283"/>
      <c r="AE76" s="283">
        <f t="shared" ref="AE76" si="50">SUM(S76:AD76)</f>
        <v>0</v>
      </c>
    </row>
    <row r="77" spans="2:31" ht="33.75" customHeight="1">
      <c r="B77" s="142" t="str">
        <f>IF(Indice_index!$Z$1=1,B136,B137)</f>
        <v>Transferências correntes – excedente para compensar as freguesias dos montantes mínimos das transferências financeiras realizadas ao abrigo da Lei de Finanças Locais - artigo 38.º da Lei n.º 73/2013, de 3 de setembro, na redação atual</v>
      </c>
      <c r="C77" s="143" t="str">
        <f>IF(Indice_index!$Z$1=1,"Despesa","Expenditure")</f>
        <v>Despesa</v>
      </c>
      <c r="D77" s="31" t="s">
        <v>33</v>
      </c>
      <c r="E77" s="282">
        <v>9.3333879999999994</v>
      </c>
      <c r="F77" s="282">
        <v>9.3333879999999994</v>
      </c>
      <c r="G77" s="282">
        <v>9.3333879999999994</v>
      </c>
      <c r="H77" s="282">
        <v>9.3333879999999994</v>
      </c>
      <c r="I77" s="282">
        <v>9.3333879999999994</v>
      </c>
      <c r="J77" s="282">
        <v>9.3333879999999994</v>
      </c>
      <c r="K77" s="282">
        <v>9.3333879999999994</v>
      </c>
      <c r="L77" s="282">
        <v>9.3333879999999994</v>
      </c>
      <c r="M77" s="282">
        <v>9.3333879999999994</v>
      </c>
      <c r="N77" s="282">
        <v>9.3333879999999994</v>
      </c>
      <c r="O77" s="282">
        <v>9.3333880000000136</v>
      </c>
      <c r="P77" s="282">
        <v>9.3509169999999955</v>
      </c>
      <c r="Q77" s="283">
        <f t="shared" si="48"/>
        <v>84.000491999999994</v>
      </c>
      <c r="R77" s="283">
        <f t="shared" si="49"/>
        <v>112.018185</v>
      </c>
      <c r="S77" s="282">
        <v>12.362410000000001</v>
      </c>
      <c r="T77" s="282">
        <f>12362410/10^6</f>
        <v>12.362410000000001</v>
      </c>
      <c r="U77" s="283">
        <v>12.362410000000001</v>
      </c>
      <c r="V77" s="283">
        <f t="shared" ref="V77:AA77" si="51">12362410/10^6</f>
        <v>12.362410000000001</v>
      </c>
      <c r="W77" s="283">
        <f t="shared" si="51"/>
        <v>12.362410000000001</v>
      </c>
      <c r="X77" s="283">
        <f t="shared" si="51"/>
        <v>12.362410000000001</v>
      </c>
      <c r="Y77" s="283">
        <f t="shared" si="51"/>
        <v>12.362410000000001</v>
      </c>
      <c r="Z77" s="283">
        <f t="shared" si="51"/>
        <v>12.362410000000001</v>
      </c>
      <c r="AA77" s="283">
        <f t="shared" si="51"/>
        <v>12.362410000000001</v>
      </c>
      <c r="AB77" s="283"/>
      <c r="AC77" s="283"/>
      <c r="AD77" s="283"/>
      <c r="AE77" s="283">
        <f t="shared" si="42"/>
        <v>111.26168999999999</v>
      </c>
    </row>
    <row r="78" spans="2:31" ht="24" customHeight="1">
      <c r="B78" s="142"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8" s="143" t="str">
        <f>IF(Indice_index!$Z$1=1,"Despesa","Expenditure")</f>
        <v>Despesa</v>
      </c>
      <c r="D78" s="31" t="s">
        <v>34</v>
      </c>
      <c r="E78" s="282"/>
      <c r="F78" s="282"/>
      <c r="G78" s="282"/>
      <c r="H78" s="282"/>
      <c r="I78" s="282"/>
      <c r="J78" s="282"/>
      <c r="K78" s="282"/>
      <c r="L78" s="282"/>
      <c r="M78" s="282"/>
      <c r="N78" s="282"/>
      <c r="O78" s="282"/>
      <c r="P78" s="282">
        <v>311.112234</v>
      </c>
      <c r="Q78" s="283">
        <f t="shared" si="48"/>
        <v>0</v>
      </c>
      <c r="R78" s="283">
        <f t="shared" si="49"/>
        <v>311.112234</v>
      </c>
      <c r="S78" s="282"/>
      <c r="T78" s="282"/>
      <c r="U78" s="283"/>
      <c r="V78" s="283"/>
      <c r="W78" s="283"/>
      <c r="X78" s="283"/>
      <c r="Y78" s="283"/>
      <c r="Z78" s="283">
        <f>172373993.91/10^6</f>
        <v>172.37399391</v>
      </c>
      <c r="AA78" s="283"/>
      <c r="AB78" s="283"/>
      <c r="AC78" s="283"/>
      <c r="AD78" s="283"/>
      <c r="AE78" s="283">
        <f t="shared" ref="AE78:AE83" si="52">SUM(S78:AD78)</f>
        <v>172.37399391</v>
      </c>
    </row>
    <row r="79" spans="2:31" ht="24" customHeight="1">
      <c r="B79" s="142"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9" s="143" t="str">
        <f>IF(Indice_index!$Z$1=1,"Despesa","Expenditure")</f>
        <v>Despesa</v>
      </c>
      <c r="D79" s="31" t="s">
        <v>34</v>
      </c>
      <c r="E79" s="282">
        <v>165.2</v>
      </c>
      <c r="F79" s="282"/>
      <c r="G79" s="282"/>
      <c r="H79" s="282"/>
      <c r="I79" s="282"/>
      <c r="J79" s="282"/>
      <c r="K79" s="282"/>
      <c r="L79" s="282"/>
      <c r="M79" s="282"/>
      <c r="N79" s="282"/>
      <c r="O79" s="282"/>
      <c r="P79" s="282"/>
      <c r="Q79" s="283">
        <f t="shared" si="48"/>
        <v>165.2</v>
      </c>
      <c r="R79" s="283">
        <f t="shared" si="49"/>
        <v>165.2</v>
      </c>
      <c r="S79" s="282"/>
      <c r="T79" s="282"/>
      <c r="U79" s="283"/>
      <c r="V79" s="283"/>
      <c r="W79" s="283"/>
      <c r="X79" s="283"/>
      <c r="Y79" s="283"/>
      <c r="Z79" s="283"/>
      <c r="AA79" s="283"/>
      <c r="AB79" s="283"/>
      <c r="AC79" s="283"/>
      <c r="AD79" s="283"/>
      <c r="AE79" s="283">
        <f t="shared" si="52"/>
        <v>0</v>
      </c>
    </row>
    <row r="80" spans="2:31" ht="24" customHeight="1">
      <c r="B80" s="142"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80" s="143" t="str">
        <f>IF(Indice_index!$Z$1=1,"Despesa","Expenditure")</f>
        <v>Despesa</v>
      </c>
      <c r="D80" s="31" t="s">
        <v>34</v>
      </c>
      <c r="E80" s="282"/>
      <c r="F80" s="282"/>
      <c r="G80" s="282">
        <v>227.63172900000001</v>
      </c>
      <c r="H80" s="282"/>
      <c r="I80" s="282"/>
      <c r="J80" s="282"/>
      <c r="K80" s="282"/>
      <c r="L80" s="282"/>
      <c r="M80" s="282"/>
      <c r="N80" s="282"/>
      <c r="O80" s="282"/>
      <c r="P80" s="282"/>
      <c r="Q80" s="283">
        <f t="shared" si="48"/>
        <v>227.63172900000001</v>
      </c>
      <c r="R80" s="283">
        <f t="shared" si="49"/>
        <v>227.63172900000001</v>
      </c>
      <c r="S80" s="282"/>
      <c r="T80" s="282"/>
      <c r="U80" s="283"/>
      <c r="V80" s="283"/>
      <c r="W80" s="283"/>
      <c r="X80" s="283"/>
      <c r="Y80" s="283"/>
      <c r="Z80" s="283"/>
      <c r="AA80" s="283"/>
      <c r="AB80" s="283"/>
      <c r="AC80" s="283"/>
      <c r="AD80" s="283"/>
      <c r="AE80" s="283">
        <f t="shared" si="52"/>
        <v>0</v>
      </c>
    </row>
    <row r="81" spans="1:33" ht="33.75" customHeight="1">
      <c r="B81" s="142" t="s">
        <v>412</v>
      </c>
      <c r="C81" s="143" t="str">
        <f>IF(Indice_index!$Z$1=1,"Despesa","Expenditure")</f>
        <v>Despesa</v>
      </c>
      <c r="D81" s="31" t="s">
        <v>35</v>
      </c>
      <c r="E81" s="282"/>
      <c r="F81" s="282"/>
      <c r="G81" s="282">
        <v>44.875</v>
      </c>
      <c r="H81" s="282"/>
      <c r="I81" s="282"/>
      <c r="J81" s="282"/>
      <c r="K81" s="282">
        <v>-44.875</v>
      </c>
      <c r="L81" s="282"/>
      <c r="M81" s="282"/>
      <c r="N81" s="282"/>
      <c r="O81" s="282"/>
      <c r="P81" s="282"/>
      <c r="Q81" s="283">
        <f t="shared" si="48"/>
        <v>0</v>
      </c>
      <c r="R81" s="283">
        <f t="shared" si="49"/>
        <v>0</v>
      </c>
      <c r="S81" s="282"/>
      <c r="T81" s="282"/>
      <c r="U81" s="283"/>
      <c r="V81" s="283"/>
      <c r="W81" s="283"/>
      <c r="X81" s="283"/>
      <c r="Y81" s="283"/>
      <c r="Z81" s="283"/>
      <c r="AA81" s="283"/>
      <c r="AB81" s="283"/>
      <c r="AC81" s="283"/>
      <c r="AD81" s="283"/>
      <c r="AE81" s="283">
        <f t="shared" si="52"/>
        <v>0</v>
      </c>
    </row>
    <row r="82" spans="1:33" ht="14.1" customHeight="1">
      <c r="B82" s="142" t="str">
        <f>IF(Indice_index!$Z$1=1,"Pagamento de decisão judicial à concessionária RAL","Payment of court decision to the RAL concessionaire")</f>
        <v>Pagamento de decisão judicial à concessionária RAL</v>
      </c>
      <c r="C82" s="143" t="str">
        <f>IF(Indice_index!$Z$1=1,"Despesa","Expenditure")</f>
        <v>Despesa</v>
      </c>
      <c r="D82" s="31" t="s">
        <v>37</v>
      </c>
      <c r="E82" s="282"/>
      <c r="F82" s="282">
        <v>3.10650264</v>
      </c>
      <c r="G82" s="282">
        <v>1.55325132</v>
      </c>
      <c r="H82" s="282">
        <v>1.55325132</v>
      </c>
      <c r="I82" s="282">
        <v>3.1065026399999995</v>
      </c>
      <c r="J82" s="282"/>
      <c r="K82" s="282">
        <v>1.55325132</v>
      </c>
      <c r="L82" s="282">
        <v>1.5532513200000002</v>
      </c>
      <c r="M82" s="282">
        <v>1.5532513200000002</v>
      </c>
      <c r="N82" s="282">
        <v>1.5532513199999993</v>
      </c>
      <c r="O82" s="282">
        <v>1.5532513199999975</v>
      </c>
      <c r="P82" s="282">
        <v>1.5532513200000011</v>
      </c>
      <c r="Q82" s="283">
        <f t="shared" si="48"/>
        <v>13.979261879999999</v>
      </c>
      <c r="R82" s="283">
        <f t="shared" si="49"/>
        <v>18.639015839999999</v>
      </c>
      <c r="S82" s="282"/>
      <c r="T82" s="282">
        <v>3.11</v>
      </c>
      <c r="U82" s="282">
        <v>1.5532513199999998</v>
      </c>
      <c r="V82" s="282">
        <v>1.5532513200000002</v>
      </c>
      <c r="W82" s="282">
        <v>1.5532513200000002</v>
      </c>
      <c r="X82" s="283">
        <v>1.5532513200000002</v>
      </c>
      <c r="Y82" s="282">
        <v>1.5532513200000002</v>
      </c>
      <c r="Z82" s="283">
        <v>1.5532513200000002</v>
      </c>
      <c r="AA82" s="283"/>
      <c r="AB82" s="283"/>
      <c r="AC82" s="283"/>
      <c r="AD82" s="283"/>
      <c r="AE82" s="283">
        <f t="shared" si="52"/>
        <v>12.429507920000002</v>
      </c>
    </row>
    <row r="83" spans="1:33" ht="34.35" customHeight="1">
      <c r="B83" s="142" t="str">
        <f>IF(Indice_index!$Z$1=1,B146,B147)</f>
        <v>Transferências de capital - excedente para compensar os municípios dos montantes mínimos das transferências financeiras realizadas ao abrigo da Lei de Finanças Locais - artigo 35.º da Lei n.º 73/2013, de 3 de setembro, na redação atual</v>
      </c>
      <c r="C83" s="143" t="str">
        <f>IF(Indice_index!$Z$1=1,"Despesa","Expenditure")</f>
        <v>Despesa</v>
      </c>
      <c r="D83" s="31" t="s">
        <v>39</v>
      </c>
      <c r="E83" s="282">
        <v>26.839382000000001</v>
      </c>
      <c r="F83" s="282">
        <v>26.839382000000001</v>
      </c>
      <c r="G83" s="282">
        <v>26.794381999999999</v>
      </c>
      <c r="H83" s="282">
        <v>26.825882</v>
      </c>
      <c r="I83" s="282">
        <v>26.839382000000001</v>
      </c>
      <c r="J83" s="282">
        <v>26.839382000000001</v>
      </c>
      <c r="K83" s="282">
        <v>26.839382000000001</v>
      </c>
      <c r="L83" s="282">
        <v>26.839382000000001</v>
      </c>
      <c r="M83" s="282">
        <v>26.839382000000001</v>
      </c>
      <c r="N83" s="282">
        <v>26.839382000000029</v>
      </c>
      <c r="O83" s="282">
        <v>26.839382000000001</v>
      </c>
      <c r="P83" s="282">
        <v>26.899733999999967</v>
      </c>
      <c r="Q83" s="283">
        <f t="shared" si="48"/>
        <v>241.495938</v>
      </c>
      <c r="R83" s="283">
        <f t="shared" si="49"/>
        <v>322.07443599999999</v>
      </c>
      <c r="S83" s="282">
        <v>40.310046999999997</v>
      </c>
      <c r="T83" s="282">
        <f>40310047/10^6</f>
        <v>40.310046999999997</v>
      </c>
      <c r="U83" s="283">
        <v>40.310046999999997</v>
      </c>
      <c r="V83" s="283">
        <f>40310047/10^6</f>
        <v>40.310046999999997</v>
      </c>
      <c r="W83" s="283">
        <v>40.310046999999997</v>
      </c>
      <c r="X83" s="283">
        <f>40310047/10^6</f>
        <v>40.310046999999997</v>
      </c>
      <c r="Y83" s="283">
        <f>40310047/10^6</f>
        <v>40.310046999999997</v>
      </c>
      <c r="Z83" s="283">
        <f>40310047/10^6</f>
        <v>40.310046999999997</v>
      </c>
      <c r="AA83" s="283">
        <f>40310047/10^6</f>
        <v>40.310046999999997</v>
      </c>
      <c r="AB83" s="283"/>
      <c r="AC83" s="283"/>
      <c r="AD83" s="283"/>
      <c r="AE83" s="283">
        <f t="shared" si="52"/>
        <v>362.79042299999998</v>
      </c>
    </row>
    <row r="84" spans="1:33" ht="13.5" customHeight="1">
      <c r="B84" s="142"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4" s="143" t="str">
        <f>IF(Indice_index!$Z$1=1,"Despesa","Expenditure")</f>
        <v>Despesa</v>
      </c>
      <c r="D84" s="31" t="s">
        <v>34</v>
      </c>
      <c r="E84" s="282"/>
      <c r="F84" s="282"/>
      <c r="G84" s="282"/>
      <c r="H84" s="282"/>
      <c r="I84" s="282"/>
      <c r="J84" s="282"/>
      <c r="K84" s="282"/>
      <c r="L84" s="282"/>
      <c r="M84" s="282"/>
      <c r="N84" s="282"/>
      <c r="O84" s="282"/>
      <c r="P84" s="282">
        <v>57.196159649999998</v>
      </c>
      <c r="Q84" s="283">
        <f t="shared" si="48"/>
        <v>0</v>
      </c>
      <c r="R84" s="283">
        <f t="shared" si="49"/>
        <v>57.196159649999998</v>
      </c>
      <c r="S84" s="282"/>
      <c r="T84" s="282"/>
      <c r="U84" s="283"/>
      <c r="V84" s="283"/>
      <c r="W84" s="283"/>
      <c r="X84" s="283"/>
      <c r="Y84" s="283"/>
      <c r="Z84" s="283"/>
      <c r="AA84" s="283"/>
      <c r="AB84" s="283"/>
      <c r="AC84" s="283"/>
      <c r="AD84" s="283"/>
      <c r="AE84" s="283">
        <f t="shared" si="42"/>
        <v>0</v>
      </c>
    </row>
    <row r="85" spans="1:33" ht="14.1" customHeight="1">
      <c r="B85" s="310"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5" s="343" t="str">
        <f>IF(Indice_index!$Z$1=1,"Despesa","Expenditure")</f>
        <v>Despesa</v>
      </c>
      <c r="D85" s="344" t="s">
        <v>40</v>
      </c>
      <c r="E85" s="284"/>
      <c r="F85" s="284"/>
      <c r="G85" s="284"/>
      <c r="H85" s="284"/>
      <c r="I85" s="284"/>
      <c r="J85" s="284">
        <v>0.29130911999999998</v>
      </c>
      <c r="K85" s="284"/>
      <c r="L85" s="284"/>
      <c r="M85" s="284"/>
      <c r="N85" s="284"/>
      <c r="O85" s="284"/>
      <c r="P85" s="284"/>
      <c r="Q85" s="284">
        <f t="shared" si="48"/>
        <v>0.29130911999999998</v>
      </c>
      <c r="R85" s="285">
        <f t="shared" si="49"/>
        <v>0.29130911999999998</v>
      </c>
      <c r="S85" s="284"/>
      <c r="T85" s="284"/>
      <c r="U85" s="284"/>
      <c r="V85" s="285"/>
      <c r="W85" s="285"/>
      <c r="X85" s="285"/>
      <c r="Y85" s="285"/>
      <c r="Z85" s="285"/>
      <c r="AA85" s="285"/>
      <c r="AB85" s="285"/>
      <c r="AC85" s="285"/>
      <c r="AD85" s="285"/>
      <c r="AE85" s="285">
        <f>SUM(S85:AD85)</f>
        <v>0</v>
      </c>
    </row>
    <row r="86" spans="1:33" ht="6.6" customHeight="1">
      <c r="B86" s="142"/>
      <c r="C86" s="143"/>
      <c r="D86" s="31"/>
      <c r="E86" s="31"/>
      <c r="F86" s="31"/>
      <c r="G86" s="31"/>
      <c r="H86" s="31"/>
      <c r="I86" s="31"/>
      <c r="J86" s="31"/>
      <c r="K86" s="31"/>
      <c r="L86" s="31"/>
      <c r="M86" s="31"/>
      <c r="N86" s="31"/>
      <c r="O86" s="31"/>
      <c r="P86" s="31"/>
      <c r="S86" s="31"/>
      <c r="T86" s="31"/>
    </row>
    <row r="87" spans="1:33" ht="24" customHeight="1">
      <c r="B87" s="458" t="str">
        <f>IF(Indice_index!$Z$1=1,B152,B153)</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row>
    <row r="88" spans="1:33" ht="15">
      <c r="B88" s="256" t="str">
        <f>IF(Indice_index!$Z$1=1,"Notas:","Notes:")</f>
        <v>Notas:</v>
      </c>
      <c r="C88" s="256"/>
      <c r="D88" s="257"/>
      <c r="E88" s="256"/>
      <c r="F88" s="256"/>
      <c r="G88" s="110"/>
      <c r="H88" s="110"/>
      <c r="I88" s="110"/>
      <c r="J88" s="110"/>
      <c r="K88" s="110"/>
      <c r="L88" s="110"/>
      <c r="M88" s="110"/>
      <c r="N88" s="110"/>
      <c r="O88" s="110"/>
      <c r="P88" s="110"/>
      <c r="Q88" s="110"/>
      <c r="R88" s="110"/>
      <c r="S88" s="256"/>
      <c r="T88" s="256"/>
      <c r="U88" s="110"/>
      <c r="V88" s="110"/>
      <c r="W88" s="110"/>
      <c r="X88" s="110"/>
      <c r="Y88" s="110"/>
      <c r="Z88" s="110"/>
      <c r="AA88" s="110"/>
      <c r="AB88" s="110"/>
      <c r="AC88" s="110"/>
      <c r="AD88" s="110"/>
      <c r="AE88" s="110"/>
    </row>
    <row r="89" spans="1:33" ht="15">
      <c r="B89" s="256"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9" s="110"/>
      <c r="D89" s="144"/>
      <c r="E89" s="110"/>
      <c r="F89" s="110"/>
      <c r="G89" s="110"/>
      <c r="I89" s="110"/>
      <c r="J89" s="110"/>
      <c r="K89" s="110"/>
      <c r="L89" s="110"/>
      <c r="M89" s="110"/>
      <c r="N89" s="110"/>
      <c r="O89" s="110"/>
      <c r="P89" s="110"/>
      <c r="R89" s="110"/>
      <c r="S89" s="110"/>
      <c r="T89" s="110"/>
      <c r="U89" s="110"/>
      <c r="W89" s="110"/>
      <c r="X89" s="110"/>
      <c r="Y89" s="110"/>
      <c r="Z89" s="110"/>
      <c r="AA89" s="110"/>
      <c r="AB89" s="110"/>
      <c r="AC89" s="110"/>
      <c r="AD89" s="110"/>
      <c r="AE89" s="110"/>
    </row>
    <row r="90" spans="1:33" ht="15">
      <c r="B90" s="258"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90" s="110"/>
      <c r="D90" s="144"/>
      <c r="E90" s="110"/>
      <c r="F90" s="110"/>
      <c r="G90" s="110"/>
      <c r="H90" s="110"/>
      <c r="I90" s="110"/>
      <c r="J90" s="110"/>
      <c r="K90" s="110"/>
      <c r="L90" s="110"/>
      <c r="M90" s="110"/>
      <c r="O90" s="110"/>
      <c r="P90" s="110"/>
      <c r="R90" s="259"/>
      <c r="S90" s="110"/>
      <c r="T90" s="110"/>
      <c r="U90" s="110"/>
      <c r="V90" s="110"/>
      <c r="W90" s="110"/>
      <c r="X90" s="110"/>
      <c r="Y90" s="260"/>
      <c r="Z90" s="260"/>
      <c r="AA90" s="260"/>
      <c r="AB90" s="260"/>
      <c r="AC90" s="260"/>
      <c r="AD90" s="260"/>
      <c r="AE90" s="260"/>
    </row>
    <row r="91" spans="1:33" ht="15">
      <c r="B91" s="258"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1" s="110"/>
      <c r="D91" s="144"/>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E91" s="110"/>
    </row>
    <row r="92" spans="1:33" ht="15">
      <c r="B92" s="135" t="str">
        <f>IF(Indice_index!$Z$1=1,"Fonte: Entidade Orçamental.","Source: Budgetary Entity.")</f>
        <v>Fonte: Entidade Orçamental.</v>
      </c>
      <c r="C92" s="110"/>
      <c r="D92" s="144"/>
      <c r="E92" s="110"/>
      <c r="F92" s="110"/>
      <c r="G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row>
    <row r="93" spans="1:33" s="220" customFormat="1" ht="15">
      <c r="A93" s="52"/>
      <c r="B93" s="214"/>
      <c r="C93" s="215"/>
      <c r="D93" s="216"/>
      <c r="E93" s="217"/>
      <c r="F93" s="217"/>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8"/>
      <c r="AG93" s="219"/>
    </row>
    <row r="94" spans="1:33" s="227" customFormat="1" ht="15" hidden="1">
      <c r="A94" s="221"/>
      <c r="B94" s="222"/>
      <c r="C94" s="223"/>
      <c r="D94" s="224"/>
      <c r="E94" s="225">
        <f t="shared" ref="E94:M94" si="53">+E43-E53</f>
        <v>0</v>
      </c>
      <c r="F94" s="225">
        <f t="shared" si="53"/>
        <v>0</v>
      </c>
      <c r="G94" s="225">
        <f t="shared" si="53"/>
        <v>0</v>
      </c>
      <c r="H94" s="225">
        <f t="shared" si="53"/>
        <v>0</v>
      </c>
      <c r="I94" s="225">
        <f t="shared" si="53"/>
        <v>0</v>
      </c>
      <c r="J94" s="225">
        <f t="shared" si="53"/>
        <v>0</v>
      </c>
      <c r="K94" s="225">
        <f t="shared" si="53"/>
        <v>0</v>
      </c>
      <c r="L94" s="225">
        <f t="shared" si="53"/>
        <v>0</v>
      </c>
      <c r="M94" s="225">
        <f t="shared" si="53"/>
        <v>0</v>
      </c>
      <c r="N94" s="225"/>
      <c r="O94" s="225"/>
      <c r="P94" s="225"/>
      <c r="Q94" s="225"/>
      <c r="R94" s="225"/>
      <c r="S94" s="225"/>
      <c r="T94" s="225"/>
      <c r="U94" s="225"/>
      <c r="V94" s="225"/>
      <c r="W94" s="225"/>
      <c r="X94" s="225"/>
      <c r="Y94" s="225"/>
      <c r="Z94" s="225"/>
      <c r="AA94" s="225"/>
      <c r="AB94" s="225"/>
      <c r="AC94" s="225"/>
      <c r="AD94" s="225"/>
      <c r="AE94" s="225"/>
      <c r="AF94" s="226"/>
      <c r="AG94" s="222"/>
    </row>
    <row r="95" spans="1:33" s="227" customFormat="1" ht="15" hidden="1">
      <c r="A95" s="221"/>
      <c r="B95" s="222"/>
      <c r="C95" s="222"/>
      <c r="D95" s="228"/>
      <c r="E95" s="222">
        <f t="shared" ref="E95:M95" si="54">SUM(E54:E73)-SUM(E75:E84)-E43</f>
        <v>17.26070107000001</v>
      </c>
      <c r="F95" s="222">
        <f t="shared" si="54"/>
        <v>0</v>
      </c>
      <c r="G95" s="222">
        <f t="shared" si="54"/>
        <v>0</v>
      </c>
      <c r="H95" s="222">
        <f t="shared" si="54"/>
        <v>0</v>
      </c>
      <c r="I95" s="222">
        <f t="shared" si="54"/>
        <v>0</v>
      </c>
      <c r="J95" s="222">
        <f t="shared" si="54"/>
        <v>0.29130911999993714</v>
      </c>
      <c r="K95" s="222">
        <f t="shared" si="54"/>
        <v>0</v>
      </c>
      <c r="L95" s="222">
        <f t="shared" si="54"/>
        <v>0</v>
      </c>
      <c r="M95" s="222">
        <f t="shared" si="54"/>
        <v>0</v>
      </c>
      <c r="N95" s="222"/>
      <c r="O95" s="222"/>
      <c r="P95" s="222"/>
      <c r="Q95" s="222"/>
      <c r="R95" s="222"/>
      <c r="S95" s="222"/>
      <c r="T95" s="222"/>
      <c r="U95" s="222"/>
      <c r="V95" s="222"/>
      <c r="W95" s="222"/>
      <c r="X95" s="222"/>
      <c r="Y95" s="222"/>
      <c r="Z95" s="222"/>
      <c r="AA95" s="222"/>
      <c r="AB95" s="222"/>
      <c r="AC95" s="222"/>
      <c r="AD95" s="222"/>
      <c r="AE95" s="222"/>
      <c r="AF95" s="226"/>
      <c r="AG95" s="222"/>
    </row>
    <row r="96" spans="1:33" s="227" customFormat="1" ht="15" hidden="1">
      <c r="A96" s="221"/>
      <c r="B96" s="229"/>
      <c r="C96" s="229"/>
      <c r="D96" s="230"/>
      <c r="E96" s="222">
        <f t="shared" ref="E96:M96" si="55">SUM(E54:E73)-E26</f>
        <v>0</v>
      </c>
      <c r="F96" s="222">
        <f t="shared" si="55"/>
        <v>0</v>
      </c>
      <c r="G96" s="222">
        <f t="shared" si="55"/>
        <v>0</v>
      </c>
      <c r="H96" s="222">
        <f t="shared" si="55"/>
        <v>0</v>
      </c>
      <c r="I96" s="222">
        <f t="shared" si="55"/>
        <v>0</v>
      </c>
      <c r="J96" s="222">
        <f t="shared" si="55"/>
        <v>0</v>
      </c>
      <c r="K96" s="222">
        <f t="shared" si="55"/>
        <v>0</v>
      </c>
      <c r="L96" s="222">
        <f t="shared" si="55"/>
        <v>0</v>
      </c>
      <c r="M96" s="222">
        <f t="shared" si="55"/>
        <v>0</v>
      </c>
      <c r="N96" s="222"/>
      <c r="O96" s="222"/>
      <c r="P96" s="222"/>
      <c r="Q96" s="222"/>
      <c r="R96" s="222"/>
      <c r="S96" s="222"/>
      <c r="T96" s="222"/>
      <c r="U96" s="222"/>
      <c r="V96" s="222"/>
      <c r="W96" s="222"/>
      <c r="X96" s="222"/>
      <c r="Y96" s="222"/>
      <c r="Z96" s="222"/>
      <c r="AA96" s="222"/>
      <c r="AB96" s="222"/>
      <c r="AC96" s="222"/>
      <c r="AD96" s="222"/>
      <c r="AE96" s="222"/>
      <c r="AF96" s="226"/>
      <c r="AG96" s="222"/>
    </row>
    <row r="97" spans="1:33" s="227" customFormat="1" ht="15" hidden="1">
      <c r="A97" s="221"/>
      <c r="B97" s="229"/>
      <c r="C97" s="229"/>
      <c r="D97" s="230"/>
      <c r="E97" s="222">
        <f t="shared" ref="E97:M97" si="56">SUM(E75:E84)-E42</f>
        <v>-17.26070107000001</v>
      </c>
      <c r="F97" s="222">
        <f t="shared" si="56"/>
        <v>0</v>
      </c>
      <c r="G97" s="222">
        <f t="shared" si="56"/>
        <v>0</v>
      </c>
      <c r="H97" s="222">
        <f t="shared" si="56"/>
        <v>0</v>
      </c>
      <c r="I97" s="222">
        <f t="shared" si="56"/>
        <v>0</v>
      </c>
      <c r="J97" s="222">
        <f t="shared" si="56"/>
        <v>-0.29130912000000109</v>
      </c>
      <c r="K97" s="222">
        <f t="shared" si="56"/>
        <v>0</v>
      </c>
      <c r="L97" s="222">
        <f t="shared" si="56"/>
        <v>0</v>
      </c>
      <c r="M97" s="222">
        <f t="shared" si="56"/>
        <v>0</v>
      </c>
      <c r="N97" s="222"/>
      <c r="O97" s="222"/>
      <c r="P97" s="222"/>
      <c r="Q97" s="222"/>
      <c r="R97" s="222"/>
      <c r="S97" s="222"/>
      <c r="T97" s="222"/>
      <c r="U97" s="222"/>
      <c r="V97" s="222"/>
      <c r="W97" s="222"/>
      <c r="X97" s="222"/>
      <c r="Y97" s="222"/>
      <c r="Z97" s="222"/>
      <c r="AA97" s="222"/>
      <c r="AB97" s="222"/>
      <c r="AC97" s="222"/>
      <c r="AD97" s="222"/>
      <c r="AE97" s="222"/>
      <c r="AF97" s="226"/>
      <c r="AG97" s="222"/>
    </row>
    <row r="98" spans="1:33" s="227" customFormat="1" ht="15" hidden="1">
      <c r="A98" s="221"/>
      <c r="B98" s="226"/>
      <c r="C98" s="231"/>
      <c r="D98" s="230"/>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26"/>
      <c r="AG98" s="222"/>
    </row>
    <row r="99" spans="1:33" s="227" customFormat="1" ht="15" hidden="1">
      <c r="A99" s="221"/>
      <c r="B99" s="233"/>
      <c r="C99" s="231"/>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26"/>
      <c r="AG99" s="222"/>
    </row>
    <row r="100" spans="1:33" s="227" customFormat="1" ht="15" hidden="1">
      <c r="A100" s="221"/>
      <c r="B100" s="226" t="s">
        <v>17</v>
      </c>
      <c r="C100" s="231"/>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26"/>
      <c r="AG100" s="222"/>
    </row>
    <row r="101" spans="1:33" s="227" customFormat="1" ht="15" hidden="1">
      <c r="A101" s="221"/>
      <c r="B101" s="226" t="s">
        <v>18</v>
      </c>
      <c r="C101" s="226"/>
      <c r="D101" s="234"/>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2"/>
    </row>
    <row r="102" spans="1:33" s="227" customFormat="1" ht="15" hidden="1">
      <c r="A102" s="221"/>
      <c r="B102" s="226" t="s">
        <v>19</v>
      </c>
      <c r="C102" s="226"/>
      <c r="D102" s="234"/>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2"/>
    </row>
    <row r="103" spans="1:33" s="227" customFormat="1" ht="15" hidden="1">
      <c r="A103" s="221"/>
      <c r="B103" s="226" t="s">
        <v>20</v>
      </c>
      <c r="C103" s="226"/>
      <c r="D103" s="234"/>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2"/>
    </row>
    <row r="104" spans="1:33" s="227" customFormat="1" ht="15" hidden="1">
      <c r="A104" s="221"/>
      <c r="B104" s="226" t="s">
        <v>21</v>
      </c>
      <c r="C104" s="226"/>
      <c r="D104" s="234"/>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2"/>
    </row>
    <row r="105" spans="1:33" s="227" customFormat="1" ht="15" hidden="1">
      <c r="A105" s="221"/>
      <c r="B105" s="226" t="s">
        <v>22</v>
      </c>
      <c r="C105" s="226"/>
      <c r="D105" s="234"/>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2"/>
    </row>
    <row r="106" spans="1:33" s="227" customFormat="1" ht="15" hidden="1">
      <c r="A106" s="221"/>
      <c r="B106" s="226" t="s">
        <v>23</v>
      </c>
      <c r="C106" s="226"/>
      <c r="D106" s="234"/>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2"/>
    </row>
    <row r="107" spans="1:33" s="227" customFormat="1" ht="15" hidden="1">
      <c r="A107" s="221"/>
      <c r="B107" s="226" t="s">
        <v>24</v>
      </c>
      <c r="C107" s="226"/>
      <c r="D107" s="234"/>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2"/>
    </row>
    <row r="108" spans="1:33" s="227" customFormat="1" ht="15" hidden="1">
      <c r="A108" s="221"/>
      <c r="B108" s="226" t="s">
        <v>25</v>
      </c>
      <c r="C108" s="226"/>
      <c r="D108" s="234"/>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2"/>
    </row>
    <row r="109" spans="1:33" s="227" customFormat="1" ht="15" hidden="1">
      <c r="A109" s="221"/>
      <c r="B109" s="226" t="s">
        <v>26</v>
      </c>
      <c r="C109" s="226"/>
      <c r="D109" s="234"/>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2"/>
    </row>
    <row r="110" spans="1:33" s="227" customFormat="1" ht="15" hidden="1">
      <c r="A110" s="221"/>
      <c r="B110" s="226" t="s">
        <v>27</v>
      </c>
      <c r="C110" s="226"/>
      <c r="D110" s="234"/>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2"/>
    </row>
    <row r="111" spans="1:33" s="227" customFormat="1" ht="15" hidden="1">
      <c r="A111" s="221"/>
      <c r="B111" s="226" t="s">
        <v>28</v>
      </c>
      <c r="C111" s="226"/>
      <c r="D111" s="234"/>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2"/>
    </row>
    <row r="112" spans="1:33" s="227" customFormat="1" ht="15" hidden="1">
      <c r="A112" s="221"/>
      <c r="B112" s="226" t="s">
        <v>29</v>
      </c>
      <c r="C112" s="226"/>
      <c r="D112" s="234"/>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2"/>
    </row>
    <row r="113" spans="1:33" s="227" customFormat="1" ht="15" hidden="1">
      <c r="A113" s="221"/>
      <c r="B113" s="226" t="s">
        <v>30</v>
      </c>
      <c r="C113" s="226"/>
      <c r="D113" s="234"/>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2"/>
    </row>
    <row r="114" spans="1:33" s="227" customFormat="1" ht="15" hidden="1">
      <c r="A114" s="221"/>
      <c r="B114" s="226" t="s">
        <v>31</v>
      </c>
      <c r="C114" s="226"/>
      <c r="D114" s="234"/>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2"/>
    </row>
    <row r="115" spans="1:33" s="227" customFormat="1" ht="15" hidden="1">
      <c r="A115" s="221"/>
      <c r="B115" s="226" t="s">
        <v>32</v>
      </c>
      <c r="C115" s="226"/>
      <c r="D115" s="234"/>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2"/>
    </row>
    <row r="116" spans="1:33" s="227" customFormat="1" ht="15" hidden="1">
      <c r="A116" s="221"/>
      <c r="B116" s="226" t="s">
        <v>33</v>
      </c>
      <c r="C116" s="226"/>
      <c r="D116" s="234"/>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2"/>
    </row>
    <row r="117" spans="1:33" s="227" customFormat="1" ht="15" hidden="1">
      <c r="A117" s="221"/>
      <c r="B117" s="226" t="s">
        <v>34</v>
      </c>
      <c r="C117" s="226"/>
      <c r="D117" s="234"/>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2"/>
    </row>
    <row r="118" spans="1:33" s="227" customFormat="1" ht="15" hidden="1">
      <c r="A118" s="221"/>
      <c r="B118" s="226" t="s">
        <v>35</v>
      </c>
      <c r="C118" s="226"/>
      <c r="D118" s="234"/>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2"/>
    </row>
    <row r="119" spans="1:33" s="227" customFormat="1" ht="15" hidden="1">
      <c r="A119" s="221"/>
      <c r="B119" s="226" t="s">
        <v>36</v>
      </c>
      <c r="C119" s="226"/>
      <c r="D119" s="234"/>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2"/>
    </row>
    <row r="120" spans="1:33" s="227" customFormat="1" ht="15" hidden="1">
      <c r="A120" s="221"/>
      <c r="B120" s="226" t="s">
        <v>37</v>
      </c>
      <c r="C120" s="226"/>
      <c r="D120" s="234"/>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2"/>
    </row>
    <row r="121" spans="1:33" s="227" customFormat="1" ht="15" hidden="1">
      <c r="A121" s="221"/>
      <c r="B121" s="226" t="s">
        <v>38</v>
      </c>
      <c r="C121" s="226"/>
      <c r="D121" s="234"/>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2"/>
    </row>
    <row r="122" spans="1:33" s="227" customFormat="1" ht="15" hidden="1">
      <c r="A122" s="221"/>
      <c r="B122" s="226" t="s">
        <v>39</v>
      </c>
      <c r="C122" s="226"/>
      <c r="D122" s="234"/>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2"/>
    </row>
    <row r="123" spans="1:33" s="227" customFormat="1" ht="15" hidden="1">
      <c r="A123" s="221"/>
      <c r="B123" s="226" t="s">
        <v>40</v>
      </c>
      <c r="C123" s="226"/>
      <c r="D123" s="234"/>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2"/>
    </row>
    <row r="124" spans="1:33" s="227" customFormat="1" ht="15" hidden="1">
      <c r="A124" s="221"/>
      <c r="B124" s="226" t="s">
        <v>41</v>
      </c>
      <c r="C124" s="226"/>
      <c r="D124" s="234"/>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2"/>
    </row>
    <row r="125" spans="1:33" s="227" customFormat="1" ht="15" hidden="1">
      <c r="A125" s="221"/>
      <c r="B125" s="233"/>
      <c r="C125" s="226"/>
      <c r="D125" s="234"/>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2"/>
    </row>
    <row r="126" spans="1:33" s="227" customFormat="1" ht="15" hidden="1">
      <c r="A126" s="221"/>
      <c r="B126" s="233"/>
      <c r="C126" s="226"/>
      <c r="D126" s="234"/>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2"/>
    </row>
    <row r="127" spans="1:33" s="227" customFormat="1" ht="15" hidden="1">
      <c r="A127" s="221"/>
      <c r="B127" s="226" t="s">
        <v>43</v>
      </c>
      <c r="C127" s="226"/>
      <c r="D127" s="234"/>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2"/>
    </row>
    <row r="128" spans="1:33" s="227" customFormat="1" ht="15" hidden="1">
      <c r="A128" s="221"/>
      <c r="B128" s="226" t="s">
        <v>44</v>
      </c>
      <c r="C128" s="226"/>
      <c r="D128" s="234"/>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2"/>
    </row>
    <row r="129" spans="1:33" s="227" customFormat="1" ht="15" hidden="1">
      <c r="A129" s="221"/>
      <c r="B129" s="233"/>
      <c r="C129" s="226"/>
      <c r="D129" s="234"/>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2"/>
    </row>
    <row r="130" spans="1:33" s="227" customFormat="1" ht="15" hidden="1">
      <c r="A130" s="221"/>
      <c r="B130" s="226" t="s">
        <v>413</v>
      </c>
      <c r="C130" s="226"/>
      <c r="D130" s="234"/>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2"/>
    </row>
    <row r="131" spans="1:33" s="227" customFormat="1" ht="15" hidden="1">
      <c r="A131" s="221"/>
      <c r="B131" s="226" t="s">
        <v>414</v>
      </c>
      <c r="C131" s="226"/>
      <c r="D131" s="234"/>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2"/>
    </row>
    <row r="132" spans="1:33" s="227" customFormat="1" ht="14.85" hidden="1" customHeight="1">
      <c r="A132" s="221"/>
      <c r="B132" s="226"/>
      <c r="C132" s="226"/>
      <c r="D132" s="234"/>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2"/>
    </row>
    <row r="133" spans="1:33" s="227" customFormat="1" ht="15" hidden="1">
      <c r="A133" s="221"/>
      <c r="B133" s="233" t="s">
        <v>45</v>
      </c>
      <c r="C133" s="226"/>
      <c r="D133" s="234"/>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2"/>
    </row>
    <row r="134" spans="1:33" s="227" customFormat="1" ht="15" hidden="1">
      <c r="A134" s="221"/>
      <c r="B134" s="226" t="s">
        <v>46</v>
      </c>
      <c r="C134" s="226"/>
      <c r="D134" s="234"/>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2"/>
    </row>
    <row r="135" spans="1:33" s="227" customFormat="1" ht="15" hidden="1">
      <c r="A135" s="221"/>
      <c r="B135" s="233"/>
      <c r="C135" s="226"/>
      <c r="D135" s="234"/>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2"/>
    </row>
    <row r="136" spans="1:33" s="227" customFormat="1" ht="15" hidden="1">
      <c r="A136" s="221"/>
      <c r="B136" s="226" t="s">
        <v>382</v>
      </c>
      <c r="C136" s="226"/>
      <c r="D136" s="234"/>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2"/>
    </row>
    <row r="137" spans="1:33" s="227" customFormat="1" ht="15" hidden="1">
      <c r="A137" s="221"/>
      <c r="B137" s="226" t="s">
        <v>383</v>
      </c>
      <c r="C137" s="226"/>
      <c r="D137" s="234"/>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2"/>
    </row>
    <row r="138" spans="1:33" s="227" customFormat="1" ht="15" hidden="1">
      <c r="A138" s="221"/>
      <c r="B138" s="233"/>
      <c r="C138" s="226"/>
      <c r="D138" s="234"/>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2"/>
    </row>
    <row r="139" spans="1:33" s="227" customFormat="1" ht="15" hidden="1">
      <c r="A139" s="221"/>
      <c r="B139" s="226" t="s">
        <v>384</v>
      </c>
      <c r="C139" s="226"/>
      <c r="D139" s="234"/>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2"/>
    </row>
    <row r="140" spans="1:33" s="227" customFormat="1" ht="15" hidden="1">
      <c r="A140" s="221"/>
      <c r="B140" s="226" t="s">
        <v>385</v>
      </c>
      <c r="C140" s="226"/>
      <c r="D140" s="234"/>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2"/>
    </row>
    <row r="141" spans="1:33" s="227" customFormat="1" ht="15" hidden="1">
      <c r="A141" s="221"/>
      <c r="B141" s="233"/>
      <c r="C141" s="226"/>
      <c r="D141" s="234"/>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2"/>
    </row>
    <row r="142" spans="1:33" s="227" customFormat="1" ht="15" hidden="1">
      <c r="A142" s="221"/>
      <c r="B142" s="233"/>
      <c r="C142" s="226"/>
      <c r="D142" s="234"/>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2"/>
    </row>
    <row r="143" spans="1:33" s="227" customFormat="1" ht="15" hidden="1">
      <c r="A143" s="221"/>
      <c r="B143" s="226" t="s">
        <v>386</v>
      </c>
      <c r="C143" s="226"/>
      <c r="D143" s="234"/>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2"/>
    </row>
    <row r="144" spans="1:33" s="227" customFormat="1" ht="15" hidden="1">
      <c r="A144" s="221"/>
      <c r="B144" s="226" t="s">
        <v>387</v>
      </c>
      <c r="C144" s="226"/>
      <c r="D144" s="234"/>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2"/>
    </row>
    <row r="145" spans="1:33" s="227" customFormat="1" ht="15" hidden="1">
      <c r="A145" s="221"/>
      <c r="B145" s="233"/>
      <c r="C145" s="226"/>
      <c r="D145" s="234"/>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2"/>
    </row>
    <row r="146" spans="1:33" s="227" customFormat="1" ht="15" hidden="1">
      <c r="A146" s="221"/>
      <c r="B146" s="233" t="s">
        <v>390</v>
      </c>
      <c r="C146" s="226"/>
      <c r="D146" s="234"/>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2"/>
    </row>
    <row r="147" spans="1:33" s="227" customFormat="1" ht="15" hidden="1">
      <c r="A147" s="221"/>
      <c r="B147" s="226" t="s">
        <v>391</v>
      </c>
      <c r="C147" s="226"/>
      <c r="D147" s="234"/>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2"/>
    </row>
    <row r="148" spans="1:33" s="227" customFormat="1" ht="14.85" hidden="1" customHeight="1">
      <c r="A148" s="221"/>
      <c r="B148" s="226"/>
      <c r="C148" s="226"/>
      <c r="D148" s="234"/>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2"/>
    </row>
    <row r="149" spans="1:33" s="227" customFormat="1" ht="15" hidden="1">
      <c r="A149" s="221"/>
      <c r="B149" s="233" t="s">
        <v>388</v>
      </c>
      <c r="C149" s="226"/>
      <c r="D149" s="234"/>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2"/>
    </row>
    <row r="150" spans="1:33" s="227" customFormat="1" ht="15" hidden="1">
      <c r="A150" s="221"/>
      <c r="B150" s="226" t="s">
        <v>389</v>
      </c>
      <c r="C150" s="226"/>
      <c r="D150" s="234"/>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2"/>
    </row>
    <row r="151" spans="1:33" s="227" customFormat="1" ht="15" hidden="1">
      <c r="A151" s="221"/>
      <c r="B151" s="233"/>
      <c r="C151" s="226"/>
      <c r="D151" s="234"/>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2"/>
    </row>
    <row r="152" spans="1:33" s="227" customFormat="1" ht="15" hidden="1">
      <c r="A152" s="221"/>
      <c r="B152" s="235" t="s">
        <v>47</v>
      </c>
      <c r="C152" s="226"/>
      <c r="D152" s="234"/>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2"/>
    </row>
    <row r="153" spans="1:33" s="227" customFormat="1" ht="15" hidden="1">
      <c r="A153" s="221"/>
      <c r="B153" s="235" t="s">
        <v>48</v>
      </c>
      <c r="C153" s="226"/>
      <c r="D153" s="234"/>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2"/>
    </row>
    <row r="154" spans="1:33" s="227" customFormat="1" ht="15" hidden="1">
      <c r="A154" s="221"/>
      <c r="B154" s="235"/>
      <c r="C154" s="226"/>
      <c r="D154" s="234"/>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2"/>
    </row>
    <row r="155" spans="1:33" ht="15" hidden="1">
      <c r="B155" s="112" t="s">
        <v>49</v>
      </c>
    </row>
    <row r="156" spans="1:33" ht="15" hidden="1">
      <c r="B156" s="112" t="s">
        <v>50</v>
      </c>
    </row>
  </sheetData>
  <mergeCells count="46">
    <mergeCell ref="D10:D11"/>
    <mergeCell ref="E10:R10"/>
    <mergeCell ref="S10:AE10"/>
    <mergeCell ref="B12:C12"/>
    <mergeCell ref="B13:C13"/>
    <mergeCell ref="B10:C11"/>
    <mergeCell ref="B29:C29"/>
    <mergeCell ref="B30:C30"/>
    <mergeCell ref="B19:C19"/>
    <mergeCell ref="B15:C15"/>
    <mergeCell ref="B16:C16"/>
    <mergeCell ref="B17:C17"/>
    <mergeCell ref="B18:C18"/>
    <mergeCell ref="B25:C25"/>
    <mergeCell ref="B26:C26"/>
    <mergeCell ref="B14:C14"/>
    <mergeCell ref="B27:C27"/>
    <mergeCell ref="B28:C28"/>
    <mergeCell ref="B20:C20"/>
    <mergeCell ref="B21:C21"/>
    <mergeCell ref="B22:C22"/>
    <mergeCell ref="B23:C23"/>
    <mergeCell ref="B24:C24"/>
    <mergeCell ref="B43:C43"/>
    <mergeCell ref="B31:C31"/>
    <mergeCell ref="B33:C33"/>
    <mergeCell ref="B34:C34"/>
    <mergeCell ref="B35:C35"/>
    <mergeCell ref="B36:C36"/>
    <mergeCell ref="B37:C37"/>
    <mergeCell ref="B38:C38"/>
    <mergeCell ref="B39:C39"/>
    <mergeCell ref="B40:C40"/>
    <mergeCell ref="B41:C41"/>
    <mergeCell ref="B42:C42"/>
    <mergeCell ref="B53:C53"/>
    <mergeCell ref="B44:C44"/>
    <mergeCell ref="B87:AE87"/>
    <mergeCell ref="B45:C45"/>
    <mergeCell ref="B46:C46"/>
    <mergeCell ref="B47:C47"/>
    <mergeCell ref="B48:C48"/>
    <mergeCell ref="B50:AE50"/>
    <mergeCell ref="B51:C52"/>
    <mergeCell ref="E51:R51"/>
    <mergeCell ref="S51:AE51"/>
  </mergeCells>
  <conditionalFormatting sqref="D20">
    <cfRule type="cellIs" dxfId="14" priority="516" operator="equal">
      <formula>0</formula>
    </cfRule>
  </conditionalFormatting>
  <conditionalFormatting sqref="D27">
    <cfRule type="cellIs" dxfId="13" priority="517" operator="equal">
      <formula>0</formula>
    </cfRule>
  </conditionalFormatting>
  <conditionalFormatting sqref="D36">
    <cfRule type="cellIs" dxfId="12" priority="518" operator="equal">
      <formula>0</formula>
    </cfRule>
  </conditionalFormatting>
  <conditionalFormatting sqref="D46:D47">
    <cfRule type="cellIs" dxfId="11" priority="515" operator="equal">
      <formula>0</formula>
    </cfRule>
  </conditionalFormatting>
  <conditionalFormatting sqref="E12:AE25">
    <cfRule type="cellIs" dxfId="10" priority="13" operator="equal">
      <formula>0</formula>
    </cfRule>
  </conditionalFormatting>
  <conditionalFormatting sqref="E27:AE41">
    <cfRule type="cellIs" dxfId="9" priority="3" operator="equal">
      <formula>0</formula>
    </cfRule>
  </conditionalFormatting>
  <conditionalFormatting sqref="E44:AE48">
    <cfRule type="cellIs" dxfId="8" priority="1" operator="equal">
      <formula>0</formula>
    </cfRule>
  </conditionalFormatting>
  <dataValidations count="1">
    <dataValidation type="list" allowBlank="1" showInputMessage="1" showErrorMessage="1" sqref="B100:B124 D37:D41 D13:D19 D21:D25 D28:D35 D54:D86" xr:uid="{00000000-0002-0000-1700-000000000000}">
      <formula1>$B$100:$B$124</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E16:AE16 R67 AE67 R74 AE84 AE76:AE77 E22:AE22 E20:AE20 E27:Q27 E31:AE31 E36:AE36 E38:AE38 E42:AE48 E26:O26 Q26:AE26 S27:AE27" formula="1"/>
    <ignoredError sqref="Q54:Q59 Q77 Q82:Q83"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D1481-5F6D-4575-8865-E4751FBC66F9}">
  <sheetPr>
    <pageSetUpPr fitToPage="1"/>
  </sheetPr>
  <dimension ref="A1:O124"/>
  <sheetViews>
    <sheetView showGridLines="0" zoomScaleNormal="100" workbookViewId="0"/>
  </sheetViews>
  <sheetFormatPr defaultColWidth="0" defaultRowHeight="14.85" customHeight="1" zeroHeight="1"/>
  <cols>
    <col min="1" max="1" width="8.5703125" style="93" customWidth="1"/>
    <col min="2" max="2" width="42.42578125" style="113" customWidth="1"/>
    <col min="3" max="15" width="15.5703125" style="113" customWidth="1"/>
    <col min="16" max="16384" width="9.42578125" hidden="1"/>
  </cols>
  <sheetData>
    <row r="1" spans="1:15" ht="14.85" customHeight="1"/>
    <row r="2" spans="1:15" ht="15"/>
    <row r="3" spans="1:15" ht="15"/>
    <row r="4" spans="1:15" ht="15"/>
    <row r="5" spans="1:15" ht="18" customHeight="1">
      <c r="A5"/>
      <c r="B5" s="269" t="str">
        <f>IF(Indice_index!$Z$1=1,"ANEXOS ESTATÍSTICOS","STATISTICAL ANNEXES")</f>
        <v>ANEXOS ESTATÍSTICOS</v>
      </c>
      <c r="C5" s="269"/>
      <c r="D5" s="269"/>
      <c r="E5"/>
      <c r="F5"/>
      <c r="G5"/>
      <c r="H5"/>
      <c r="I5"/>
      <c r="J5"/>
      <c r="K5"/>
      <c r="L5"/>
      <c r="M5"/>
      <c r="N5"/>
      <c r="O5"/>
    </row>
    <row r="6" spans="1:15" ht="18" customHeight="1">
      <c r="A6"/>
      <c r="B6" s="270" t="str">
        <f>IF(Indice_index!$Z$1=1,"Setembro de 2025","September 2025")</f>
        <v>Setembro de 2025</v>
      </c>
      <c r="C6" s="270"/>
      <c r="D6" s="270"/>
      <c r="E6"/>
      <c r="F6"/>
      <c r="G6"/>
      <c r="H6"/>
      <c r="I6"/>
      <c r="J6"/>
      <c r="K6"/>
      <c r="L6"/>
      <c r="M6"/>
      <c r="N6"/>
      <c r="O6"/>
    </row>
    <row r="7" spans="1:15" ht="50.1" customHeight="1">
      <c r="B7" s="12"/>
      <c r="C7" s="12"/>
      <c r="D7" s="12"/>
      <c r="E7" s="13"/>
      <c r="F7" s="11"/>
      <c r="G7" s="11"/>
      <c r="H7" s="11"/>
      <c r="I7" s="11"/>
      <c r="J7" s="11"/>
      <c r="K7" s="11"/>
      <c r="L7" s="11"/>
      <c r="M7" s="11"/>
      <c r="N7" s="11"/>
      <c r="O7" s="11"/>
    </row>
    <row r="8" spans="1:15" ht="15.75">
      <c r="B8" s="1" t="str">
        <f>IF(Indice_index!$Z$1=1,"Quadro 22 - Estimativas de execução consideradas na conta da Administração Central","22 - Estimated amounts in Central Government Account")</f>
        <v>Quadro 22 - Estimativas de execução consideradas na conta da Administração Central</v>
      </c>
      <c r="C8" s="1"/>
      <c r="D8" s="1"/>
      <c r="E8" s="2"/>
      <c r="F8" s="2"/>
      <c r="G8" s="2"/>
      <c r="H8" s="2"/>
      <c r="I8" s="2"/>
      <c r="J8" s="2"/>
      <c r="K8" s="2"/>
      <c r="L8" s="117"/>
      <c r="M8" s="117"/>
      <c r="N8" s="117"/>
      <c r="O8" s="2"/>
    </row>
    <row r="9" spans="1:15" ht="15">
      <c r="B9" s="3" t="str">
        <f>+'3 - Conta AC + SS'!B9</f>
        <v>Período: janeiro a setembro</v>
      </c>
      <c r="C9" s="3"/>
      <c r="D9" s="3"/>
      <c r="E9" s="3"/>
      <c r="F9" s="3"/>
      <c r="G9" s="3" t="str">
        <f>IF(Indice_index!$Z$1=1,"€ Milhões","€ Millions")</f>
        <v>€ Milhões</v>
      </c>
      <c r="H9" s="3"/>
      <c r="I9" s="3"/>
      <c r="J9" s="3"/>
      <c r="K9" s="180"/>
    </row>
    <row r="10" spans="1:15" ht="75.599999999999994" customHeight="1">
      <c r="B10" s="22"/>
      <c r="C10" s="22" t="s">
        <v>468</v>
      </c>
      <c r="D10" s="22" t="s">
        <v>447</v>
      </c>
      <c r="E10" s="22" t="s">
        <v>462</v>
      </c>
      <c r="F10" s="22" t="s">
        <v>143</v>
      </c>
      <c r="G10" s="22" t="s">
        <v>379</v>
      </c>
      <c r="N10"/>
      <c r="O10"/>
    </row>
    <row r="11" spans="1:15" ht="14.1" customHeight="1">
      <c r="B11" s="275" t="str">
        <f>IF(Indice_index!$Z$1=1,"Receita corrente","Current revenue")</f>
        <v>Receita corrente</v>
      </c>
      <c r="C11" s="321">
        <v>0</v>
      </c>
      <c r="D11" s="321">
        <v>4.8959999999999997E-2</v>
      </c>
      <c r="E11" s="321">
        <v>1.58349436</v>
      </c>
      <c r="F11" s="321">
        <v>0</v>
      </c>
      <c r="G11" s="321">
        <v>1.2394897199999999</v>
      </c>
      <c r="N11"/>
      <c r="O11"/>
    </row>
    <row r="12" spans="1:15" ht="14.1" customHeight="1">
      <c r="B12" s="125" t="str">
        <f>IF(Indice_index!$Z$1=1,"Receita fiscal","Tax")</f>
        <v>Receita fiscal</v>
      </c>
      <c r="C12" s="4">
        <v>0</v>
      </c>
      <c r="D12" s="4">
        <v>0</v>
      </c>
      <c r="E12" s="4">
        <v>8.5441320000000001E-2</v>
      </c>
      <c r="F12" s="4">
        <v>0</v>
      </c>
      <c r="G12" s="4">
        <v>0</v>
      </c>
      <c r="N12"/>
      <c r="O12"/>
    </row>
    <row r="13" spans="1:15" ht="14.1" customHeight="1">
      <c r="B13" s="125" t="str">
        <f>IF(Indice_index!$Z$1=1,"Contribuições para Segurança Social, CGA e ADSE","Social security, CGA and ADSE contributions")</f>
        <v>Contribuições para Segurança Social, CGA e ADSE</v>
      </c>
      <c r="C13" s="4">
        <v>0</v>
      </c>
      <c r="D13" s="4">
        <v>0</v>
      </c>
      <c r="E13" s="4">
        <v>0</v>
      </c>
      <c r="F13" s="4">
        <v>0</v>
      </c>
      <c r="G13" s="4">
        <v>0</v>
      </c>
      <c r="N13"/>
      <c r="O13"/>
    </row>
    <row r="14" spans="1:15" ht="14.1" customHeight="1">
      <c r="B14" s="125" t="str">
        <f>IF(Indice_index!$Z$1=1,"Transferências correntes","Current transfers")</f>
        <v>Transferências correntes</v>
      </c>
      <c r="C14" s="4">
        <v>0</v>
      </c>
      <c r="D14" s="4">
        <v>4.4999999999999998E-2</v>
      </c>
      <c r="E14" s="4">
        <v>1.4858613599999999</v>
      </c>
      <c r="F14" s="4">
        <v>0</v>
      </c>
      <c r="G14" s="4">
        <v>1.1983986900000001</v>
      </c>
      <c r="N14"/>
      <c r="O14"/>
    </row>
    <row r="15" spans="1:15" ht="14.1" customHeight="1">
      <c r="B15" s="287" t="str">
        <f>IF(Indice_index!$Z$1=1,"das quais: Administração Central","of which: Central Administration")</f>
        <v>das quais: Administração Central</v>
      </c>
      <c r="C15" s="4">
        <v>0</v>
      </c>
      <c r="D15" s="4">
        <v>0</v>
      </c>
      <c r="E15" s="4">
        <v>1.485528</v>
      </c>
      <c r="F15" s="4">
        <v>0</v>
      </c>
      <c r="G15" s="4">
        <v>0</v>
      </c>
      <c r="N15"/>
      <c r="O15"/>
    </row>
    <row r="16" spans="1:15" ht="14.1" customHeight="1">
      <c r="B16" s="125" t="str">
        <f>IF(Indice_index!$Z$1=1,"Outras receitas correntes","Other current revenue")</f>
        <v>Outras receitas correntes</v>
      </c>
      <c r="C16" s="4">
        <v>0</v>
      </c>
      <c r="D16" s="4">
        <v>3.96E-3</v>
      </c>
      <c r="E16" s="4">
        <v>1.219168E-2</v>
      </c>
      <c r="F16" s="4">
        <v>0</v>
      </c>
      <c r="G16" s="4">
        <v>4.1091030000000001E-2</v>
      </c>
      <c r="N16"/>
      <c r="O16"/>
    </row>
    <row r="17" spans="2:15" ht="14.1" customHeight="1">
      <c r="B17" s="287" t="str">
        <f>IF(Indice_index!$Z$1=1,"das quais: Administração Central","of which: Central Administration")</f>
        <v>das quais: Administração Central</v>
      </c>
      <c r="C17" s="4">
        <v>0</v>
      </c>
      <c r="D17" s="4">
        <v>0</v>
      </c>
      <c r="E17" s="4">
        <v>0</v>
      </c>
      <c r="F17" s="4">
        <v>0</v>
      </c>
      <c r="G17" s="4">
        <v>0</v>
      </c>
      <c r="N17"/>
      <c r="O17"/>
    </row>
    <row r="18" spans="2:15" ht="14.1" customHeight="1">
      <c r="B18" s="287" t="str">
        <f>IF(Indice_index!$Z$1=1,"das quais: das quais: Vendas de bens e serviços / Saúde","of which: Sales of goods and services / Health sector")</f>
        <v>das quais: das quais: Vendas de bens e serviços / Saúde</v>
      </c>
      <c r="C18" s="4">
        <v>0</v>
      </c>
      <c r="D18" s="4">
        <v>0</v>
      </c>
      <c r="E18" s="4">
        <v>0</v>
      </c>
      <c r="F18" s="4">
        <v>0</v>
      </c>
      <c r="G18" s="4">
        <v>0</v>
      </c>
      <c r="N18"/>
      <c r="O18"/>
    </row>
    <row r="19" spans="2:15" ht="14.1" customHeight="1">
      <c r="B19" s="275" t="str">
        <f>IF(Indice_index!$Z$1=1,"Receita de capital","Capital revenue")</f>
        <v>Receita de capital</v>
      </c>
      <c r="C19" s="321">
        <v>0.18249999</v>
      </c>
      <c r="D19" s="321">
        <v>0</v>
      </c>
      <c r="E19" s="321">
        <v>6.6668000000000001E-4</v>
      </c>
      <c r="F19" s="321">
        <v>0</v>
      </c>
      <c r="G19" s="321">
        <v>0.37026603000000002</v>
      </c>
      <c r="N19"/>
      <c r="O19"/>
    </row>
    <row r="20" spans="2:15" ht="14.1" customHeight="1">
      <c r="B20" s="125" t="str">
        <f>IF(Indice_index!$Z$1=1,"Venda de bens de investimento","Sale of investment goods")</f>
        <v>Venda de bens de investimento</v>
      </c>
      <c r="C20" s="4">
        <v>0</v>
      </c>
      <c r="D20" s="4">
        <v>0</v>
      </c>
      <c r="E20" s="4">
        <v>6.6668000000000001E-4</v>
      </c>
      <c r="F20" s="4">
        <v>0</v>
      </c>
      <c r="G20" s="4">
        <v>0</v>
      </c>
      <c r="N20"/>
      <c r="O20"/>
    </row>
    <row r="21" spans="2:15" ht="14.1" customHeight="1">
      <c r="B21" s="125" t="str">
        <f>IF(Indice_index!$Z$1=1,"Transferências de capital","Capital transfers")</f>
        <v>Transferências de capital</v>
      </c>
      <c r="C21" s="4">
        <v>0</v>
      </c>
      <c r="D21" s="4">
        <v>0</v>
      </c>
      <c r="E21" s="4">
        <v>0</v>
      </c>
      <c r="F21" s="4">
        <v>0</v>
      </c>
      <c r="G21" s="4">
        <v>0.37026603000000002</v>
      </c>
      <c r="N21"/>
      <c r="O21"/>
    </row>
    <row r="22" spans="2:15" ht="14.1" customHeight="1">
      <c r="B22" s="287" t="str">
        <f>IF(Indice_index!$Z$1=1,"das quais: Administração Central","of which: Central Administration")</f>
        <v>das quais: Administração Central</v>
      </c>
      <c r="C22" s="4">
        <v>0</v>
      </c>
      <c r="D22" s="4">
        <v>0</v>
      </c>
      <c r="E22" s="4">
        <v>0</v>
      </c>
      <c r="F22" s="4">
        <v>0</v>
      </c>
      <c r="G22" s="4">
        <v>0.37026603000000002</v>
      </c>
      <c r="N22"/>
      <c r="O22"/>
    </row>
    <row r="23" spans="2:15" ht="14.1" customHeight="1">
      <c r="B23" s="125" t="str">
        <f>IF(Indice_index!$Z$1=1,"Outras receitas de capital","Other capital revenue")</f>
        <v>Outras receitas de capital</v>
      </c>
      <c r="C23" s="4">
        <v>0.18249999</v>
      </c>
      <c r="D23" s="4">
        <v>0</v>
      </c>
      <c r="E23" s="4">
        <v>0</v>
      </c>
      <c r="F23" s="4">
        <v>0</v>
      </c>
      <c r="G23" s="4">
        <v>0</v>
      </c>
      <c r="N23"/>
      <c r="O23"/>
    </row>
    <row r="24" spans="2:15" ht="14.1" customHeight="1">
      <c r="B24" s="17" t="str">
        <f>IF(Indice_index!$Z$1=1,"Receita efetiva","Effective revenue")</f>
        <v>Receita efetiva</v>
      </c>
      <c r="C24" s="18">
        <v>0.18249999</v>
      </c>
      <c r="D24" s="18">
        <v>4.8959999999999997E-2</v>
      </c>
      <c r="E24" s="18">
        <v>1.5841610399999999</v>
      </c>
      <c r="F24" s="18">
        <v>0</v>
      </c>
      <c r="G24" s="18">
        <v>1.6097557499999999</v>
      </c>
      <c r="N24"/>
      <c r="O24"/>
    </row>
    <row r="25" spans="2:15" ht="14.1" customHeight="1">
      <c r="B25" s="275" t="str">
        <f>IF(Indice_index!$Z$1=1,"Despesa corrente","Current expenditure")</f>
        <v>Despesa corrente</v>
      </c>
      <c r="C25" s="134">
        <v>2.0000009999999999E-2</v>
      </c>
      <c r="D25" s="134">
        <v>4.8959999999999997E-2</v>
      </c>
      <c r="E25" s="134">
        <v>1.1730463200000001</v>
      </c>
      <c r="F25" s="134">
        <v>0.74431502999999999</v>
      </c>
      <c r="G25" s="134">
        <v>1.58352147</v>
      </c>
      <c r="N25"/>
      <c r="O25"/>
    </row>
    <row r="26" spans="2:15" ht="14.1" customHeight="1">
      <c r="B26" s="125" t="str">
        <f>IF(Indice_index!$Z$1=1,"Despesas com o pessoal","Employees")</f>
        <v>Despesas com o pessoal</v>
      </c>
      <c r="C26" s="4">
        <v>0</v>
      </c>
      <c r="D26" s="4">
        <v>0</v>
      </c>
      <c r="E26" s="4">
        <v>0.33950464000000002</v>
      </c>
      <c r="F26" s="4">
        <v>4.4841060000000002E-2</v>
      </c>
      <c r="G26" s="4">
        <v>0.91487025</v>
      </c>
      <c r="N26"/>
      <c r="O26"/>
    </row>
    <row r="27" spans="2:15" ht="14.1" customHeight="1">
      <c r="B27" s="125" t="str">
        <f>IF(Indice_index!$Z$1=1,"Aquisição de bens e serviços","Purchase of goods and services")</f>
        <v>Aquisição de bens e serviços</v>
      </c>
      <c r="C27" s="4">
        <v>2.0000009999999999E-2</v>
      </c>
      <c r="D27" s="4">
        <v>1.80225E-2</v>
      </c>
      <c r="E27" s="4">
        <v>7.5728000000000004E-2</v>
      </c>
      <c r="F27" s="4">
        <v>0.69947397</v>
      </c>
      <c r="G27" s="4">
        <v>0.28501568999999999</v>
      </c>
      <c r="N27"/>
      <c r="O27"/>
    </row>
    <row r="28" spans="2:15" ht="14.1" customHeight="1">
      <c r="B28" s="287" t="str">
        <f>IF(Indice_index!$Z$1=1,"das quais: das quais: Aquisição de bens e serviços / Saúde","of which: Purchase of goods and services / Health sector")</f>
        <v>das quais: das quais: Aquisição de bens e serviços / Saúde</v>
      </c>
      <c r="C28" s="4">
        <v>0</v>
      </c>
      <c r="D28" s="4">
        <v>0</v>
      </c>
      <c r="E28" s="4">
        <v>0</v>
      </c>
      <c r="F28" s="4">
        <v>0</v>
      </c>
      <c r="G28" s="4">
        <v>0</v>
      </c>
      <c r="N28"/>
      <c r="O28"/>
    </row>
    <row r="29" spans="2:15" ht="14.1" customHeight="1">
      <c r="B29" s="125" t="str">
        <f>IF(Indice_index!$Z$1=1,"Juros e outros encargos","Interests and other charges")</f>
        <v>Juros e outros encargos</v>
      </c>
      <c r="C29" s="4">
        <v>0</v>
      </c>
      <c r="D29" s="4">
        <v>0</v>
      </c>
      <c r="E29" s="4">
        <v>0</v>
      </c>
      <c r="F29" s="4">
        <v>0</v>
      </c>
      <c r="G29" s="4">
        <v>3.591E-3</v>
      </c>
      <c r="N29"/>
      <c r="O29"/>
    </row>
    <row r="30" spans="2:15" ht="14.1" customHeight="1">
      <c r="B30" s="287" t="str">
        <f>IF(Indice_index!$Z$1=1,"dos quais: Administração Central","of which: Central Administration")</f>
        <v>dos quais: Administração Central</v>
      </c>
      <c r="C30" s="4">
        <v>0</v>
      </c>
      <c r="D30" s="4">
        <v>0</v>
      </c>
      <c r="E30" s="4">
        <v>0</v>
      </c>
      <c r="F30" s="4">
        <v>0</v>
      </c>
      <c r="G30" s="4">
        <v>0</v>
      </c>
      <c r="N30"/>
      <c r="O30"/>
    </row>
    <row r="31" spans="2:15" ht="14.1" customHeight="1">
      <c r="B31" s="125" t="str">
        <f>IF(Indice_index!$Z$1=1,"Transferências correntes","Current transfers")</f>
        <v>Transferências correntes</v>
      </c>
      <c r="C31" s="4">
        <v>0</v>
      </c>
      <c r="D31" s="4">
        <v>3.0750030000000001E-2</v>
      </c>
      <c r="E31" s="4">
        <v>0.75260967999999995</v>
      </c>
      <c r="F31" s="4">
        <v>0</v>
      </c>
      <c r="G31" s="4">
        <v>0.37629449999999998</v>
      </c>
      <c r="N31"/>
      <c r="O31"/>
    </row>
    <row r="32" spans="2:15" ht="14.1" customHeight="1">
      <c r="B32" s="287" t="str">
        <f>IF(Indice_index!$Z$1=1,"das quais: Administração Central","of which: Central Administration")</f>
        <v>das quais: Administração Central</v>
      </c>
      <c r="C32" s="4">
        <v>0</v>
      </c>
      <c r="D32" s="4">
        <v>0</v>
      </c>
      <c r="E32" s="4">
        <v>0</v>
      </c>
      <c r="F32" s="4">
        <v>0</v>
      </c>
      <c r="G32" s="4">
        <v>0</v>
      </c>
      <c r="N32"/>
      <c r="O32"/>
    </row>
    <row r="33" spans="2:15" ht="14.1" customHeight="1">
      <c r="B33" s="125" t="str">
        <f>IF(Indice_index!$Z$1=1,"Subsídios","Subsidies")</f>
        <v>Subsídios</v>
      </c>
      <c r="C33" s="4">
        <v>0</v>
      </c>
      <c r="D33" s="4">
        <v>0</v>
      </c>
      <c r="E33" s="4">
        <v>0</v>
      </c>
      <c r="F33" s="4">
        <v>0</v>
      </c>
      <c r="G33" s="4">
        <v>0</v>
      </c>
      <c r="N33"/>
      <c r="O33"/>
    </row>
    <row r="34" spans="2:15" ht="14.1" customHeight="1">
      <c r="B34" s="172" t="str">
        <f>IF(Indice_index!$Z$1=1,"dos quais: Administração Central","of which: Central Administration")</f>
        <v>dos quais: Administração Central</v>
      </c>
      <c r="C34" s="4">
        <v>0</v>
      </c>
      <c r="D34" s="4">
        <v>0</v>
      </c>
      <c r="E34" s="4">
        <v>0</v>
      </c>
      <c r="F34" s="4">
        <v>0</v>
      </c>
      <c r="G34" s="4">
        <v>0</v>
      </c>
      <c r="N34"/>
      <c r="O34"/>
    </row>
    <row r="35" spans="2:15" ht="14.1" customHeight="1">
      <c r="B35" s="125" t="str">
        <f>IF(Indice_index!$Z$1=1,"Outras despesas correntes","Other current expenditure")</f>
        <v>Outras despesas correntes</v>
      </c>
      <c r="C35" s="4">
        <v>0</v>
      </c>
      <c r="D35" s="4">
        <v>1.8746999999999999E-4</v>
      </c>
      <c r="E35" s="4">
        <v>5.2040000000000003E-3</v>
      </c>
      <c r="F35" s="4">
        <v>0</v>
      </c>
      <c r="G35" s="4">
        <v>3.7500300000000001E-3</v>
      </c>
      <c r="N35"/>
      <c r="O35"/>
    </row>
    <row r="36" spans="2:15" ht="14.1" customHeight="1">
      <c r="B36" s="275" t="str">
        <f>IF(Indice_index!$Z$1=1,"Despesa de capital","Capital expenditure")</f>
        <v>Despesa de capital</v>
      </c>
      <c r="C36" s="134">
        <v>0.16250001</v>
      </c>
      <c r="D36" s="134">
        <v>0</v>
      </c>
      <c r="E36" s="134">
        <v>2.7E-2</v>
      </c>
      <c r="F36" s="134">
        <v>0</v>
      </c>
      <c r="G36" s="134">
        <v>0</v>
      </c>
      <c r="N36"/>
      <c r="O36"/>
    </row>
    <row r="37" spans="2:15" ht="14.1" customHeight="1">
      <c r="B37" s="125" t="str">
        <f>IF(Indice_index!$Z$1=1,"Investimento","Investment")</f>
        <v>Investimento</v>
      </c>
      <c r="C37" s="4">
        <v>0.16250001</v>
      </c>
      <c r="D37" s="4">
        <v>0</v>
      </c>
      <c r="E37" s="4">
        <v>2.6666680000000002E-2</v>
      </c>
      <c r="F37" s="4">
        <v>0</v>
      </c>
      <c r="G37" s="4">
        <v>0</v>
      </c>
      <c r="N37"/>
      <c r="O37"/>
    </row>
    <row r="38" spans="2:15" ht="14.1" customHeight="1">
      <c r="B38" s="125" t="str">
        <f>IF(Indice_index!$Z$1=1,"Transferências de capital","Capital transfers")</f>
        <v>Transferências de capital</v>
      </c>
      <c r="C38" s="4">
        <v>0</v>
      </c>
      <c r="D38" s="4">
        <v>0</v>
      </c>
      <c r="E38" s="4">
        <v>3.3332000000000001E-4</v>
      </c>
      <c r="F38" s="4">
        <v>0</v>
      </c>
      <c r="G38" s="4">
        <v>0</v>
      </c>
      <c r="N38"/>
      <c r="O38"/>
    </row>
    <row r="39" spans="2:15" ht="14.1" customHeight="1">
      <c r="B39" s="287" t="str">
        <f>IF(Indice_index!$Z$1=1,"das quais: Administração Central","of which: Central Administration")</f>
        <v>das quais: Administração Central</v>
      </c>
      <c r="C39" s="4">
        <v>0</v>
      </c>
      <c r="D39" s="4">
        <v>0</v>
      </c>
      <c r="E39" s="4">
        <v>0</v>
      </c>
      <c r="F39" s="4">
        <v>0</v>
      </c>
      <c r="G39" s="4">
        <v>0</v>
      </c>
      <c r="N39"/>
      <c r="O39"/>
    </row>
    <row r="40" spans="2:15" ht="14.1" customHeight="1">
      <c r="B40" s="125" t="str">
        <f>IF(Indice_index!$Z$1=1,"Outras despesas de capital","Other capital expenditure")</f>
        <v>Outras despesas de capital</v>
      </c>
      <c r="C40" s="4">
        <v>0</v>
      </c>
      <c r="D40" s="4">
        <v>0</v>
      </c>
      <c r="E40" s="4">
        <v>0</v>
      </c>
      <c r="F40" s="4">
        <v>0</v>
      </c>
      <c r="G40" s="4">
        <v>0</v>
      </c>
      <c r="N40"/>
      <c r="O40"/>
    </row>
    <row r="41" spans="2:15" ht="14.1" customHeight="1">
      <c r="B41" s="17" t="str">
        <f>IF(Indice_index!$Z$1=1,"Despesa efetiva","Effective expenditure")</f>
        <v>Despesa efetiva</v>
      </c>
      <c r="C41" s="18">
        <v>0.18250002000000001</v>
      </c>
      <c r="D41" s="18">
        <v>4.8959999999999997E-2</v>
      </c>
      <c r="E41" s="18">
        <v>1.20004632</v>
      </c>
      <c r="F41" s="18">
        <v>0.74431502999999999</v>
      </c>
      <c r="G41" s="18">
        <v>1.58352147</v>
      </c>
      <c r="N41"/>
      <c r="O41"/>
    </row>
    <row r="42" spans="2:15" ht="14.1" customHeight="1">
      <c r="B42" s="17" t="str">
        <f>IF(Indice_index!$Z$1=1,"Saldo global","Overall balance")</f>
        <v>Saldo global</v>
      </c>
      <c r="C42" s="18">
        <v>-3.00000000119649E-8</v>
      </c>
      <c r="D42" s="18">
        <v>0</v>
      </c>
      <c r="E42" s="18">
        <v>0.38411472000000002</v>
      </c>
      <c r="F42" s="18">
        <v>-0.74431502999999999</v>
      </c>
      <c r="G42" s="18">
        <v>2.6234279999999902E-2</v>
      </c>
      <c r="N42"/>
      <c r="O42"/>
    </row>
    <row r="43" spans="2:15" ht="60" customHeight="1">
      <c r="B43" s="26" t="str">
        <f>IF(Indice_index!$Z$1=1,"Períodos com ausência de reporte","Months without report")</f>
        <v>Períodos com ausência de reporte</v>
      </c>
      <c r="C43" s="133" t="str">
        <f>IF(Indice_index!$Z$1=1,"julho; agosto; setembro","July; August; September")</f>
        <v>julho; agosto; setembro</v>
      </c>
      <c r="D43" s="133" t="str">
        <f>IF(Indice_index!$Z$1=1,"janeiro; fevereiro; março; abril; maio; junho; julho; agosto; setembro","January;February; March; April; May; June; July; August; September")</f>
        <v>janeiro; fevereiro; março; abril; maio; junho; julho; agosto; setembro</v>
      </c>
      <c r="E43" s="133" t="str">
        <f>IF(Indice_index!$Z$1=1,"junho; julho; agosto; setembro","June; July; August; September")</f>
        <v>junho; julho; agosto; setembro</v>
      </c>
      <c r="F43" s="133" t="str">
        <f>IF(Indice_index!$Z$1=1,"janeiro; fevereiro; março; abril; maio; junho; julho; agosto; setembro","January;February; March; April; May; June; July; August; September")</f>
        <v>janeiro; fevereiro; março; abril; maio; junho; julho; agosto; setembro</v>
      </c>
      <c r="G43" s="133" t="str">
        <f>IF(Indice_index!$Z$1=1,"janeiro; fevereiro; março; abril; maio; junho; julho; agosto; setembro","January;February; March; April; May; June; July; August; September")</f>
        <v>janeiro; fevereiro; março; abril; maio; junho; julho; agosto; setembro</v>
      </c>
      <c r="N43"/>
      <c r="O43"/>
    </row>
    <row r="44" spans="2:15" ht="15">
      <c r="B44" s="115"/>
      <c r="C44" s="115"/>
      <c r="D44" s="115"/>
      <c r="E44" s="115"/>
      <c r="F44" s="115"/>
      <c r="G44" s="115"/>
      <c r="H44" s="115"/>
      <c r="I44" s="115"/>
      <c r="J44" s="115"/>
      <c r="K44" s="115"/>
      <c r="L44" s="115"/>
      <c r="M44" s="115"/>
      <c r="N44" s="115"/>
      <c r="O44" s="115"/>
    </row>
    <row r="45" spans="2:15" ht="15" hidden="1">
      <c r="B45" s="115"/>
      <c r="C45" s="115"/>
      <c r="D45" s="115"/>
      <c r="E45" s="115"/>
      <c r="F45" s="115"/>
      <c r="G45" s="115"/>
      <c r="H45" s="115"/>
      <c r="I45" s="115"/>
      <c r="J45" s="115"/>
      <c r="K45" s="115"/>
      <c r="L45" s="115"/>
      <c r="M45" s="115"/>
      <c r="N45" s="115"/>
      <c r="O45" s="115"/>
    </row>
    <row r="46" spans="2:15" ht="15" hidden="1">
      <c r="B46" s="3"/>
      <c r="C46" s="3"/>
      <c r="D46" s="3"/>
      <c r="E46" s="3"/>
      <c r="F46" s="3"/>
      <c r="G46" s="3"/>
      <c r="H46" s="3"/>
      <c r="I46" s="3"/>
      <c r="K46" s="3"/>
      <c r="L46" s="118"/>
      <c r="M46" s="180"/>
    </row>
    <row r="47" spans="2:15" ht="75.599999999999994" hidden="1" customHeight="1">
      <c r="B47" s="181"/>
      <c r="C47" s="181"/>
      <c r="D47" s="181"/>
      <c r="E47" s="181"/>
      <c r="F47" s="181"/>
      <c r="G47" s="181"/>
      <c r="H47" s="181"/>
      <c r="L47"/>
      <c r="M47"/>
      <c r="N47"/>
      <c r="O47"/>
    </row>
    <row r="48" spans="2:15" ht="14.1" hidden="1" customHeight="1">
      <c r="B48" s="275"/>
      <c r="C48" s="275"/>
      <c r="D48" s="275"/>
      <c r="E48" s="179"/>
      <c r="F48" s="179"/>
      <c r="G48" s="179"/>
      <c r="H48" s="179"/>
      <c r="L48"/>
      <c r="M48"/>
      <c r="N48"/>
      <c r="O48"/>
    </row>
    <row r="49" spans="2:15" ht="14.1" hidden="1" customHeight="1">
      <c r="B49" s="239"/>
      <c r="C49" s="239"/>
      <c r="D49" s="239"/>
      <c r="E49" s="182"/>
      <c r="F49" s="182"/>
      <c r="G49" s="182"/>
      <c r="H49" s="182"/>
      <c r="L49"/>
      <c r="M49"/>
      <c r="N49"/>
      <c r="O49"/>
    </row>
    <row r="50" spans="2:15" ht="14.1" hidden="1" customHeight="1">
      <c r="B50" s="239"/>
      <c r="C50" s="239"/>
      <c r="D50" s="239"/>
      <c r="E50" s="182"/>
      <c r="F50" s="182"/>
      <c r="G50" s="182"/>
      <c r="H50" s="182"/>
      <c r="L50"/>
      <c r="M50"/>
      <c r="N50"/>
      <c r="O50"/>
    </row>
    <row r="51" spans="2:15" ht="14.1" hidden="1" customHeight="1">
      <c r="B51" s="239"/>
      <c r="C51" s="239"/>
      <c r="D51" s="239"/>
      <c r="E51" s="182"/>
      <c r="F51" s="182"/>
      <c r="G51" s="182"/>
      <c r="H51" s="182"/>
      <c r="L51"/>
      <c r="M51"/>
      <c r="N51"/>
      <c r="O51"/>
    </row>
    <row r="52" spans="2:15" ht="14.1" hidden="1" customHeight="1">
      <c r="B52" s="278"/>
      <c r="C52" s="278"/>
      <c r="D52" s="278"/>
      <c r="E52" s="182"/>
      <c r="F52" s="182"/>
      <c r="G52" s="182"/>
      <c r="H52" s="182"/>
      <c r="L52"/>
      <c r="M52"/>
      <c r="N52"/>
      <c r="O52"/>
    </row>
    <row r="53" spans="2:15" ht="14.1" hidden="1" customHeight="1">
      <c r="B53" s="239"/>
      <c r="C53" s="239"/>
      <c r="D53" s="239"/>
      <c r="E53" s="182"/>
      <c r="F53" s="182"/>
      <c r="G53" s="182"/>
      <c r="H53" s="182"/>
      <c r="L53"/>
      <c r="M53"/>
      <c r="N53"/>
      <c r="O53"/>
    </row>
    <row r="54" spans="2:15" ht="14.1" hidden="1" customHeight="1">
      <c r="B54" s="278"/>
      <c r="C54" s="278"/>
      <c r="D54" s="278"/>
      <c r="E54" s="182"/>
      <c r="F54" s="182"/>
      <c r="G54" s="182"/>
      <c r="H54" s="182"/>
      <c r="L54"/>
      <c r="M54"/>
      <c r="N54"/>
      <c r="O54"/>
    </row>
    <row r="55" spans="2:15" ht="14.1" hidden="1" customHeight="1">
      <c r="B55" s="278"/>
      <c r="C55" s="278"/>
      <c r="D55" s="278"/>
      <c r="E55" s="182"/>
      <c r="F55" s="182"/>
      <c r="G55" s="182"/>
      <c r="H55" s="182"/>
      <c r="L55"/>
      <c r="M55"/>
      <c r="N55"/>
      <c r="O55"/>
    </row>
    <row r="56" spans="2:15" ht="14.1" hidden="1" customHeight="1">
      <c r="B56" s="275"/>
      <c r="C56" s="275"/>
      <c r="D56" s="275"/>
      <c r="E56" s="179"/>
      <c r="F56" s="179"/>
      <c r="G56" s="179"/>
      <c r="H56" s="179"/>
      <c r="L56"/>
      <c r="M56"/>
      <c r="N56"/>
      <c r="O56"/>
    </row>
    <row r="57" spans="2:15" ht="14.1" hidden="1" customHeight="1">
      <c r="B57" s="239"/>
      <c r="C57" s="239"/>
      <c r="D57" s="239"/>
      <c r="E57" s="182"/>
      <c r="F57" s="182"/>
      <c r="G57" s="182"/>
      <c r="H57" s="182"/>
      <c r="L57"/>
      <c r="M57"/>
      <c r="N57"/>
      <c r="O57"/>
    </row>
    <row r="58" spans="2:15" ht="14.1" hidden="1" customHeight="1">
      <c r="B58" s="239"/>
      <c r="C58" s="239"/>
      <c r="D58" s="239"/>
      <c r="E58" s="182"/>
      <c r="F58" s="182"/>
      <c r="G58" s="182"/>
      <c r="H58" s="182"/>
      <c r="L58"/>
      <c r="M58"/>
      <c r="N58"/>
      <c r="O58"/>
    </row>
    <row r="59" spans="2:15" ht="14.1" hidden="1" customHeight="1">
      <c r="B59" s="278"/>
      <c r="C59" s="278"/>
      <c r="D59" s="278"/>
      <c r="E59" s="182"/>
      <c r="F59" s="182"/>
      <c r="G59" s="182"/>
      <c r="H59" s="182"/>
      <c r="L59"/>
      <c r="M59"/>
      <c r="N59"/>
      <c r="O59"/>
    </row>
    <row r="60" spans="2:15" ht="14.1" hidden="1" customHeight="1">
      <c r="B60" s="239"/>
      <c r="C60" s="239"/>
      <c r="D60" s="239"/>
      <c r="E60" s="182"/>
      <c r="F60" s="182"/>
      <c r="G60" s="182"/>
      <c r="H60" s="182"/>
      <c r="L60"/>
      <c r="M60"/>
      <c r="N60"/>
      <c r="O60"/>
    </row>
    <row r="61" spans="2:15" ht="14.1" hidden="1" customHeight="1">
      <c r="B61" s="279"/>
      <c r="C61" s="279"/>
      <c r="D61" s="279"/>
      <c r="E61" s="183"/>
      <c r="F61" s="183"/>
      <c r="G61" s="183"/>
      <c r="H61" s="183"/>
      <c r="L61"/>
      <c r="M61"/>
      <c r="N61"/>
      <c r="O61"/>
    </row>
    <row r="62" spans="2:15" ht="14.1" hidden="1" customHeight="1">
      <c r="B62" s="275"/>
      <c r="C62" s="275"/>
      <c r="D62" s="275"/>
      <c r="E62" s="179"/>
      <c r="F62" s="179"/>
      <c r="G62" s="179"/>
      <c r="H62" s="179"/>
      <c r="L62"/>
      <c r="M62"/>
      <c r="N62"/>
      <c r="O62"/>
    </row>
    <row r="63" spans="2:15" ht="14.1" hidden="1" customHeight="1">
      <c r="B63" s="239"/>
      <c r="C63" s="239"/>
      <c r="D63" s="239"/>
      <c r="E63" s="182"/>
      <c r="F63" s="182"/>
      <c r="G63" s="182"/>
      <c r="H63" s="182"/>
      <c r="L63"/>
      <c r="M63"/>
      <c r="N63"/>
      <c r="O63"/>
    </row>
    <row r="64" spans="2:15" ht="14.1" hidden="1" customHeight="1">
      <c r="B64" s="239"/>
      <c r="C64" s="239"/>
      <c r="D64" s="239"/>
      <c r="E64" s="182"/>
      <c r="F64" s="182"/>
      <c r="G64" s="182"/>
      <c r="H64" s="182"/>
      <c r="L64"/>
      <c r="M64"/>
      <c r="N64"/>
      <c r="O64"/>
    </row>
    <row r="65" spans="2:15" ht="14.1" hidden="1" customHeight="1">
      <c r="B65" s="278"/>
      <c r="C65" s="278"/>
      <c r="D65" s="278"/>
      <c r="E65" s="182"/>
      <c r="F65" s="182"/>
      <c r="G65" s="182"/>
      <c r="H65" s="182"/>
      <c r="L65"/>
      <c r="M65"/>
      <c r="N65"/>
      <c r="O65"/>
    </row>
    <row r="66" spans="2:15" ht="14.1" hidden="1" customHeight="1">
      <c r="B66" s="239"/>
      <c r="C66" s="239"/>
      <c r="D66" s="239"/>
      <c r="E66" s="182"/>
      <c r="F66" s="182"/>
      <c r="G66" s="182"/>
      <c r="H66" s="182"/>
      <c r="L66"/>
      <c r="M66"/>
      <c r="N66"/>
      <c r="O66"/>
    </row>
    <row r="67" spans="2:15" ht="14.1" hidden="1" customHeight="1">
      <c r="B67" s="278"/>
      <c r="C67" s="278"/>
      <c r="D67" s="278"/>
      <c r="E67" s="182"/>
      <c r="F67" s="182"/>
      <c r="G67" s="182"/>
      <c r="H67" s="182"/>
      <c r="L67"/>
      <c r="M67"/>
      <c r="N67"/>
      <c r="O67"/>
    </row>
    <row r="68" spans="2:15" ht="14.1" hidden="1" customHeight="1">
      <c r="B68" s="239"/>
      <c r="C68" s="239"/>
      <c r="D68" s="239"/>
      <c r="E68" s="182"/>
      <c r="F68" s="182"/>
      <c r="G68" s="182"/>
      <c r="H68" s="182"/>
      <c r="L68"/>
      <c r="M68"/>
      <c r="N68"/>
      <c r="O68"/>
    </row>
    <row r="69" spans="2:15" ht="14.1" hidden="1" customHeight="1">
      <c r="B69" s="278"/>
      <c r="C69" s="278"/>
      <c r="D69" s="278"/>
      <c r="E69" s="182"/>
      <c r="F69" s="182"/>
      <c r="G69" s="182"/>
      <c r="H69" s="182"/>
      <c r="L69"/>
      <c r="M69"/>
      <c r="N69"/>
      <c r="O69"/>
    </row>
    <row r="70" spans="2:15" ht="14.1" hidden="1" customHeight="1">
      <c r="B70" s="239"/>
      <c r="C70" s="239"/>
      <c r="D70" s="239"/>
      <c r="E70" s="182"/>
      <c r="F70" s="182"/>
      <c r="G70" s="182"/>
      <c r="H70" s="182"/>
      <c r="L70"/>
      <c r="M70"/>
      <c r="N70"/>
      <c r="O70"/>
    </row>
    <row r="71" spans="2:15" ht="14.1" hidden="1" customHeight="1">
      <c r="B71" s="276"/>
      <c r="C71" s="276"/>
      <c r="D71" s="276"/>
      <c r="E71" s="182"/>
      <c r="F71" s="182"/>
      <c r="G71" s="182"/>
      <c r="H71" s="182"/>
      <c r="L71"/>
      <c r="M71"/>
      <c r="N71"/>
      <c r="O71"/>
    </row>
    <row r="72" spans="2:15" ht="14.1" hidden="1" customHeight="1">
      <c r="B72" s="239"/>
      <c r="C72" s="239"/>
      <c r="D72" s="239"/>
      <c r="E72" s="182"/>
      <c r="F72" s="182"/>
      <c r="G72" s="182"/>
      <c r="H72" s="182"/>
      <c r="L72"/>
      <c r="M72"/>
      <c r="N72"/>
      <c r="O72"/>
    </row>
    <row r="73" spans="2:15" ht="14.1" hidden="1" customHeight="1">
      <c r="B73" s="275"/>
      <c r="C73" s="275"/>
      <c r="D73" s="275"/>
      <c r="E73" s="179"/>
      <c r="F73" s="179"/>
      <c r="G73" s="179"/>
      <c r="H73" s="179"/>
      <c r="L73"/>
      <c r="M73"/>
      <c r="N73"/>
      <c r="O73"/>
    </row>
    <row r="74" spans="2:15" ht="14.1" hidden="1" customHeight="1">
      <c r="B74" s="239"/>
      <c r="C74" s="239"/>
      <c r="D74" s="239"/>
      <c r="E74" s="182"/>
      <c r="F74" s="182"/>
      <c r="G74" s="182"/>
      <c r="H74" s="182"/>
      <c r="L74"/>
      <c r="M74"/>
      <c r="N74"/>
      <c r="O74"/>
    </row>
    <row r="75" spans="2:15" ht="14.1" hidden="1" customHeight="1">
      <c r="B75" s="239"/>
      <c r="C75" s="239"/>
      <c r="D75" s="239"/>
      <c r="E75" s="182"/>
      <c r="F75" s="182"/>
      <c r="G75" s="182"/>
      <c r="H75" s="182"/>
      <c r="L75"/>
      <c r="M75"/>
      <c r="N75"/>
      <c r="O75"/>
    </row>
    <row r="76" spans="2:15" ht="14.1" hidden="1" customHeight="1">
      <c r="B76" s="278"/>
      <c r="C76" s="278"/>
      <c r="D76" s="278"/>
      <c r="E76" s="182"/>
      <c r="F76" s="182"/>
      <c r="G76" s="182"/>
      <c r="H76" s="182"/>
      <c r="L76"/>
      <c r="M76"/>
      <c r="N76"/>
      <c r="O76"/>
    </row>
    <row r="77" spans="2:15" ht="14.1" hidden="1" customHeight="1">
      <c r="B77" s="239"/>
      <c r="C77" s="239"/>
      <c r="D77" s="239"/>
      <c r="E77" s="182"/>
      <c r="F77" s="182"/>
      <c r="G77" s="182"/>
      <c r="H77" s="182"/>
      <c r="L77"/>
      <c r="M77"/>
      <c r="N77"/>
      <c r="O77"/>
    </row>
    <row r="78" spans="2:15" ht="14.1" hidden="1" customHeight="1">
      <c r="B78" s="279"/>
      <c r="C78" s="279"/>
      <c r="D78" s="279"/>
      <c r="E78" s="183"/>
      <c r="F78" s="183"/>
      <c r="G78" s="183"/>
      <c r="H78" s="183"/>
      <c r="L78"/>
      <c r="M78"/>
      <c r="N78"/>
      <c r="O78"/>
    </row>
    <row r="79" spans="2:15" ht="14.1" hidden="1" customHeight="1">
      <c r="B79" s="279"/>
      <c r="C79" s="279"/>
      <c r="D79" s="279"/>
      <c r="E79" s="183"/>
      <c r="F79" s="183"/>
      <c r="G79" s="183"/>
      <c r="H79" s="183"/>
      <c r="L79"/>
      <c r="M79"/>
      <c r="N79"/>
      <c r="O79"/>
    </row>
    <row r="80" spans="2:15" ht="60" hidden="1" customHeight="1">
      <c r="B80" s="279"/>
      <c r="C80" s="279"/>
      <c r="D80" s="279"/>
      <c r="E80" s="184"/>
      <c r="F80" s="184"/>
      <c r="G80" s="184"/>
      <c r="H80" s="184"/>
      <c r="L80"/>
      <c r="M80"/>
      <c r="N80"/>
      <c r="O80"/>
    </row>
    <row r="81" spans="2:15" ht="15" hidden="1">
      <c r="B81" s="115"/>
      <c r="C81" s="115"/>
      <c r="D81" s="115"/>
      <c r="E81" s="115"/>
      <c r="F81" s="115"/>
      <c r="G81" s="115"/>
      <c r="H81" s="115"/>
      <c r="I81" s="115"/>
      <c r="J81" s="115"/>
      <c r="K81" s="115"/>
      <c r="L81" s="115"/>
      <c r="M81" s="115"/>
      <c r="N81" s="115"/>
      <c r="O81" s="115"/>
    </row>
    <row r="82" spans="2:15" ht="15">
      <c r="B82" s="115" t="str">
        <f>IF(Indice_index!$Z$1=1,"Notas:","Notes:")</f>
        <v>Notas:</v>
      </c>
      <c r="C82" s="115"/>
      <c r="D82" s="115"/>
      <c r="E82" s="115"/>
      <c r="F82" s="115"/>
      <c r="G82" s="115"/>
      <c r="H82" s="115"/>
      <c r="I82" s="115"/>
      <c r="J82" s="115"/>
      <c r="K82" s="115"/>
      <c r="L82" s="115"/>
      <c r="M82" s="115"/>
      <c r="N82" s="115"/>
      <c r="O82" s="115"/>
    </row>
    <row r="83" spans="2:15" ht="24" customHeight="1">
      <c r="B83" s="463"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3" s="463"/>
      <c r="D83" s="463"/>
      <c r="E83" s="463"/>
      <c r="F83" s="463"/>
      <c r="G83" s="463"/>
      <c r="H83" s="249"/>
      <c r="I83" s="249"/>
      <c r="J83" s="249"/>
      <c r="K83" s="249"/>
      <c r="L83" s="115"/>
      <c r="M83" s="115"/>
      <c r="N83" s="115"/>
      <c r="O83" s="115"/>
    </row>
    <row r="84" spans="2:15" ht="15" customHeight="1">
      <c r="B84" s="464" t="str">
        <f>+'8 - EPR'!B77</f>
        <v>Esta estimativa apenas é utilizada para os meses em que haja falta de reporte. Nos restantes meses, é utilizada a informação efetivamente reportada pelas entidades.</v>
      </c>
      <c r="C84" s="464"/>
      <c r="D84" s="464"/>
      <c r="E84" s="464"/>
      <c r="F84" s="464"/>
      <c r="G84" s="464"/>
      <c r="H84" s="248"/>
      <c r="I84" s="248"/>
      <c r="J84" s="248"/>
      <c r="K84" s="248"/>
      <c r="L84" s="464"/>
      <c r="M84" s="464"/>
      <c r="N84" s="464"/>
      <c r="O84" s="464"/>
    </row>
    <row r="85" spans="2:15" ht="24" hidden="1" customHeight="1">
      <c r="B85" s="464"/>
      <c r="C85" s="464"/>
      <c r="D85" s="464"/>
      <c r="E85" s="464"/>
      <c r="F85" s="464"/>
      <c r="G85" s="464"/>
      <c r="H85" s="464"/>
      <c r="I85" s="464"/>
      <c r="J85" s="464"/>
      <c r="K85" s="248"/>
      <c r="L85" s="203"/>
      <c r="M85" s="203"/>
      <c r="N85" s="203"/>
      <c r="O85" s="203"/>
    </row>
    <row r="86" spans="2:15" ht="24" hidden="1" customHeight="1">
      <c r="B86" s="464"/>
      <c r="C86" s="464"/>
      <c r="D86" s="464"/>
      <c r="E86" s="464"/>
      <c r="F86" s="464"/>
      <c r="G86" s="464"/>
      <c r="H86" s="464"/>
      <c r="I86" s="464"/>
      <c r="J86" s="464"/>
      <c r="K86" s="248"/>
      <c r="L86" s="203"/>
      <c r="M86" s="203"/>
      <c r="N86" s="203"/>
      <c r="O86" s="203"/>
    </row>
    <row r="87" spans="2:15" ht="15">
      <c r="B87" s="164" t="str">
        <f>IF(Indice_index!$Z$1=1,"Fonte: Entidade Orçamental.","Source: Budgetary Entity.")</f>
        <v>Fonte: Entidade Orçamental.</v>
      </c>
      <c r="C87" s="164"/>
      <c r="D87" s="164"/>
      <c r="E87" s="114"/>
      <c r="F87" s="114"/>
      <c r="G87" s="114"/>
      <c r="H87" s="114"/>
      <c r="I87" s="114"/>
      <c r="J87" s="114"/>
      <c r="K87" s="114"/>
      <c r="L87" s="114"/>
      <c r="M87" s="114"/>
      <c r="N87" s="114"/>
      <c r="O87" s="114"/>
    </row>
    <row r="88" spans="2:15" ht="14.85" customHeight="1"/>
    <row r="89" spans="2:15" ht="14.85" customHeight="1"/>
    <row r="90" spans="2:15" ht="14.85" customHeight="1"/>
    <row r="91" spans="2:15" ht="14.85" customHeight="1"/>
    <row r="92" spans="2:15" ht="14.85" customHeight="1"/>
    <row r="93" spans="2:15" ht="14.85" customHeight="1"/>
    <row r="94" spans="2:15" ht="14.85" customHeight="1"/>
    <row r="95" spans="2:15" ht="14.85" customHeight="1"/>
    <row r="96" spans="2:15"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sheetData>
  <mergeCells count="5">
    <mergeCell ref="B83:G83"/>
    <mergeCell ref="L84:O84"/>
    <mergeCell ref="B85:J85"/>
    <mergeCell ref="B86:J86"/>
    <mergeCell ref="B84:G84"/>
  </mergeCells>
  <conditionalFormatting sqref="C11:G23 C25:G40">
    <cfRule type="cellIs" dxfId="7" priority="1" operator="equal">
      <formula>0</formula>
    </cfRule>
  </conditionalFormatting>
  <conditionalFormatting sqref="E48:H60 E62:H77">
    <cfRule type="cellIs" dxfId="6" priority="2"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E4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H305"/>
  <sheetViews>
    <sheetView showGridLines="0" zoomScaleNormal="100" workbookViewId="0"/>
  </sheetViews>
  <sheetFormatPr defaultColWidth="0" defaultRowHeight="14.85" customHeight="1" zeroHeight="1"/>
  <cols>
    <col min="1" max="1" width="8.5703125" style="93" customWidth="1"/>
    <col min="2" max="2" width="9.5703125" style="113" customWidth="1"/>
    <col min="3" max="3" width="36" style="113" customWidth="1"/>
    <col min="4" max="4" width="68.42578125" style="113" customWidth="1"/>
    <col min="5" max="7" width="11.5703125" style="113" customWidth="1"/>
    <col min="8" max="8" width="13.42578125" bestFit="1" customWidth="1"/>
    <col min="9" max="34" width="0" hidden="1" customWidth="1"/>
    <col min="35" max="16384" width="9.42578125" hidden="1"/>
  </cols>
  <sheetData>
    <row r="1" spans="1:16" ht="14.85" customHeight="1"/>
    <row r="2" spans="1:16" ht="15"/>
    <row r="3" spans="1:16" ht="15"/>
    <row r="4" spans="1:16" ht="15"/>
    <row r="5" spans="1:16" ht="18" customHeight="1">
      <c r="A5"/>
      <c r="B5" s="269" t="str">
        <f>IF(Indice_index!$Z$1=1,"ANEXOS ESTATÍSTICOS","STATISTICAL ANNEXES")</f>
        <v>ANEXOS ESTATÍSTICOS</v>
      </c>
      <c r="C5"/>
      <c r="D5"/>
      <c r="E5"/>
      <c r="F5"/>
      <c r="G5"/>
    </row>
    <row r="6" spans="1:16" ht="18" customHeight="1">
      <c r="A6"/>
      <c r="B6" s="270" t="str">
        <f>IF(Indice_index!$Z$1=1,"Setembro de 2025","September 2025")</f>
        <v>Setembro de 2025</v>
      </c>
      <c r="C6"/>
      <c r="D6"/>
      <c r="E6"/>
      <c r="F6"/>
      <c r="G6"/>
    </row>
    <row r="7" spans="1:16" ht="50.1" customHeight="1">
      <c r="A7" s="11"/>
      <c r="B7" s="12"/>
      <c r="C7" s="13"/>
      <c r="D7" s="11"/>
      <c r="E7" s="11"/>
      <c r="F7" s="11"/>
      <c r="G7" s="11"/>
      <c r="H7" s="11"/>
      <c r="I7" s="11"/>
      <c r="J7" s="11"/>
      <c r="K7" s="11"/>
      <c r="L7" s="11"/>
      <c r="M7" s="10"/>
      <c r="N7" s="10"/>
      <c r="O7" s="10"/>
      <c r="P7" s="10"/>
    </row>
    <row r="8" spans="1:16" ht="15.75">
      <c r="A8" s="2"/>
      <c r="B8" s="116" t="str">
        <f>IF(Indice_index!$Z$1=1,"Quadro 23 - Utilização condicionada das dotações orçamentais do OE 2025","23 - Frozen allocations from the 2025 State Budget")</f>
        <v>Quadro 23 - Utilização condicionada das dotações orçamentais do OE 2025</v>
      </c>
      <c r="C8" s="117"/>
      <c r="D8" s="117"/>
      <c r="E8" s="2"/>
      <c r="F8" s="2"/>
      <c r="G8" s="2"/>
      <c r="H8" s="2"/>
    </row>
    <row r="9" spans="1:16" ht="15">
      <c r="A9" s="3"/>
      <c r="B9" s="118" t="str">
        <f>IF(Indice_index!$Z$1=1,"Período: agosto","Period: August")</f>
        <v>Período: agosto</v>
      </c>
      <c r="C9" s="118"/>
      <c r="D9" s="118"/>
      <c r="E9" s="3"/>
      <c r="F9" s="3"/>
      <c r="G9" s="3" t="str">
        <f>IF(Indice_index!$Z$1=1,"€ Milhões","€ Millions")</f>
        <v>€ Milhões</v>
      </c>
      <c r="H9" s="3"/>
    </row>
    <row r="10" spans="1:16" ht="16.350000000000001" customHeight="1">
      <c r="A10" s="79"/>
      <c r="B10" s="390" t="str">
        <f>IF(Indice_index!$Z$1=1,"Ministério","Ministry")</f>
        <v>Ministério</v>
      </c>
      <c r="C10" s="390" t="str">
        <f>IF(Indice_index!$Z$1=1,"Programa Orçamental","Budgetary program")</f>
        <v>Programa Orçamental</v>
      </c>
      <c r="D10" s="390" t="str">
        <f>IF(Indice_index!$Z$1=1,"Medida","Measure")</f>
        <v>Medida</v>
      </c>
      <c r="E10" s="391">
        <v>2025</v>
      </c>
      <c r="F10" s="387"/>
      <c r="G10" s="388"/>
    </row>
    <row r="11" spans="1:16" ht="24.6" customHeight="1">
      <c r="A11" s="79"/>
      <c r="B11" s="389"/>
      <c r="C11" s="389"/>
      <c r="D11" s="389"/>
      <c r="E11" s="128" t="str">
        <f>IF(Indice_index!$Z$1=1,"Cativos iniciais (LOE)","Initial frozen allocations (SBL)")</f>
        <v>Cativos iniciais (LOE)</v>
      </c>
      <c r="F11" s="272" t="str">
        <f>IF(Indice_index!$Z$1=1,"Cativos iniciais (LOE e DLEO)","Initial frozen allocations (SBL and BEDL)")</f>
        <v>Cativos iniciais (LOE e DLEO)</v>
      </c>
      <c r="G11" s="119" t="str">
        <f>IF(Indice_index!$Z$1=1,"Cativos atuais","Current frozen allocations")</f>
        <v>Cativos atuais</v>
      </c>
    </row>
    <row r="12" spans="1:16" ht="16.350000000000001" customHeight="1">
      <c r="A12" s="57"/>
      <c r="B12" s="389"/>
      <c r="C12" s="389"/>
      <c r="D12" s="389"/>
      <c r="E12" s="126" t="s">
        <v>53</v>
      </c>
      <c r="F12" s="271" t="s">
        <v>54</v>
      </c>
      <c r="G12" s="120" t="s">
        <v>464</v>
      </c>
    </row>
    <row r="13" spans="1:16" s="320" customFormat="1" ht="14.1" customHeight="1">
      <c r="A13" s="322"/>
      <c r="B13" s="319" t="str">
        <f>IF(Indice_index!$Z$1=1,"EGE","GCS")</f>
        <v>EGE</v>
      </c>
      <c r="C13" s="318" t="str">
        <f>IF(Indice_index!$Z$1=1,"P001 - Órgãos de Soberania","P001 - Bodies of Sovereignty")</f>
        <v>P001 - Órgãos de Soberania</v>
      </c>
      <c r="D13" s="304" t="str">
        <f>IF(Indice_index!$Z$1=1,"001 - Serviços Gerais da Administração Pública - Administração geral","001 - General public services - General Administration")</f>
        <v>001 - Serviços Gerais da Administração Pública - Administração geral</v>
      </c>
      <c r="E13" s="312">
        <v>12.720699</v>
      </c>
      <c r="F13" s="312">
        <v>25.624230000000001</v>
      </c>
      <c r="G13" s="312">
        <v>0.79866599999999999</v>
      </c>
      <c r="H13" s="323"/>
    </row>
    <row r="14" spans="1:16" s="320" customFormat="1" ht="14.1" customHeight="1">
      <c r="A14" s="322"/>
      <c r="B14" s="319"/>
      <c r="C14" s="318"/>
      <c r="D14" s="304" t="str">
        <f>IF(Indice_index!$Z$1=1,"012 - Segurança e ordem públicas - Sistema judiciário","012 - Public safety and order - Judicial system")</f>
        <v>012 - Segurança e ordem públicas - Sistema judiciário</v>
      </c>
      <c r="E14" s="312">
        <v>2.692733</v>
      </c>
      <c r="F14" s="312">
        <v>3.1293310000000001</v>
      </c>
      <c r="G14" s="312">
        <v>0.43659799999999999</v>
      </c>
      <c r="H14" s="323"/>
    </row>
    <row r="15" spans="1:16" s="320" customFormat="1" ht="14.1" customHeight="1">
      <c r="A15" s="322"/>
      <c r="B15" s="319"/>
      <c r="C15" s="318"/>
      <c r="D15" s="304" t="str">
        <f>IF(Indice_index!$Z$1=1,"038 - Serviços culturais, recreativos e religiosos - Comunicação social","038 - Cultural, recreational and religious services - Media")</f>
        <v>038 - Serviços culturais, recreativos e religiosos - Comunicação social</v>
      </c>
      <c r="E15" s="312">
        <v>0.40982200000000002</v>
      </c>
      <c r="F15" s="312">
        <v>1.2738370000000001</v>
      </c>
      <c r="G15" s="312">
        <v>0.17122399999999999</v>
      </c>
      <c r="H15" s="323"/>
    </row>
    <row r="16" spans="1:16" s="320" customFormat="1" ht="14.1" customHeight="1">
      <c r="A16" s="322"/>
      <c r="B16" s="318"/>
      <c r="C16" s="318"/>
      <c r="D16" s="318" t="str">
        <f>C13</f>
        <v>P001 - Órgãos de Soberania</v>
      </c>
      <c r="E16" s="321">
        <f>SUM(E13:E15)</f>
        <v>15.823254</v>
      </c>
      <c r="F16" s="321">
        <f>SUM(F13:F15)</f>
        <v>30.027398000000002</v>
      </c>
      <c r="G16" s="321">
        <f>SUM(G13:G15)</f>
        <v>1.406488</v>
      </c>
      <c r="H16" s="323"/>
    </row>
    <row r="17" spans="1:8" s="320" customFormat="1" ht="14.1" customHeight="1">
      <c r="A17" s="93"/>
      <c r="B17" s="319" t="str">
        <f>IF(Indice_index!$Z$1=1,"PCM","PRP")</f>
        <v>PCM</v>
      </c>
      <c r="C17" s="318" t="str">
        <f>IF(Indice_index!$Z$1=1,"P002 - Governação","P002 - Governance")</f>
        <v>P002 - Governação</v>
      </c>
      <c r="D17" s="304" t="str">
        <f>IF(Indice_index!$Z$1=1,"001 - Serviços Gerais da Administração Pública - Administração geral","001 - General public services - General Administration")</f>
        <v>001 - Serviços Gerais da Administração Pública - Administração geral</v>
      </c>
      <c r="E17" s="312">
        <v>20.048525000000001</v>
      </c>
      <c r="F17" s="312">
        <v>33.289413000000003</v>
      </c>
      <c r="G17" s="312">
        <v>18.755490000000002</v>
      </c>
    </row>
    <row r="18" spans="1:8" s="320" customFormat="1" ht="14.1" customHeight="1">
      <c r="A18" s="93"/>
      <c r="B18" s="319"/>
      <c r="C18" s="318"/>
      <c r="D18" s="304" t="str">
        <f>IF(Indice_index!$Z$1=1,"011 - Segurança e ordem públicas - Forças de segurança","011 - Public safety and order - Security forces")</f>
        <v>011 - Segurança e ordem públicas - Forças de segurança</v>
      </c>
      <c r="E18" s="312">
        <v>1.2815129999999999</v>
      </c>
      <c r="F18" s="312">
        <v>2.4015819999999999</v>
      </c>
      <c r="G18" s="312">
        <v>1.120069</v>
      </c>
    </row>
    <row r="19" spans="1:8" s="320" customFormat="1" ht="14.1" customHeight="1">
      <c r="A19" s="93"/>
      <c r="B19" s="319"/>
      <c r="C19" s="318"/>
      <c r="D19" s="304" t="str">
        <f>IF(Indice_index!$Z$1=1,"037 - Serviços culturais, recreativos e religiosos - Desporto, recreio e lazer","037 - Cultural, recreational and religious services - Sports, recreation and leisure")</f>
        <v>037 - Serviços culturais, recreativos e religiosos - Desporto, recreio e lazer</v>
      </c>
      <c r="E19" s="312">
        <v>0</v>
      </c>
      <c r="F19" s="312">
        <v>0</v>
      </c>
      <c r="G19" s="312">
        <v>0</v>
      </c>
    </row>
    <row r="20" spans="1:8" s="320" customFormat="1" ht="14.1" customHeight="1">
      <c r="A20" s="322"/>
      <c r="B20" s="319"/>
      <c r="C20" s="318"/>
      <c r="D20" s="304" t="str">
        <f>IF(Indice_index!$Z$1=1,"038 - Serviços culturais, recreativos e religiosos - Comunicação social","038 - Cultural, recreational and religious services - Media")</f>
        <v>038 - Serviços culturais, recreativos e religiosos - Comunicação social</v>
      </c>
      <c r="E20" s="312">
        <v>23.771412000000002</v>
      </c>
      <c r="F20" s="312">
        <v>26.523340999999999</v>
      </c>
      <c r="G20" s="312">
        <v>2.7519290000000001</v>
      </c>
      <c r="H20" s="323"/>
    </row>
    <row r="21" spans="1:8" s="320" customFormat="1" ht="14.1" customHeight="1">
      <c r="A21" s="93"/>
      <c r="B21" s="319"/>
      <c r="C21" s="318"/>
      <c r="D21" s="304" t="str">
        <f>IF(Indice_index!$Z$1=1,"063 - Outras funções económicas - Administração e regulamentação","063 - Outher economic functions - Administration e regulation")</f>
        <v>063 - Outras funções económicas - Administração e regulamentação</v>
      </c>
      <c r="E21" s="312">
        <v>2.258553</v>
      </c>
      <c r="F21" s="312">
        <v>4.9594300000000002</v>
      </c>
      <c r="G21" s="312">
        <v>4.2133900000000004</v>
      </c>
    </row>
    <row r="22" spans="1:8" s="320" customFormat="1" ht="14.1" customHeight="1">
      <c r="A22" s="93"/>
      <c r="B22" s="319"/>
      <c r="C22" s="318"/>
      <c r="D22" s="304" t="str">
        <f>IF(Indice_index!$Z$1=1,"068 - Outras funções - Diversas não especificadas","068 - Other functions - Various unspecified")</f>
        <v>068 - Outras funções - Diversas não especificadas</v>
      </c>
      <c r="E22" s="312">
        <v>0.19961200000000001</v>
      </c>
      <c r="F22" s="312">
        <v>0.200901</v>
      </c>
      <c r="G22" s="312">
        <v>0.200901</v>
      </c>
    </row>
    <row r="23" spans="1:8" s="320" customFormat="1" ht="14.1" customHeight="1">
      <c r="A23" s="93"/>
      <c r="B23" s="319"/>
      <c r="C23" s="318"/>
      <c r="D23" s="304"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23" s="312">
        <v>0</v>
      </c>
      <c r="F23" s="312">
        <v>0.82037300000000002</v>
      </c>
      <c r="G23" s="312">
        <v>0.82037300000000002</v>
      </c>
    </row>
    <row r="24" spans="1:8" s="320" customFormat="1" ht="14.1" customHeight="1">
      <c r="A24" s="93"/>
      <c r="B24" s="319"/>
      <c r="C24" s="318"/>
      <c r="D24" s="304" t="str">
        <f>IF(Indice_index!$Z$1=1,"085 - Florestas","085 - Forests")</f>
        <v>085 - Florestas</v>
      </c>
      <c r="E24" s="312">
        <v>0</v>
      </c>
      <c r="F24" s="312">
        <v>0</v>
      </c>
      <c r="G24" s="312">
        <v>0</v>
      </c>
    </row>
    <row r="25" spans="1:8" ht="14.1" customHeight="1">
      <c r="B25" s="317"/>
      <c r="C25" s="317"/>
      <c r="D25" s="275" t="str">
        <f>C17</f>
        <v>P002 - Governação</v>
      </c>
      <c r="E25" s="134">
        <f>SUM(E17:E24)</f>
        <v>47.559615000000001</v>
      </c>
      <c r="F25" s="134">
        <f t="shared" ref="F25:G25" si="0">SUM(F17:F24)</f>
        <v>68.195040000000006</v>
      </c>
      <c r="G25" s="134">
        <f t="shared" si="0"/>
        <v>27.862152000000005</v>
      </c>
    </row>
    <row r="26" spans="1:8" s="320" customFormat="1" ht="13.9" customHeight="1">
      <c r="A26" s="93"/>
      <c r="B26" s="319" t="str">
        <f>IF(Indice_index!$Z$1=1,"MNE","MFA")</f>
        <v>MNE</v>
      </c>
      <c r="C26" s="318" t="str">
        <f>IF(Indice_index!$Z$1=1,"P003 - Representação Externa","P003 - External Representation")</f>
        <v>P003 - Representação Externa</v>
      </c>
      <c r="D26" s="304" t="str">
        <f>IF(Indice_index!$Z$1=1,"002 - Serviços Gerais da A.P. - Negócios estrangeiros","002 - General public services - Foreign affairs")</f>
        <v>002 - Serviços Gerais da A.P. - Negócios estrangeiros</v>
      </c>
      <c r="E26" s="312">
        <v>16.636869999999998</v>
      </c>
      <c r="F26" s="312">
        <v>22.303847000000001</v>
      </c>
      <c r="G26" s="312">
        <v>9.1631250000000009</v>
      </c>
    </row>
    <row r="27" spans="1:8" s="320" customFormat="1" ht="14.1" customHeight="1">
      <c r="A27" s="93"/>
      <c r="B27" s="319"/>
      <c r="C27" s="318"/>
      <c r="D27" s="304" t="str">
        <f>IF(Indice_index!$Z$1=1,"003 - Serv. Gerais da A.P. - Cooperação económica externa","003 - General public services - External economic cooperation")</f>
        <v>003 - Serv. Gerais da A.P. - Cooperação económica externa</v>
      </c>
      <c r="E27" s="312">
        <v>0.197301</v>
      </c>
      <c r="F27" s="312">
        <v>2.0475490000000001</v>
      </c>
      <c r="G27" s="312">
        <v>2.0475490000000001</v>
      </c>
    </row>
    <row r="28" spans="1:8" s="320" customFormat="1" ht="14.1" customHeight="1">
      <c r="A28" s="93"/>
      <c r="B28" s="319"/>
      <c r="C28" s="318"/>
      <c r="D28" s="304" t="str">
        <f>IF(Indice_index!$Z$1=1,"103 - Impacto do choque geopolítico","103 - Impact of geopolitical shock")</f>
        <v>103 - Impacto do choque geopolítico</v>
      </c>
      <c r="E28" s="312">
        <v>2.3E-2</v>
      </c>
      <c r="F28" s="312">
        <v>2.3E-2</v>
      </c>
      <c r="G28" s="312">
        <v>0</v>
      </c>
    </row>
    <row r="29" spans="1:8" s="320" customFormat="1" ht="14.1" customHeight="1">
      <c r="A29" s="93"/>
      <c r="B29" s="318"/>
      <c r="C29" s="318"/>
      <c r="D29" s="318" t="str">
        <f>C26</f>
        <v>P003 - Representação Externa</v>
      </c>
      <c r="E29" s="321">
        <f>SUM(E26:E28)</f>
        <v>16.857170999999997</v>
      </c>
      <c r="F29" s="321">
        <f>SUM(F26:F28)</f>
        <v>24.374396000000001</v>
      </c>
      <c r="G29" s="321">
        <f>SUM(G26:G28)</f>
        <v>11.210674000000001</v>
      </c>
    </row>
    <row r="30" spans="1:8" s="320" customFormat="1" ht="14.1" customHeight="1">
      <c r="A30" s="93"/>
      <c r="B30" s="319" t="str">
        <f>IF(Indice_index!$Z$1=1,"MF","MF")</f>
        <v>MF</v>
      </c>
      <c r="C30" s="318" t="str">
        <f>IF(Indice_index!$Z$1=1,"P004 - Finanças","P004 - Finance and Public Administration")</f>
        <v>P004 - Finanças</v>
      </c>
      <c r="D30" s="304" t="str">
        <f>IF(Indice_index!$Z$1=1,"001 - Serviços Gerais da Administração Pública - Administração geral","001 - General public services - General Administration")</f>
        <v>001 - Serviços Gerais da Administração Pública - Administração geral</v>
      </c>
      <c r="E30" s="312">
        <v>77.982654999999994</v>
      </c>
      <c r="F30" s="312">
        <v>100.484784</v>
      </c>
      <c r="G30" s="312">
        <v>38.548160000000003</v>
      </c>
    </row>
    <row r="31" spans="1:8" s="320" customFormat="1" ht="14.1" customHeight="1">
      <c r="A31" s="93"/>
      <c r="B31" s="319"/>
      <c r="C31" s="318"/>
      <c r="D31" s="304" t="str">
        <f>IF(Indice_index!$Z$1=1,"003 - Serv. Gerais da A.P. - Cooperação económica externa","003 - General public services - External economic cooperation")</f>
        <v>003 - Serv. Gerais da A.P. - Cooperação económica externa</v>
      </c>
      <c r="E31" s="312">
        <v>8.5126999999999994E-2</v>
      </c>
      <c r="F31" s="312">
        <v>0.298788</v>
      </c>
      <c r="G31" s="312">
        <v>0.17272599999999999</v>
      </c>
    </row>
    <row r="32" spans="1:8" s="320" customFormat="1" ht="14.1" customHeight="1">
      <c r="A32" s="93"/>
      <c r="B32" s="319"/>
      <c r="C32" s="318"/>
      <c r="D32" s="304" t="str">
        <f>IF(Indice_index!$Z$1=1,"011 - Segurança e ordem públicas - Forças de segurança","011 - Public safety and order - Security forces")</f>
        <v>011 - Segurança e ordem públicas - Forças de segurança</v>
      </c>
      <c r="E32" s="312">
        <v>0</v>
      </c>
      <c r="F32" s="312">
        <v>0</v>
      </c>
      <c r="G32" s="312">
        <v>0.13573099999999999</v>
      </c>
    </row>
    <row r="33" spans="1:7" s="320" customFormat="1" ht="14.1" customHeight="1">
      <c r="A33" s="93"/>
      <c r="B33" s="319"/>
      <c r="C33" s="318"/>
      <c r="D33" s="304" t="str">
        <f>IF(Indice_index!$Z$1=1,"027 - Segurança e ação social - Ação social","027 - Social Security and Action - Social Action")</f>
        <v>027 - Segurança e ação social - Ação social</v>
      </c>
      <c r="E33" s="312">
        <v>2.5999300000000001</v>
      </c>
      <c r="F33" s="312">
        <v>3.1381679999999998</v>
      </c>
      <c r="G33" s="312">
        <v>1.651319</v>
      </c>
    </row>
    <row r="34" spans="1:7" s="320" customFormat="1" ht="14.1" customHeight="1">
      <c r="A34" s="93"/>
      <c r="B34" s="319"/>
      <c r="C34" s="318"/>
      <c r="D34" s="304" t="str">
        <f>IF(Indice_index!$Z$1=1,"065 - Outras funções económicas - Diversas não especificadas","065 - Other economic functions - Various unspecified")</f>
        <v>065 - Outras funções económicas - Diversas não especificadas</v>
      </c>
      <c r="E34" s="312">
        <v>24.985552999999999</v>
      </c>
      <c r="F34" s="312">
        <v>140.41107700000001</v>
      </c>
      <c r="G34" s="312">
        <v>133.07080400000001</v>
      </c>
    </row>
    <row r="35" spans="1:7" s="320" customFormat="1" ht="14.1" customHeight="1">
      <c r="A35" s="93"/>
      <c r="B35" s="319"/>
      <c r="C35" s="318"/>
      <c r="D35" s="304" t="str">
        <f>IF(Indice_index!$Z$1=1,"068 - Outras funções - Diversas não especificadas","068 - Other functions - Various unspecified")</f>
        <v>068 - Outras funções - Diversas não especificadas</v>
      </c>
      <c r="E35" s="312">
        <v>155</v>
      </c>
      <c r="F35" s="312">
        <v>155</v>
      </c>
      <c r="G35" s="312">
        <v>11.681597999999999</v>
      </c>
    </row>
    <row r="36" spans="1:7" s="320" customFormat="1" ht="14.1" customHeight="1">
      <c r="A36" s="93"/>
      <c r="B36" s="318"/>
      <c r="C36" s="318"/>
      <c r="D36" s="318" t="str">
        <f>C30</f>
        <v>P004 - Finanças</v>
      </c>
      <c r="E36" s="321">
        <f>SUM(E30:E35)</f>
        <v>260.65326499999998</v>
      </c>
      <c r="F36" s="321">
        <f>SUM(F30:F35)</f>
        <v>399.33281699999998</v>
      </c>
      <c r="G36" s="321">
        <f>SUM(G30:G35)</f>
        <v>185.26033800000002</v>
      </c>
    </row>
    <row r="37" spans="1:7" s="320" customFormat="1" ht="14.1" customHeight="1">
      <c r="A37" s="93"/>
      <c r="B37" s="324"/>
      <c r="C37" s="318" t="str">
        <f>IF(Indice_index!$Z$1=1,"P005 - Gestão da Dívida Pública","P005 - Public Debt Management")</f>
        <v>P005 - Gestão da Dívida Pública</v>
      </c>
      <c r="D37" s="304" t="str">
        <f>IF(Indice_index!$Z$1=1,"066 - Outras funções - Operações da dívida pública","066 - Other functions - Public debt operations")</f>
        <v>066 - Outras funções - Operações da dívida pública</v>
      </c>
      <c r="E37" s="312">
        <v>0.229652</v>
      </c>
      <c r="F37" s="312">
        <v>0.71573299999999995</v>
      </c>
      <c r="G37" s="312">
        <v>0.71573299999999995</v>
      </c>
    </row>
    <row r="38" spans="1:7" s="320" customFormat="1" ht="14.1" customHeight="1">
      <c r="A38" s="93"/>
      <c r="B38" s="319" t="str">
        <f>IF(Indice_index!$Z$1=1,"MDN","MND")</f>
        <v>MDN</v>
      </c>
      <c r="C38" s="318" t="str">
        <f>IF(Indice_index!$Z$1=1,"P006 - Defesa","P006 - Defence")</f>
        <v>P006 - Defesa</v>
      </c>
      <c r="D38" s="304" t="str">
        <f>IF(Indice_index!$Z$1=1,"004 - Serv. Gerais da A.P. - Investigação científica de carácter geral","004 - General public services - General scientific research")</f>
        <v>004 - Serv. Gerais da A.P. - Investigação científica de carácter geral</v>
      </c>
      <c r="E38" s="312">
        <v>2.5250000000000002E-2</v>
      </c>
      <c r="F38" s="312">
        <v>2.5250000000000002E-2</v>
      </c>
      <c r="G38" s="312">
        <v>2.5250000000000002E-2</v>
      </c>
    </row>
    <row r="39" spans="1:7" s="320" customFormat="1" ht="14.1" customHeight="1">
      <c r="A39" s="93"/>
      <c r="B39" s="319"/>
      <c r="C39" s="318"/>
      <c r="D39" s="304" t="str">
        <f>IF(Indice_index!$Z$1=1,"005 - Defesa Nacional - Administração e regulamentação","005 - National Defence - Administration and regulations")</f>
        <v>005 - Defesa Nacional - Administração e regulamentação</v>
      </c>
      <c r="E39" s="312">
        <v>192.38512499999999</v>
      </c>
      <c r="F39" s="312">
        <v>196.82954699999999</v>
      </c>
      <c r="G39" s="312">
        <v>191.27778599999999</v>
      </c>
    </row>
    <row r="40" spans="1:7" s="320" customFormat="1" ht="14.1" customHeight="1">
      <c r="A40" s="93"/>
      <c r="B40" s="319"/>
      <c r="C40" s="318"/>
      <c r="D40" s="304" t="str">
        <f>IF(Indice_index!$Z$1=1,"006 - Defesa Nacional - Investigação","006 - National Defence - Research")</f>
        <v>006 - Defesa Nacional - Investigação</v>
      </c>
      <c r="E40" s="312">
        <v>1.681063</v>
      </c>
      <c r="F40" s="312">
        <v>4.1852580000000001</v>
      </c>
      <c r="G40" s="312">
        <v>4.1852580000000001</v>
      </c>
    </row>
    <row r="41" spans="1:7" s="320" customFormat="1" ht="14.1" customHeight="1">
      <c r="A41" s="93"/>
      <c r="B41" s="319"/>
      <c r="C41" s="318"/>
      <c r="D41" s="304" t="str">
        <f>IF(Indice_index!$Z$1=1,"007 - Defesa Nacional - Forças Armadas","007 - National Defence - Armed Forces")</f>
        <v>007 - Defesa Nacional - Forças Armadas</v>
      </c>
      <c r="E41" s="312">
        <v>75.807523000000003</v>
      </c>
      <c r="F41" s="312">
        <v>117.510271</v>
      </c>
      <c r="G41" s="312">
        <v>57.7836</v>
      </c>
    </row>
    <row r="42" spans="1:7" s="320" customFormat="1" ht="14.1" customHeight="1">
      <c r="A42" s="93"/>
      <c r="B42" s="319"/>
      <c r="C42" s="318"/>
      <c r="D42" s="304" t="str">
        <f>IF(Indice_index!$Z$1=1,"008 - Defesa Nacional - Cooperação militar externa","008 - National Defence - Foreign military cooperation")</f>
        <v>008 - Defesa Nacional - Cooperação militar externa</v>
      </c>
      <c r="E42" s="312">
        <v>0.40054200000000001</v>
      </c>
      <c r="F42" s="312">
        <v>0.89046599999999998</v>
      </c>
      <c r="G42" s="312">
        <v>0.89046599999999998</v>
      </c>
    </row>
    <row r="43" spans="1:7" s="320" customFormat="1" ht="14.1" customHeight="1">
      <c r="A43" s="93"/>
      <c r="B43" s="319"/>
      <c r="C43" s="318"/>
      <c r="D43" s="304" t="str">
        <f>IF(Indice_index!$Z$1=1,"014 - Segurança e ordem públicas - Protecção civil e luta contra incêndios","014 - Public safety and order - Civil Protection and  fire fighting")</f>
        <v>014 - Segurança e ordem públicas - Protecção civil e luta contra incêndios</v>
      </c>
      <c r="E43" s="312">
        <v>72.454167999999996</v>
      </c>
      <c r="F43" s="312">
        <v>72.454167999999996</v>
      </c>
      <c r="G43" s="312">
        <v>19.023531999999999</v>
      </c>
    </row>
    <row r="44" spans="1:7" s="320" customFormat="1" ht="14.1" customHeight="1">
      <c r="A44" s="93"/>
      <c r="B44" s="319"/>
      <c r="C44" s="318"/>
      <c r="D44" s="304" t="str">
        <f>IF(Indice_index!$Z$1=1,"017 - Educação - Estabelecimentos de ensino não superior","017 - Education - Non higher educations institutions")</f>
        <v>017 - Educação - Estabelecimentos de ensino não superior</v>
      </c>
      <c r="E44" s="312">
        <v>0.13481699999999999</v>
      </c>
      <c r="F44" s="312">
        <v>0.13481699999999999</v>
      </c>
      <c r="G44" s="312">
        <v>0.13482</v>
      </c>
    </row>
    <row r="45" spans="1:7" s="320" customFormat="1" ht="14.1" customHeight="1">
      <c r="A45" s="93"/>
      <c r="B45" s="319"/>
      <c r="C45" s="318"/>
      <c r="D45" s="304" t="str">
        <f>IF(Indice_index!$Z$1=1,"018 - Educação - Estabelecimentos de ensino superior","018 - Education - Higher educations institutions")</f>
        <v>018 - Educação - Estabelecimentos de ensino superior</v>
      </c>
      <c r="E45" s="312">
        <v>9.8180000000000003E-3</v>
      </c>
      <c r="F45" s="312">
        <v>9.8180000000000003E-3</v>
      </c>
      <c r="G45" s="312">
        <v>9.8150000000000008E-3</v>
      </c>
    </row>
    <row r="46" spans="1:7" s="320" customFormat="1" ht="14.1" customHeight="1">
      <c r="A46" s="93"/>
      <c r="B46" s="319"/>
      <c r="C46" s="318"/>
      <c r="D46" s="304" t="str">
        <f>IF(Indice_index!$Z$1=1,"022 - Saúde - Hospitais e clínicas","022 - Health - Hospitals and clinics")</f>
        <v>022 - Saúde - Hospitais e clínicas</v>
      </c>
      <c r="E46" s="312">
        <v>0.18503500000000001</v>
      </c>
      <c r="F46" s="312">
        <v>0.54649000000000003</v>
      </c>
      <c r="G46" s="312">
        <v>0.37716899999999998</v>
      </c>
    </row>
    <row r="47" spans="1:7" s="320" customFormat="1" ht="14.1" customHeight="1">
      <c r="A47" s="93"/>
      <c r="B47" s="319"/>
      <c r="C47" s="318"/>
      <c r="D47" s="304" t="str">
        <f>IF(Indice_index!$Z$1=1,"027 - Segurança e acção social - Acção social","027 - Social Security and Action - Social Action")</f>
        <v>027 - Segurança e acção social - Acção social</v>
      </c>
      <c r="E47" s="312">
        <v>14.235879000000001</v>
      </c>
      <c r="F47" s="312">
        <v>18.820007</v>
      </c>
      <c r="G47" s="312">
        <v>4.5841279999999998</v>
      </c>
    </row>
    <row r="48" spans="1:7" s="320" customFormat="1" ht="14.1" customHeight="1">
      <c r="A48" s="93"/>
      <c r="B48" s="319"/>
      <c r="C48" s="318"/>
      <c r="D48" s="304" t="str">
        <f>IF(Indice_index!$Z$1=1,"049 - Industria e energia - Indústrias transformadoras","049 - Industry and energy - Manufacturing industries")</f>
        <v>049 - Industria e energia - Indústrias transformadoras</v>
      </c>
      <c r="E48" s="312">
        <v>2.0560659999999999</v>
      </c>
      <c r="F48" s="312">
        <v>3.23739</v>
      </c>
      <c r="G48" s="312">
        <v>3.23739</v>
      </c>
    </row>
    <row r="49" spans="1:7" s="320" customFormat="1" ht="14.1" customHeight="1">
      <c r="A49" s="93"/>
      <c r="B49" s="319"/>
      <c r="C49" s="318"/>
      <c r="D49" s="304" t="str">
        <f>IF(Indice_index!$Z$1=1,"084 - Simplex +","084 - Simplex +")</f>
        <v>084 - Simplex +</v>
      </c>
      <c r="E49" s="312">
        <v>0.1182</v>
      </c>
      <c r="F49" s="312">
        <v>0.1182</v>
      </c>
      <c r="G49" s="312">
        <v>0.1182</v>
      </c>
    </row>
    <row r="50" spans="1:7" s="320" customFormat="1" ht="14.1" customHeight="1">
      <c r="A50" s="93"/>
      <c r="B50" s="319"/>
      <c r="C50" s="318"/>
      <c r="D50" s="304" t="str">
        <f>IF(Indice_index!$Z$1=1,"100 - Iniciativas de  Ação Climática","100 - Climate Action Iniciatives")</f>
        <v>100 - Iniciativas de  Ação Climática</v>
      </c>
      <c r="E50" s="312">
        <v>2.8316999999999998E-2</v>
      </c>
      <c r="F50" s="312">
        <v>2.8316999999999998E-2</v>
      </c>
      <c r="G50" s="312">
        <v>5.7169999999999999E-3</v>
      </c>
    </row>
    <row r="51" spans="1:7" s="320" customFormat="1" ht="14.1" customHeight="1">
      <c r="A51" s="93"/>
      <c r="B51" s="318"/>
      <c r="C51" s="318"/>
      <c r="D51" s="318" t="str">
        <f>C38</f>
        <v>P006 - Defesa</v>
      </c>
      <c r="E51" s="321">
        <f>SUM(E38:E50)</f>
        <v>359.52180299999998</v>
      </c>
      <c r="F51" s="321">
        <f>SUM(F38:F50)</f>
        <v>414.78999899999997</v>
      </c>
      <c r="G51" s="321">
        <f>SUM(G38:G50)</f>
        <v>281.65313100000003</v>
      </c>
    </row>
    <row r="52" spans="1:7" s="320" customFormat="1" ht="14.1" customHeight="1">
      <c r="A52" s="93"/>
      <c r="B52" s="319" t="str">
        <f>IF(Indice_index!$Z$1=1,"MJ","MJ")</f>
        <v>MJ</v>
      </c>
      <c r="C52" s="318" t="str">
        <f>IF(Indice_index!$Z$1=1,"P007 - Justiça","P007 - Justice")</f>
        <v>P007 - Justiça</v>
      </c>
      <c r="D52" s="304" t="str">
        <f>IF(Indice_index!$Z$1=1,"001 - Serviços Gerais da Administração Pública - Administração geral","001 - General public services - General Administration")</f>
        <v>001 - Serviços Gerais da Administração Pública - Administração geral</v>
      </c>
      <c r="E52" s="312">
        <v>3.5881000000000003E-2</v>
      </c>
      <c r="F52" s="312">
        <v>3.5881000000000003E-2</v>
      </c>
      <c r="G52" s="312">
        <v>3.5881000000000003E-2</v>
      </c>
    </row>
    <row r="53" spans="1:7" s="320" customFormat="1" ht="14.1" customHeight="1">
      <c r="A53" s="93"/>
      <c r="B53" s="319"/>
      <c r="C53" s="318"/>
      <c r="D53" s="304" t="str">
        <f>IF(Indice_index!$Z$1=1,"009 - Segurança e ordem públicas - Administração e regulamentação","009 - Public safety and order - Administration and regulations")</f>
        <v>009 - Segurança e ordem públicas - Administração e regulamentação</v>
      </c>
      <c r="E53" s="312">
        <v>56.604210000000002</v>
      </c>
      <c r="F53" s="312">
        <v>81.576502000000005</v>
      </c>
      <c r="G53" s="312">
        <v>68.611914999999996</v>
      </c>
    </row>
    <row r="54" spans="1:7" s="320" customFormat="1" ht="14.1" customHeight="1">
      <c r="A54" s="93"/>
      <c r="B54" s="319"/>
      <c r="C54" s="318"/>
      <c r="D54" s="304" t="str">
        <f>IF(Indice_index!$Z$1=1,"010 - Segurança e ordem públicas - Investigação","010 - Public safety and order - Research")</f>
        <v>010 - Segurança e ordem públicas - Investigação</v>
      </c>
      <c r="E54" s="312">
        <v>4.7600519999999999</v>
      </c>
      <c r="F54" s="312">
        <v>9.9425969999999992</v>
      </c>
      <c r="G54" s="312">
        <v>5.1961180000000002</v>
      </c>
    </row>
    <row r="55" spans="1:7" s="320" customFormat="1" ht="14.1" customHeight="1">
      <c r="A55" s="93"/>
      <c r="B55" s="319"/>
      <c r="C55" s="318"/>
      <c r="D55" s="304" t="str">
        <f>IF(Indice_index!$Z$1=1,"012 - Segurança e ordem públicas - Sistema judiciário","012 - Public safety and order - Judicial system")</f>
        <v>012 - Segurança e ordem públicas - Sistema judiciário</v>
      </c>
      <c r="E55" s="312">
        <v>17.788979000000001</v>
      </c>
      <c r="F55" s="312">
        <v>21.908847999999999</v>
      </c>
      <c r="G55" s="312">
        <v>8.9620259999999998</v>
      </c>
    </row>
    <row r="56" spans="1:7" s="320" customFormat="1" ht="14.1" customHeight="1">
      <c r="A56" s="93"/>
      <c r="B56" s="319"/>
      <c r="C56" s="318"/>
      <c r="D56" s="304"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56" s="312">
        <v>13.669302999999999</v>
      </c>
      <c r="F56" s="312">
        <v>15.173767</v>
      </c>
      <c r="G56" s="312">
        <v>0.90217400000000003</v>
      </c>
    </row>
    <row r="57" spans="1:7" s="320" customFormat="1" ht="14.1" customHeight="1">
      <c r="A57" s="93"/>
      <c r="B57" s="319"/>
      <c r="C57" s="318"/>
      <c r="D57" s="304" t="str">
        <f>IF(Indice_index!$Z$1=1,"063 - Outras funções económicas - Administração e regulamentação","063 - Outher economic functions - Administration e regulation")</f>
        <v>063 - Outras funções económicas - Administração e regulamentação</v>
      </c>
      <c r="E57" s="312">
        <v>0.76771999999999996</v>
      </c>
      <c r="F57" s="312">
        <v>2.6878120000000001</v>
      </c>
      <c r="G57" s="312">
        <v>2.6878120000000001</v>
      </c>
    </row>
    <row r="58" spans="1:7" s="320" customFormat="1" ht="14.1" customHeight="1">
      <c r="A58" s="93"/>
      <c r="B58" s="319"/>
      <c r="C58" s="318"/>
      <c r="D58" s="304" t="str">
        <f>IF(Indice_index!$Z$1=1,"065 - Outras funções económicas - Diversas não especificadas","065 - Other economic functions - Various unspecified")</f>
        <v>065 - Outras funções económicas - Diversas não especificadas</v>
      </c>
      <c r="E58" s="312">
        <v>0.33153100000000002</v>
      </c>
      <c r="F58" s="312">
        <v>0.36834</v>
      </c>
      <c r="G58" s="312">
        <v>0.28668399999999999</v>
      </c>
    </row>
    <row r="59" spans="1:7" s="320" customFormat="1" ht="14.1" customHeight="1">
      <c r="A59" s="93"/>
      <c r="B59" s="319"/>
      <c r="C59" s="318"/>
      <c r="D59" s="304"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59" s="312">
        <v>0.59612900000000002</v>
      </c>
      <c r="F59" s="312">
        <v>0.85369899999999999</v>
      </c>
      <c r="G59" s="312">
        <v>0.21396999999999999</v>
      </c>
    </row>
    <row r="60" spans="1:7" s="320" customFormat="1" ht="14.1" customHeight="1">
      <c r="A60" s="93"/>
      <c r="B60" s="319"/>
      <c r="C60" s="318"/>
      <c r="D60" s="304" t="str">
        <f>IF(Indice_index!$Z$1=1,"084 - Simplex +","084 - Simplex +")</f>
        <v>084 - Simplex +</v>
      </c>
      <c r="E60" s="312">
        <v>0.125</v>
      </c>
      <c r="F60" s="312">
        <v>0.125</v>
      </c>
      <c r="G60" s="312">
        <v>0</v>
      </c>
    </row>
    <row r="61" spans="1:7" s="320" customFormat="1" ht="14.1" customHeight="1">
      <c r="A61" s="93"/>
      <c r="B61" s="318"/>
      <c r="C61" s="318"/>
      <c r="D61" s="318" t="str">
        <f>C52</f>
        <v>P007 - Justiça</v>
      </c>
      <c r="E61" s="321">
        <f>SUM(E52:E60)</f>
        <v>94.678805000000011</v>
      </c>
      <c r="F61" s="321">
        <f>SUM(F52:F60)</f>
        <v>132.67244600000001</v>
      </c>
      <c r="G61" s="321">
        <f>SUM(G52:G60)</f>
        <v>86.896579999999986</v>
      </c>
    </row>
    <row r="62" spans="1:7" s="320" customFormat="1" ht="14.1" customHeight="1">
      <c r="A62" s="93"/>
      <c r="B62" s="319" t="str">
        <f>IF(Indice_index!$Z$1=1,"MAI","MIA")</f>
        <v>MAI</v>
      </c>
      <c r="C62" s="318" t="str">
        <f>IF(Indice_index!$Z$1=1,"P008 - Segurança Interna","P008 - Internal Security")</f>
        <v>P008 - Segurança Interna</v>
      </c>
      <c r="D62" s="304" t="str">
        <f>IF(Indice_index!$Z$1=1,"003 - Serv. Gerais da A.P. - Cooperação Económica Externa","003 - General public services - External economic cooperation")</f>
        <v>003 - Serv. Gerais da A.P. - Cooperação Económica Externa</v>
      </c>
      <c r="E62" s="312">
        <v>0</v>
      </c>
      <c r="F62" s="312">
        <v>0.154942</v>
      </c>
      <c r="G62" s="312">
        <v>0.154942</v>
      </c>
    </row>
    <row r="63" spans="1:7" s="320" customFormat="1" ht="14.1" customHeight="1">
      <c r="A63" s="93"/>
      <c r="B63" s="319"/>
      <c r="C63" s="318"/>
      <c r="D63" s="304" t="str">
        <f>IF(Indice_index!$Z$1=1,"009 - Segurança e ordem públicas - Administração e regulamentação","009 - Public safety and order - Administration and regulations")</f>
        <v>009 - Segurança e ordem públicas - Administração e regulamentação</v>
      </c>
      <c r="E63" s="312">
        <v>11.184136000000001</v>
      </c>
      <c r="F63" s="312">
        <v>107.28104999999999</v>
      </c>
      <c r="G63" s="312">
        <v>85.351158999999996</v>
      </c>
    </row>
    <row r="64" spans="1:7" s="320" customFormat="1" ht="14.1" customHeight="1">
      <c r="A64" s="93"/>
      <c r="B64" s="319"/>
      <c r="C64" s="318"/>
      <c r="D64" s="304" t="str">
        <f>IF(Indice_index!$Z$1=1,"011 - Segurança e ordem públicas - Forças de segurança","011 - Public safety and order - Security forces")</f>
        <v>011 - Segurança e ordem públicas - Forças de segurança</v>
      </c>
      <c r="E64" s="312">
        <v>22.856853000000001</v>
      </c>
      <c r="F64" s="312">
        <v>44.229092999999999</v>
      </c>
      <c r="G64" s="312">
        <v>30.945588000000001</v>
      </c>
    </row>
    <row r="65" spans="1:7" s="320" customFormat="1" ht="14.1" customHeight="1">
      <c r="A65" s="93"/>
      <c r="B65" s="319"/>
      <c r="C65" s="318"/>
      <c r="D65" s="304" t="str">
        <f>IF(Indice_index!$Z$1=1,"014 - Segurança e ordem públicas - Protecção civil e luta contra incêndios","014 - Public safety and order - Civil Protection and  fire fighting")</f>
        <v>014 - Segurança e ordem públicas - Protecção civil e luta contra incêndios</v>
      </c>
      <c r="E65" s="312">
        <v>3.4918809999999998</v>
      </c>
      <c r="F65" s="312">
        <v>6.3962950000000003</v>
      </c>
      <c r="G65" s="312">
        <v>6.0026219999999997</v>
      </c>
    </row>
    <row r="66" spans="1:7" s="320" customFormat="1" ht="14.1" customHeight="1">
      <c r="A66" s="93"/>
      <c r="B66" s="319"/>
      <c r="C66" s="318"/>
      <c r="D66" s="304" t="str">
        <f>IF(Indice_index!$Z$1=1,"017 - Educação - Estabelecimentos de ensino não superior","017 - Education - Non higher educations institutions")</f>
        <v>017 - Educação - Estabelecimentos de ensino não superior</v>
      </c>
      <c r="E66" s="312">
        <v>2.9829789999999998</v>
      </c>
      <c r="F66" s="312">
        <v>4.2681490000000002</v>
      </c>
      <c r="G66" s="312">
        <v>2.2202929999999999</v>
      </c>
    </row>
    <row r="67" spans="1:7" s="320" customFormat="1" ht="14.1" customHeight="1">
      <c r="A67" s="93"/>
      <c r="B67" s="319"/>
      <c r="C67" s="318"/>
      <c r="D67" s="304" t="str">
        <f>IF(Indice_index!$Z$1=1,"018 - Educação - Estabelecimentos de ensino superior","018 - Education - Higher educations institutions")</f>
        <v>018 - Educação - Estabelecimentos de ensino superior</v>
      </c>
      <c r="E67" s="312">
        <v>1.0434460000000001</v>
      </c>
      <c r="F67" s="312">
        <v>1.128366</v>
      </c>
      <c r="G67" s="312">
        <v>0.851294</v>
      </c>
    </row>
    <row r="68" spans="1:7" s="320" customFormat="1" ht="14.1" customHeight="1">
      <c r="A68" s="93"/>
      <c r="B68" s="319"/>
      <c r="C68" s="318"/>
      <c r="D68" s="304" t="str">
        <f>IF(Indice_index!$Z$1=1,"027 - Segurança e acção social - Acção social","027 - Social Security and Action - Social Action")</f>
        <v>027 - Segurança e acção social - Acção social</v>
      </c>
      <c r="E68" s="312">
        <v>2.1979829999999998</v>
      </c>
      <c r="F68" s="312">
        <v>3.6403819999999998</v>
      </c>
      <c r="G68" s="312">
        <v>3.0314230000000002</v>
      </c>
    </row>
    <row r="69" spans="1:7" s="320" customFormat="1" ht="14.1" customHeight="1">
      <c r="A69" s="93"/>
      <c r="B69" s="319"/>
      <c r="C69" s="318"/>
      <c r="D69" s="304" t="str">
        <f>IF(Indice_index!$Z$1=1,"068 - Outras funções - Diversas não especificadas","068 - Other functions - Various unspecified")</f>
        <v>068 - Outras funções - Diversas não especificadas</v>
      </c>
      <c r="E69" s="312">
        <v>2.42E-4</v>
      </c>
      <c r="F69" s="312">
        <v>2.42E-4</v>
      </c>
      <c r="G69" s="312">
        <v>2.42E-4</v>
      </c>
    </row>
    <row r="70" spans="1:7" s="320" customFormat="1" ht="14.1" customHeight="1">
      <c r="A70" s="93"/>
      <c r="B70" s="319"/>
      <c r="C70" s="318"/>
      <c r="D70" s="304"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70" s="312">
        <v>9.7465999999999997E-2</v>
      </c>
      <c r="F70" s="312">
        <v>0.14793600000000001</v>
      </c>
      <c r="G70" s="312">
        <v>9.1078000000000006E-2</v>
      </c>
    </row>
    <row r="71" spans="1:7" s="320" customFormat="1" ht="14.1" customHeight="1">
      <c r="A71" s="93"/>
      <c r="B71" s="319"/>
      <c r="C71" s="318"/>
      <c r="D71" s="304" t="str">
        <f>IF(Indice_index!$Z$1=1,"083 - Segurança e Ação Social - Integração da Pessoa com Deficiência","083 - Social Security and Action - Integration of the handicapped person")</f>
        <v>083 - Segurança e Ação Social - Integração da Pessoa com Deficiência</v>
      </c>
      <c r="E71" s="312">
        <v>2.1499999999999998E-2</v>
      </c>
      <c r="F71" s="312">
        <v>3.2372999999999999E-2</v>
      </c>
      <c r="G71" s="312">
        <v>3.2372999999999999E-2</v>
      </c>
    </row>
    <row r="72" spans="1:7" s="320" customFormat="1" ht="14.1" customHeight="1">
      <c r="A72" s="93"/>
      <c r="B72" s="319"/>
      <c r="C72" s="318"/>
      <c r="D72" s="304" t="str">
        <f>IF(Indice_index!$Z$1=1,"084 - Simplex +","084 - Simplex +")</f>
        <v>084 - Simplex +</v>
      </c>
      <c r="E72" s="312">
        <v>2.5000000000000001E-2</v>
      </c>
      <c r="F72" s="312">
        <v>2.5000000000000001E-2</v>
      </c>
      <c r="G72" s="312">
        <v>2.5000000000000001E-2</v>
      </c>
    </row>
    <row r="73" spans="1:7" s="320" customFormat="1" ht="14.1" customHeight="1">
      <c r="A73" s="93"/>
      <c r="B73" s="319"/>
      <c r="C73" s="318"/>
      <c r="D73" s="304" t="str">
        <f>IF(Indice_index!$Z$1=1,"100 - Iniciativas de  Ação Climática","100 - Climate Action Iniciatives")</f>
        <v>100 - Iniciativas de  Ação Climática</v>
      </c>
      <c r="E73" s="312">
        <v>1.9283999999999999E-2</v>
      </c>
      <c r="F73" s="312">
        <v>1.9283999999999999E-2</v>
      </c>
      <c r="G73" s="312">
        <v>1.9283999999999999E-2</v>
      </c>
    </row>
    <row r="74" spans="1:7" s="320" customFormat="1" ht="14.1" customHeight="1">
      <c r="A74" s="93"/>
      <c r="B74" s="319"/>
      <c r="C74" s="318"/>
      <c r="D74" s="304" t="str">
        <f>IF(Indice_index!$Z$1=1,"101 - Plano Nacional de Gestão Integrada de Fogos Rurais","101 - National Plan on Integrated Rural Fire Management")</f>
        <v>101 - Plano Nacional de Gestão Integrada de Fogos Rurais</v>
      </c>
      <c r="E74" s="312">
        <v>0.36178100000000002</v>
      </c>
      <c r="F74" s="312">
        <v>0.809979</v>
      </c>
      <c r="G74" s="312">
        <v>0.809979</v>
      </c>
    </row>
    <row r="75" spans="1:7" s="320" customFormat="1" ht="14.1" customHeight="1">
      <c r="A75" s="93"/>
      <c r="B75" s="318"/>
      <c r="C75" s="318"/>
      <c r="D75" s="318" t="str">
        <f>C62</f>
        <v>P008 - Segurança Interna</v>
      </c>
      <c r="E75" s="321">
        <f>SUM(E62:E74)</f>
        <v>44.282551000000005</v>
      </c>
      <c r="F75" s="321">
        <f>SUM(F62:F74)</f>
        <v>168.13309099999998</v>
      </c>
      <c r="G75" s="321">
        <f>SUM(G62:G74)</f>
        <v>129.53527700000001</v>
      </c>
    </row>
    <row r="76" spans="1:7" s="320" customFormat="1" ht="14.1" customHeight="1">
      <c r="A76" s="93"/>
      <c r="B76" s="319" t="str">
        <f>IF(Indice_index!$Z$1=1,"MECI","MSI")</f>
        <v>MECI</v>
      </c>
      <c r="C76" s="318" t="str">
        <f>IF(Indice_index!$Z$1=1,"P009 - Educação","P009 - Education")</f>
        <v>P009 - Educação</v>
      </c>
      <c r="D76" s="304" t="str">
        <f>IF(Indice_index!$Z$1=1,"003 - Serv. Gerais da A.P. - Cooperação económica externa","003 - General public services - External economic cooperation")</f>
        <v>003 - Serv. Gerais da A.P. - Cooperação económica externa</v>
      </c>
      <c r="E76" s="312">
        <v>1.576641</v>
      </c>
      <c r="F76" s="312">
        <v>4.5189599999999999</v>
      </c>
      <c r="G76" s="312">
        <v>1.1904300000000001</v>
      </c>
    </row>
    <row r="77" spans="1:7" s="320" customFormat="1" ht="14.1" customHeight="1">
      <c r="A77" s="93"/>
      <c r="B77" s="319"/>
      <c r="C77" s="318"/>
      <c r="D77" s="304" t="str">
        <f>IF(Indice_index!$Z$1=1,"015 - Educação - Administração e regulamentação","015 - Education - Administration and regulations")</f>
        <v>015 - Educação - Administração e regulamentação</v>
      </c>
      <c r="E77" s="312">
        <v>10.028739</v>
      </c>
      <c r="F77" s="312">
        <v>30.081883000000001</v>
      </c>
      <c r="G77" s="312">
        <v>1.891302</v>
      </c>
    </row>
    <row r="78" spans="1:7" s="320" customFormat="1" ht="14.1" customHeight="1">
      <c r="A78" s="93"/>
      <c r="B78" s="319"/>
      <c r="C78" s="318"/>
      <c r="D78" s="304" t="str">
        <f>IF(Indice_index!$Z$1=1,"017 - Educação - Estabelecimentos de ensino não superior","017 - Education - Non higher educations institutions")</f>
        <v>017 - Educação - Estabelecimentos de ensino não superior</v>
      </c>
      <c r="E78" s="312">
        <v>99.765359000000004</v>
      </c>
      <c r="F78" s="312">
        <v>103.983763</v>
      </c>
      <c r="G78" s="312">
        <v>1.8047470000000001</v>
      </c>
    </row>
    <row r="79" spans="1:7" s="320" customFormat="1" ht="14.1" customHeight="1">
      <c r="A79" s="93"/>
      <c r="B79" s="319"/>
      <c r="C79" s="318"/>
      <c r="D79" s="304" t="str">
        <f>IF(Indice_index!$Z$1=1,"019 - Educação - Serviços auxiliares de ensino","019 - Education - Educational ancillary services")</f>
        <v>019 - Educação - Serviços auxiliares de ensino</v>
      </c>
      <c r="E79" s="312">
        <v>35.848973999999998</v>
      </c>
      <c r="F79" s="312">
        <v>35.849327000000002</v>
      </c>
      <c r="G79" s="312">
        <v>3.5300000000000002E-4</v>
      </c>
    </row>
    <row r="80" spans="1:7" s="320" customFormat="1" ht="14.1" customHeight="1">
      <c r="A80" s="93"/>
      <c r="B80" s="319"/>
      <c r="C80" s="318"/>
      <c r="D80" s="304" t="str">
        <f>IF(Indice_index!$Z$1=1,"084 - Simplex +","084 - Simplex +")</f>
        <v>084 - Simplex +</v>
      </c>
      <c r="E80" s="312">
        <v>0.22816</v>
      </c>
      <c r="F80" s="312">
        <v>0.22816</v>
      </c>
      <c r="G80" s="312">
        <v>0</v>
      </c>
    </row>
    <row r="81" spans="1:7" s="320" customFormat="1" ht="14.1" customHeight="1">
      <c r="A81" s="93"/>
      <c r="B81" s="319"/>
      <c r="C81" s="318"/>
      <c r="D81" s="318" t="str">
        <f>C76</f>
        <v>P009 - Educação</v>
      </c>
      <c r="E81" s="321">
        <f>SUM(E76:E80)</f>
        <v>147.44787300000002</v>
      </c>
      <c r="F81" s="321">
        <f>SUM(F76:F80)</f>
        <v>174.66209300000003</v>
      </c>
      <c r="G81" s="321">
        <f>SUM(G76:G80)</f>
        <v>4.8868320000000001</v>
      </c>
    </row>
    <row r="82" spans="1:7" s="320" customFormat="1" ht="14.1" customHeight="1">
      <c r="A82" s="93"/>
      <c r="B82" s="319" t="str">
        <f>IF(Indice_index!$Z$1=1,"MECI","MSI")</f>
        <v>MECI</v>
      </c>
      <c r="C82" s="318" t="str">
        <f>IF(Indice_index!$Z$1=1,"P010 - Ensino Superior, Ciência e Inovação","P010 - Higher Education, Science and Innovation")</f>
        <v>P010 - Ensino Superior, Ciência e Inovação</v>
      </c>
      <c r="D82" s="304" t="str">
        <f>IF(Indice_index!$Z$1=1,"001 - Serviços Gerais da Administração Pública - Administração geral","001 - General public services - General Administration")</f>
        <v>001 - Serviços Gerais da Administração Pública - Administração geral</v>
      </c>
      <c r="E82" s="312">
        <v>0.400588</v>
      </c>
      <c r="F82" s="312">
        <v>1.5344500000000001</v>
      </c>
      <c r="G82" s="312">
        <v>0</v>
      </c>
    </row>
    <row r="83" spans="1:7" s="320" customFormat="1" ht="14.1" customHeight="1">
      <c r="A83" s="93"/>
      <c r="B83" s="319"/>
      <c r="C83" s="318"/>
      <c r="D83" s="304" t="str">
        <f>IF(Indice_index!$Z$1=1,"004 - Serv. Gerais da A.P. - Investigação científica de carácter geral","004 - General public services - General scientific research")</f>
        <v>004 - Serv. Gerais da A.P. - Investigação científica de carácter geral</v>
      </c>
      <c r="E83" s="312">
        <v>60.596212999999999</v>
      </c>
      <c r="F83" s="312">
        <v>60.836125000000003</v>
      </c>
      <c r="G83" s="312">
        <v>0.16786499999999999</v>
      </c>
    </row>
    <row r="84" spans="1:7" s="320" customFormat="1" ht="14.1" customHeight="1">
      <c r="A84" s="93"/>
      <c r="B84" s="319"/>
      <c r="C84" s="318"/>
      <c r="D84" s="304" t="str">
        <f>IF(Indice_index!$Z$1=1,"015 - Educação - Administração e regulamentação","015 - Education - Administration and regulations")</f>
        <v>015 - Educação - Administração e regulamentação</v>
      </c>
      <c r="E84" s="312">
        <v>0.45219799999999999</v>
      </c>
      <c r="F84" s="312">
        <v>0.56696999999999997</v>
      </c>
      <c r="G84" s="312">
        <v>0.25613399999999997</v>
      </c>
    </row>
    <row r="85" spans="1:7" s="320" customFormat="1" ht="14.1" customHeight="1">
      <c r="A85" s="93"/>
      <c r="B85" s="319"/>
      <c r="C85" s="318"/>
      <c r="D85" s="304" t="str">
        <f>IF(Indice_index!$Z$1=1,"016 - Educação - Investigação","016 - Education - Research")</f>
        <v>016 - Educação - Investigação</v>
      </c>
      <c r="E85" s="312">
        <v>0.81126399999999999</v>
      </c>
      <c r="F85" s="312">
        <v>1.918712</v>
      </c>
      <c r="G85" s="312">
        <v>1.4592039999999999</v>
      </c>
    </row>
    <row r="86" spans="1:7" s="320" customFormat="1" ht="14.1" customHeight="1">
      <c r="A86" s="93"/>
      <c r="B86" s="319"/>
      <c r="C86" s="318"/>
      <c r="D86" s="304" t="str">
        <f>IF(Indice_index!$Z$1=1,"019 - Educação - Serviços auxiliares de ensino","019 - Education - Educational ancillary services")</f>
        <v>019 - Educação - Serviços auxiliares de ensino</v>
      </c>
      <c r="E86" s="312">
        <v>0.10526199999999999</v>
      </c>
      <c r="F86" s="312">
        <v>0.10526199999999999</v>
      </c>
      <c r="G86" s="312">
        <v>0</v>
      </c>
    </row>
    <row r="87" spans="1:7" s="320" customFormat="1" ht="14.1" customHeight="1">
      <c r="A87" s="93"/>
      <c r="B87" s="318"/>
      <c r="C87" s="318"/>
      <c r="D87" s="318" t="str">
        <f>C82</f>
        <v>P010 - Ensino Superior, Ciência e Inovação</v>
      </c>
      <c r="E87" s="321">
        <f>SUM(E82:E86)</f>
        <v>62.365525000000005</v>
      </c>
      <c r="F87" s="321">
        <f>SUM(F82:F86)</f>
        <v>64.961518999999996</v>
      </c>
      <c r="G87" s="321">
        <f>SUM(G82:G86)</f>
        <v>1.883203</v>
      </c>
    </row>
    <row r="88" spans="1:7" s="320" customFormat="1" ht="14.1" customHeight="1">
      <c r="A88" s="93"/>
      <c r="B88" s="318"/>
      <c r="C88" s="318"/>
      <c r="D88" s="304" t="str">
        <f>IF(Indice_index!$Z$1=1,"Instituições de Ensino Superior","Higher Education Institutions")</f>
        <v>Instituições de Ensino Superior</v>
      </c>
      <c r="E88" s="312">
        <v>0</v>
      </c>
      <c r="F88" s="312">
        <v>0</v>
      </c>
      <c r="G88" s="312">
        <v>0</v>
      </c>
    </row>
    <row r="89" spans="1:7" s="320" customFormat="1" ht="14.1" customHeight="1">
      <c r="A89" s="93"/>
      <c r="B89" s="319" t="str">
        <f>IF(Indice_index!$Z$1=1,"MS","MH")</f>
        <v>MS</v>
      </c>
      <c r="C89" s="318" t="str">
        <f>IF(Indice_index!$Z$1=1,"P011 - Saúde","P011 - Health")</f>
        <v>P011 - Saúde</v>
      </c>
      <c r="D89" s="304" t="str">
        <f>IF(Indice_index!$Z$1=1,"020 - Saúde - Administração e regulamentação","020 - Health - Administration and regulations")</f>
        <v>020 - Saúde - Administração e regulamentação</v>
      </c>
      <c r="E89" s="312">
        <v>2.3362449999999999</v>
      </c>
      <c r="F89" s="312">
        <v>4.9097419999999996</v>
      </c>
      <c r="G89" s="312">
        <v>1.2183790000000001</v>
      </c>
    </row>
    <row r="90" spans="1:7" s="320" customFormat="1" ht="14.1" customHeight="1">
      <c r="A90" s="93"/>
      <c r="B90" s="318"/>
      <c r="C90" s="318"/>
      <c r="D90" s="318" t="str">
        <f>C89</f>
        <v>P011 - Saúde</v>
      </c>
      <c r="E90" s="321">
        <f>SUM(E89:E89)</f>
        <v>2.3362449999999999</v>
      </c>
      <c r="F90" s="321">
        <f>SUM(F89:F89)</f>
        <v>4.9097419999999996</v>
      </c>
      <c r="G90" s="321">
        <f>SUM(G89:G89)</f>
        <v>1.2183790000000001</v>
      </c>
    </row>
    <row r="91" spans="1:7" s="320" customFormat="1" ht="14.1" customHeight="1">
      <c r="A91" s="93"/>
      <c r="B91" s="318"/>
      <c r="C91" s="318"/>
      <c r="D91" s="304" t="str">
        <f>IF(Indice_index!$Z$1=1,"Serviço Nacional de Saúde","National Health Service")</f>
        <v>Serviço Nacional de Saúde</v>
      </c>
      <c r="E91" s="312">
        <v>0</v>
      </c>
      <c r="F91" s="312">
        <v>0</v>
      </c>
      <c r="G91" s="312">
        <v>0</v>
      </c>
    </row>
    <row r="92" spans="1:7" s="320" customFormat="1" ht="14.1" customHeight="1">
      <c r="A92" s="93"/>
      <c r="B92" s="319" t="str">
        <f>IF(Indice_index!$Z$1=1,"MIH","MIH")</f>
        <v>MIH</v>
      </c>
      <c r="C92" s="318" t="str">
        <f>IF(Indice_index!$Z$1=1,"P012 - Infraestruturas e Habitação","P012 - Infrastructures and Housing")</f>
        <v>P012 - Infraestruturas e Habitação</v>
      </c>
      <c r="D92" s="304" t="str">
        <f>IF(Indice_index!$Z$1=1,"001 - Serviços Gerais da Administração Pública - Administração geral","001 - General public services - General Administration")</f>
        <v>001 - Serviços Gerais da Administração Pública - Administração geral</v>
      </c>
      <c r="E92" s="312">
        <v>0.80652800000000002</v>
      </c>
      <c r="F92" s="312">
        <v>1.022966</v>
      </c>
      <c r="G92" s="312">
        <v>0.16020799999999999</v>
      </c>
    </row>
    <row r="93" spans="1:7" s="320" customFormat="1" ht="14.1" customHeight="1">
      <c r="A93" s="93"/>
      <c r="B93" s="319"/>
      <c r="C93" s="318"/>
      <c r="D93" s="304" t="str">
        <f>IF(Indice_index!$Z$1=1,"004 - Serv. Gerais da A.P. - Investigação científica de carácter geral","004 - General public services - General scientific research")</f>
        <v>004 - Serv. Gerais da A.P. - Investigação científica de carácter geral</v>
      </c>
      <c r="E93" s="312">
        <v>1.3401639999999999</v>
      </c>
      <c r="F93" s="312">
        <v>1.5082420000000001</v>
      </c>
      <c r="G93" s="312">
        <v>1.646042</v>
      </c>
    </row>
    <row r="94" spans="1:7" s="320" customFormat="1" ht="14.1" customHeight="1">
      <c r="A94" s="93"/>
      <c r="B94" s="319"/>
      <c r="C94" s="318"/>
      <c r="D94" s="304" t="str">
        <f>IF(Indice_index!$Z$1=1,"015 - Educação - Administração e regulamentação","015 - Education - Administration and regulations")</f>
        <v>015 - Educação - Administração e regulamentação</v>
      </c>
      <c r="E94" s="312">
        <v>2.531317</v>
      </c>
      <c r="F94" s="312">
        <v>2.531317</v>
      </c>
      <c r="G94" s="312">
        <v>2.531317</v>
      </c>
    </row>
    <row r="95" spans="1:7" s="320" customFormat="1" ht="14.1" customHeight="1">
      <c r="A95" s="93"/>
      <c r="B95" s="319"/>
      <c r="C95" s="318"/>
      <c r="D95" s="304" t="str">
        <f>IF(Indice_index!$Z$1=1,"017 - Educação - Estabelecimentos de ensino não superior","017 - Education - Non higher educations institutions")</f>
        <v>017 - Educação - Estabelecimentos de ensino não superior</v>
      </c>
      <c r="E95" s="312">
        <v>38.932650000000002</v>
      </c>
      <c r="F95" s="312">
        <v>41.517899</v>
      </c>
      <c r="G95" s="312">
        <v>30.925263000000001</v>
      </c>
    </row>
    <row r="96" spans="1:7" s="320" customFormat="1" ht="14.1" customHeight="1">
      <c r="A96" s="93"/>
      <c r="B96" s="319"/>
      <c r="C96" s="318"/>
      <c r="D96" s="304" t="str">
        <f>IF(Indice_index!$Z$1=1,"030 - Habitação e serv. Colectivos - Habitação","030 - Housing and Common services - Housing")</f>
        <v>030 - Habitação e serv. Colectivos - Habitação</v>
      </c>
      <c r="E96" s="312">
        <v>89.731469000000004</v>
      </c>
      <c r="F96" s="312">
        <v>103.531584</v>
      </c>
      <c r="G96" s="312">
        <v>40.605305000000001</v>
      </c>
    </row>
    <row r="97" spans="1:7" s="320" customFormat="1" ht="14.1" customHeight="1">
      <c r="A97" s="93"/>
      <c r="B97" s="319"/>
      <c r="C97" s="318"/>
      <c r="D97" s="304" t="str">
        <f>IF(Indice_index!$Z$1=1,"052 - Transportes e comunicações - Administração e regulamentação","052 - Transport and Communications - Administration and regulations")</f>
        <v>052 - Transportes e comunicações - Administração e regulamentação</v>
      </c>
      <c r="E97" s="312">
        <v>7.0059189999999996</v>
      </c>
      <c r="F97" s="312">
        <v>16.185881999999999</v>
      </c>
      <c r="G97" s="312">
        <v>1.810481</v>
      </c>
    </row>
    <row r="98" spans="1:7" s="320" customFormat="1" ht="14.1" customHeight="1">
      <c r="A98" s="93"/>
      <c r="B98" s="319"/>
      <c r="C98" s="318"/>
      <c r="D98" s="304" t="str">
        <f>IF(Indice_index!$Z$1=1,"053 - Transportes e Comunicações - Investigação","053 - Transport and Communications - Research")</f>
        <v>053 - Transportes e Comunicações - Investigação</v>
      </c>
      <c r="E98" s="312">
        <v>4.1717999999999998E-2</v>
      </c>
      <c r="F98" s="312">
        <v>0.52171800000000002</v>
      </c>
      <c r="G98" s="312">
        <v>0.48</v>
      </c>
    </row>
    <row r="99" spans="1:7" s="320" customFormat="1" ht="14.1" customHeight="1">
      <c r="A99" s="93"/>
      <c r="B99" s="319"/>
      <c r="C99" s="318"/>
      <c r="D99" s="304" t="str">
        <f>IF(Indice_index!$Z$1=1,"054 - Transportes e comunicações - Transportes rodoviários","054 - Transport and Communications - Road transport")</f>
        <v>054 - Transportes e comunicações - Transportes rodoviários</v>
      </c>
      <c r="E99" s="312">
        <v>52.622017999999997</v>
      </c>
      <c r="F99" s="312">
        <v>64.427160000000001</v>
      </c>
      <c r="G99" s="312">
        <v>11.819785</v>
      </c>
    </row>
    <row r="100" spans="1:7" s="320" customFormat="1" ht="14.1" customHeight="1">
      <c r="A100" s="93"/>
      <c r="B100" s="319"/>
      <c r="C100" s="318"/>
      <c r="D100" s="304" t="str">
        <f>IF(Indice_index!$Z$1=1,"055 - Transportes e comunicações - Transportes ferroviários","055 - Transport and Communications - Rail transport")</f>
        <v>055 - Transportes e comunicações - Transportes ferroviários</v>
      </c>
      <c r="E100" s="312">
        <v>206.17274800000001</v>
      </c>
      <c r="F100" s="312">
        <v>249.719561</v>
      </c>
      <c r="G100" s="312">
        <v>93.955698999999996</v>
      </c>
    </row>
    <row r="101" spans="1:7" s="320" customFormat="1" ht="14.1" customHeight="1">
      <c r="A101" s="93"/>
      <c r="B101" s="319"/>
      <c r="C101" s="318"/>
      <c r="D101" s="304" t="str">
        <f>IF(Indice_index!$Z$1=1,"056 - Transportes e comunicações - Transportes aéreos","056 - Transport and Communications - Air transport")</f>
        <v>056 - Transportes e comunicações - Transportes aéreos</v>
      </c>
      <c r="E101" s="312">
        <v>0.493697</v>
      </c>
      <c r="F101" s="312">
        <v>0.63090900000000005</v>
      </c>
      <c r="G101" s="312">
        <v>0.63090900000000005</v>
      </c>
    </row>
    <row r="102" spans="1:7" s="320" customFormat="1" ht="14.1" customHeight="1">
      <c r="A102" s="93"/>
      <c r="B102" s="319"/>
      <c r="C102" s="318"/>
      <c r="D102" s="304" t="str">
        <f>IF(Indice_index!$Z$1=1,"057 - Transportes e comunicações - Transportes marítimos e fluviais","057 - Transport and Communications - Water transport")</f>
        <v>057 - Transportes e comunicações - Transportes marítimos e fluviais</v>
      </c>
      <c r="E102" s="312">
        <v>19.927278999999999</v>
      </c>
      <c r="F102" s="312">
        <v>21.904322000000001</v>
      </c>
      <c r="G102" s="312">
        <v>0.8125</v>
      </c>
    </row>
    <row r="103" spans="1:7" s="320" customFormat="1" ht="14.1" customHeight="1">
      <c r="A103" s="93"/>
      <c r="B103" s="319"/>
      <c r="C103" s="318"/>
      <c r="D103" s="304" t="str">
        <f>IF(Indice_index!$Z$1=1,"058 - Transportes e comunicações - Sistemas de comunicações","058 - Transport and Communications - Communications systems")</f>
        <v>058 - Transportes e comunicações - Sistemas de comunicações</v>
      </c>
      <c r="E103" s="312">
        <v>3.6430560000000001</v>
      </c>
      <c r="F103" s="312">
        <v>3.6430560000000001</v>
      </c>
      <c r="G103" s="312">
        <v>0</v>
      </c>
    </row>
    <row r="104" spans="1:7" s="320" customFormat="1" ht="14.1" customHeight="1">
      <c r="A104" s="93"/>
      <c r="B104" s="319"/>
      <c r="C104" s="318"/>
      <c r="D104" s="304" t="str">
        <f>IF(Indice_index!$Z$1=1,"063 - Outras funções económicas - Administração e regulamentação","063 - Outher economic functions - Administration e regulation")</f>
        <v>063 - Outras funções económicas - Administração e regulamentação</v>
      </c>
      <c r="E104" s="312">
        <v>3.9577179999999998</v>
      </c>
      <c r="F104" s="312">
        <v>8.057563</v>
      </c>
      <c r="G104" s="312">
        <v>6.4889029999999996</v>
      </c>
    </row>
    <row r="105" spans="1:7" s="320" customFormat="1" ht="14.1" customHeight="1">
      <c r="A105" s="93"/>
      <c r="B105" s="319"/>
      <c r="C105" s="318"/>
      <c r="D105" s="304" t="str">
        <f>IF(Indice_index!$Z$1=1,"065 - Outras funções económicas - Diversas não especificadas","065 - Other economic functions - Various unspecified")</f>
        <v>065 - Outras funções económicas - Diversas não especificadas</v>
      </c>
      <c r="E105" s="312">
        <v>1.5899999999999999E-4</v>
      </c>
      <c r="F105" s="312">
        <v>1.5899999999999999E-4</v>
      </c>
      <c r="G105" s="312">
        <v>1.5899999999999999E-4</v>
      </c>
    </row>
    <row r="106" spans="1:7" s="320" customFormat="1" ht="14.1" customHeight="1">
      <c r="A106" s="93"/>
      <c r="B106" s="319"/>
      <c r="C106" s="318"/>
      <c r="D106" s="304" t="str">
        <f>IF(Indice_index!$Z$1=1,"079 - Transportes e Comunicações - Parcerias Público Privadas ","079 - Transport and Communications - Public-private partnerships")</f>
        <v xml:space="preserve">079 - Transportes e Comunicações - Parcerias Público Privadas </v>
      </c>
      <c r="E106" s="312">
        <v>173.82656600000001</v>
      </c>
      <c r="F106" s="312">
        <v>173.82656600000001</v>
      </c>
      <c r="G106" s="312">
        <v>0</v>
      </c>
    </row>
    <row r="107" spans="1:7" s="320" customFormat="1" ht="14.1" customHeight="1">
      <c r="A107" s="93"/>
      <c r="B107" s="319"/>
      <c r="C107" s="318"/>
      <c r="D107" s="304" t="str">
        <f>IF(Indice_index!$Z$1=1,"101 - Plano Nacional de Gestão Integrada de Fogos Rurais","101 - National Plan on Integrated Rural Fire Management")</f>
        <v>101 - Plano Nacional de Gestão Integrada de Fogos Rurais</v>
      </c>
      <c r="E107" s="312">
        <v>5.8432089999999999</v>
      </c>
      <c r="F107" s="312">
        <v>5.8432089999999999</v>
      </c>
      <c r="G107" s="312">
        <v>0</v>
      </c>
    </row>
    <row r="108" spans="1:7" s="320" customFormat="1" ht="14.1" customHeight="1">
      <c r="A108" s="93"/>
      <c r="B108" s="319"/>
      <c r="C108" s="318"/>
      <c r="D108" s="304" t="str">
        <f>IF(Indice_index!$Z$1=1,"103 - Impacto do choque geopolítico","103 - Impact of geopolitical shock")</f>
        <v>103 - Impacto do choque geopolítico</v>
      </c>
      <c r="E108" s="312">
        <v>0.44866499999999998</v>
      </c>
      <c r="F108" s="312">
        <v>3.0158140000000002</v>
      </c>
      <c r="G108" s="312">
        <v>0.44866499999999998</v>
      </c>
    </row>
    <row r="109" spans="1:7" s="320" customFormat="1" ht="14.1" customHeight="1">
      <c r="A109" s="93"/>
      <c r="B109" s="318"/>
      <c r="C109" s="318"/>
      <c r="D109" s="318" t="str">
        <f>C92</f>
        <v>P012 - Infraestruturas e Habitação</v>
      </c>
      <c r="E109" s="321">
        <f t="shared" ref="E109:G109" si="1">SUM(E92:E108)</f>
        <v>607.32488000000001</v>
      </c>
      <c r="F109" s="321">
        <f t="shared" si="1"/>
        <v>697.88792699999999</v>
      </c>
      <c r="G109" s="321">
        <f t="shared" si="1"/>
        <v>192.315236</v>
      </c>
    </row>
    <row r="110" spans="1:7" s="320" customFormat="1" ht="14.1" customHeight="1">
      <c r="A110" s="93"/>
      <c r="B110" s="319" t="str">
        <f>IF(Indice_index!$Z$1=1,"MECT","METC")</f>
        <v>MECT</v>
      </c>
      <c r="C110" s="318" t="str">
        <f>IF(Indice_index!$Z$1=1,"P013 - Economia","P013 - Economy")</f>
        <v>P013 - Economia</v>
      </c>
      <c r="D110" s="304" t="str">
        <f>IF(Indice_index!$Z$1=1,"040 - Agricultura, pecuária, silv, caça, pesca - Administração e regulamentação","040 - Crops, livestock, forestry, fisheries - Administration and regulations")</f>
        <v>040 - Agricultura, pecuária, silv, caça, pesca - Administração e regulamentação</v>
      </c>
      <c r="E110" s="312">
        <v>0</v>
      </c>
      <c r="F110" s="312">
        <v>0</v>
      </c>
      <c r="G110" s="312">
        <v>0</v>
      </c>
    </row>
    <row r="111" spans="1:7" s="320" customFormat="1" ht="14.1" customHeight="1">
      <c r="A111" s="93"/>
      <c r="B111" s="319"/>
      <c r="C111" s="318"/>
      <c r="D111" s="304" t="str">
        <f>IF(Indice_index!$Z$1=1,"061 - Comércio e turismo - Comércio","061 - Trade and tourism - Trade")</f>
        <v>061 - Comércio e turismo - Comércio</v>
      </c>
      <c r="E111" s="312">
        <v>5.8659999999999997E-3</v>
      </c>
      <c r="F111" s="312">
        <v>0.16742699999999999</v>
      </c>
      <c r="G111" s="312">
        <v>0.16742699999999999</v>
      </c>
    </row>
    <row r="112" spans="1:7" s="320" customFormat="1" ht="14.1" customHeight="1">
      <c r="A112" s="93"/>
      <c r="B112" s="319"/>
      <c r="C112" s="318"/>
      <c r="D112" s="304" t="str">
        <f>IF(Indice_index!$Z$1=1,"062 - Comércio e turismo - Turismo","062 - Trade and tourism - Tourism")</f>
        <v>062 - Comércio e turismo - Turismo</v>
      </c>
      <c r="E112" s="312">
        <v>12.524763</v>
      </c>
      <c r="F112" s="312">
        <v>18.244178999999999</v>
      </c>
      <c r="G112" s="312">
        <v>9.7886450000000007</v>
      </c>
    </row>
    <row r="113" spans="1:7" s="320" customFormat="1" ht="14.1" customHeight="1">
      <c r="A113" s="93"/>
      <c r="B113" s="319"/>
      <c r="C113" s="318"/>
      <c r="D113" s="304" t="str">
        <f>IF(Indice_index!$Z$1=1,"063 - Outras funções económicas - Administração e regulamentação","063 - Outher economic functions - Administration e regulation")</f>
        <v>063 - Outras funções económicas - Administração e regulamentação</v>
      </c>
      <c r="E113" s="312">
        <v>1.462054</v>
      </c>
      <c r="F113" s="312">
        <v>1.8066340000000001</v>
      </c>
      <c r="G113" s="312">
        <v>0.65405599999999997</v>
      </c>
    </row>
    <row r="114" spans="1:7" s="320" customFormat="1" ht="14.1" customHeight="1">
      <c r="A114" s="93"/>
      <c r="B114" s="319"/>
      <c r="C114" s="318"/>
      <c r="D114" s="304" t="str">
        <f>IF(Indice_index!$Z$1=1,"065 - Outras funções económicas - Diversas não especificadas","065 - Other economic functions - Various unspecified")</f>
        <v>065 - Outras funções económicas - Diversas não especificadas</v>
      </c>
      <c r="E114" s="312">
        <v>35.006492000000001</v>
      </c>
      <c r="F114" s="312">
        <v>52.877938999999998</v>
      </c>
      <c r="G114" s="312">
        <v>49.638080000000002</v>
      </c>
    </row>
    <row r="115" spans="1:7" s="320" customFormat="1" ht="14.1" customHeight="1">
      <c r="A115" s="93"/>
      <c r="B115" s="319"/>
      <c r="C115" s="318"/>
      <c r="D115" s="304" t="str">
        <f>IF(Indice_index!$Z$1=1,"086 - Comércio e Turismo - Imposto especial de jogo","086 - Trade and tourism - Special gambling tax")</f>
        <v>086 - Comércio e Turismo - Imposto especial de jogo</v>
      </c>
      <c r="E115" s="312">
        <v>16.421361000000001</v>
      </c>
      <c r="F115" s="312">
        <v>22.032757</v>
      </c>
      <c r="G115" s="312">
        <v>5.7378210000000003</v>
      </c>
    </row>
    <row r="116" spans="1:7" s="320" customFormat="1" ht="14.1" customHeight="1">
      <c r="A116" s="93"/>
      <c r="B116" s="319"/>
      <c r="C116" s="318"/>
      <c r="D116" s="304" t="str">
        <f>IF(Indice_index!$Z$1=1,"100 - Iniciativas de  Ação Climática","100 - Climate Action Iniciatives")</f>
        <v>100 - Iniciativas de  Ação Climática</v>
      </c>
      <c r="E116" s="312">
        <v>2.0969999999999999E-3</v>
      </c>
      <c r="F116" s="312">
        <v>2.0969999999999999E-3</v>
      </c>
      <c r="G116" s="312">
        <v>0</v>
      </c>
    </row>
    <row r="117" spans="1:7" s="320" customFormat="1" ht="14.1" customHeight="1">
      <c r="A117" s="93"/>
      <c r="B117" s="318"/>
      <c r="C117" s="318"/>
      <c r="D117" s="318" t="str">
        <f>C110</f>
        <v>P013 - Economia</v>
      </c>
      <c r="E117" s="321">
        <f>SUM(E110:E116)</f>
        <v>65.422633000000005</v>
      </c>
      <c r="F117" s="321">
        <f>SUM(F110:F116)</f>
        <v>95.131033000000002</v>
      </c>
      <c r="G117" s="321">
        <f>SUM(G110:G116)</f>
        <v>65.986029000000002</v>
      </c>
    </row>
    <row r="118" spans="1:7" s="320" customFormat="1" ht="14.1" customHeight="1">
      <c r="A118" s="93"/>
      <c r="B118" s="319" t="str">
        <f>IF(Indice_index!$Z$1=1,"MTSSS","MLSSF")</f>
        <v>MTSSS</v>
      </c>
      <c r="C118" s="318" t="str">
        <f>IF(Indice_index!$Z$1=1,"P014 - Trabalho, Solidariedade e Seg. Social","P014 - Work, Solidarity and Social Security")</f>
        <v>P014 - Trabalho, Solidariedade e Seg. Social</v>
      </c>
      <c r="D118" s="304" t="str">
        <f>IF(Indice_index!$Z$1=1,"001 - Serviços Gerais da Administração Pública - Administração geral","001 - General public services - General Administration")</f>
        <v>001 - Serviços Gerais da Administração Pública - Administração geral</v>
      </c>
      <c r="E118" s="312">
        <v>1.0208999999999999E-2</v>
      </c>
      <c r="F118" s="312">
        <v>1.0208999999999999E-2</v>
      </c>
      <c r="G118" s="312">
        <v>1.0208999999999999E-2</v>
      </c>
    </row>
    <row r="119" spans="1:7" s="320" customFormat="1" ht="14.1" customHeight="1">
      <c r="A119" s="93"/>
      <c r="B119" s="319"/>
      <c r="C119" s="318"/>
      <c r="D119" s="304" t="str">
        <f>IF(Indice_index!$Z$1=1,"003 - Serv. Gerais da A.P. - Cooperação económica externa","003 - General public services - External economic cooperation")</f>
        <v>003 - Serv. Gerais da A.P. - Cooperação económica externa</v>
      </c>
      <c r="E119" s="312">
        <v>0.38453700000000002</v>
      </c>
      <c r="F119" s="312">
        <v>0.43130200000000002</v>
      </c>
      <c r="G119" s="312">
        <v>0.15356600000000001</v>
      </c>
    </row>
    <row r="120" spans="1:7" s="320" customFormat="1" ht="14.1" customHeight="1">
      <c r="A120" s="93"/>
      <c r="B120" s="319"/>
      <c r="C120" s="318"/>
      <c r="D120" s="304" t="str">
        <f>IF(Indice_index!$Z$1=1,"017 - Educação - Estabelecimentos de ensino não superior","017 - Education - Non higher educations institutions")</f>
        <v>017 - Educação - Estabelecimentos de ensino não superior</v>
      </c>
      <c r="E120" s="312">
        <v>0.51011700000000004</v>
      </c>
      <c r="F120" s="312">
        <v>0.84268200000000004</v>
      </c>
      <c r="G120" s="312">
        <v>0.332565</v>
      </c>
    </row>
    <row r="121" spans="1:7" s="320" customFormat="1" ht="14.1" customHeight="1">
      <c r="A121" s="93"/>
      <c r="B121" s="319"/>
      <c r="C121" s="318"/>
      <c r="D121" s="304" t="str">
        <f>IF(Indice_index!$Z$1=1,"024 - Segurança e acção social - Administração e regulamentação","024 - Social Security and Action - Administration and regulations")</f>
        <v>024 - Segurança e acção social - Administração e regulamentação</v>
      </c>
      <c r="E121" s="312">
        <v>0.91854400000000003</v>
      </c>
      <c r="F121" s="312">
        <v>1.813512</v>
      </c>
      <c r="G121" s="312">
        <v>1.3940760000000001</v>
      </c>
    </row>
    <row r="122" spans="1:7" s="320" customFormat="1" ht="14.1" customHeight="1">
      <c r="A122" s="93"/>
      <c r="B122" s="319"/>
      <c r="C122" s="318"/>
      <c r="D122" s="304" t="str">
        <f>IF(Indice_index!$Z$1=1,"026 - Segurança e acção social - Segurança social","026 - Social Security and Action - Social Security")</f>
        <v>026 - Segurança e acção social - Segurança social</v>
      </c>
      <c r="E122" s="312">
        <v>20.547367999999999</v>
      </c>
      <c r="F122" s="312">
        <v>24.425194999999999</v>
      </c>
      <c r="G122" s="312">
        <v>10.542365</v>
      </c>
    </row>
    <row r="123" spans="1:7" s="320" customFormat="1" ht="14.1" customHeight="1">
      <c r="A123" s="93"/>
      <c r="B123" s="319"/>
      <c r="C123" s="318"/>
      <c r="D123" s="304" t="str">
        <f>IF(Indice_index!$Z$1=1,"027 - Segurança e acção social - Acção social","027 - Social Security and Action - Social Action")</f>
        <v>027 - Segurança e acção social - Acção social</v>
      </c>
      <c r="E123" s="312">
        <v>18.045718999999998</v>
      </c>
      <c r="F123" s="312">
        <v>22.959306000000002</v>
      </c>
      <c r="G123" s="312">
        <v>22.876898000000001</v>
      </c>
    </row>
    <row r="124" spans="1:7" s="320" customFormat="1" ht="14.1" customHeight="1">
      <c r="A124" s="93"/>
      <c r="B124" s="319"/>
      <c r="C124" s="318"/>
      <c r="D124" s="304" t="str">
        <f>IF(Indice_index!$Z$1=1,"064 - Outras funções económicas - Relações gerais do trabalho","064 - Other economic functions - General labor relations")</f>
        <v>064 - Outras funções económicas - Relações gerais do trabalho</v>
      </c>
      <c r="E124" s="312">
        <v>69.884747000000004</v>
      </c>
      <c r="F124" s="312">
        <v>71.946952999999993</v>
      </c>
      <c r="G124" s="312">
        <v>19.421036000000001</v>
      </c>
    </row>
    <row r="125" spans="1:7" s="320" customFormat="1" ht="14.1" customHeight="1">
      <c r="A125" s="93"/>
      <c r="B125" s="319"/>
      <c r="C125" s="318"/>
      <c r="D125" s="304" t="str">
        <f>IF(Indice_index!$Z$1=1,"065 - Outras funções económicas - Diversas não especificadas","065 - Other economic functions - Various unspecified")</f>
        <v>065 - Outras funções económicas - Diversas não especificadas</v>
      </c>
      <c r="E125" s="312">
        <v>0.81362000000000001</v>
      </c>
      <c r="F125" s="312">
        <v>1.1885319999999999</v>
      </c>
      <c r="G125" s="312">
        <v>0.93148500000000001</v>
      </c>
    </row>
    <row r="126" spans="1:7" s="320" customFormat="1" ht="14.1" customHeight="1">
      <c r="A126" s="93"/>
      <c r="B126" s="319"/>
      <c r="C126" s="318"/>
      <c r="D126" s="304" t="str">
        <f>IF(Indice_index!$Z$1=1,"068 - Outras funções - Diversas não especificadas","068 - Other functions - Various unspecified")</f>
        <v>068 - Outras funções - Diversas não especificadas</v>
      </c>
      <c r="E126" s="312">
        <v>7.9190000000000007E-3</v>
      </c>
      <c r="F126" s="312">
        <v>3.1843000000000003E-2</v>
      </c>
      <c r="G126" s="312">
        <v>2.3924000000000001E-2</v>
      </c>
    </row>
    <row r="127" spans="1:7" s="320" customFormat="1" ht="14.1" customHeight="1">
      <c r="A127" s="93"/>
      <c r="B127" s="319"/>
      <c r="C127" s="318"/>
      <c r="D127" s="304"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27" s="312">
        <v>0.10489999999999999</v>
      </c>
      <c r="F127" s="312">
        <v>0.10489999999999999</v>
      </c>
      <c r="G127" s="312">
        <v>0.10489999999999999</v>
      </c>
    </row>
    <row r="128" spans="1:7" s="320" customFormat="1" ht="14.1" customHeight="1">
      <c r="A128" s="93"/>
      <c r="B128" s="319"/>
      <c r="C128" s="318"/>
      <c r="D128" s="304" t="str">
        <f>IF(Indice_index!$Z$1=1,"083 - Segurança e Ação Social - Integração da pessoa com deficiência","083 - Social Security and Action - Integration of the handicapped person")</f>
        <v>083 - Segurança e Ação Social - Integração da pessoa com deficiência</v>
      </c>
      <c r="E128" s="312">
        <v>1.764643</v>
      </c>
      <c r="F128" s="312">
        <v>2.5274100000000002</v>
      </c>
      <c r="G128" s="312">
        <v>2.1602679999999999</v>
      </c>
    </row>
    <row r="129" spans="1:7" s="320" customFormat="1" ht="14.1" customHeight="1">
      <c r="A129" s="93"/>
      <c r="B129" s="319"/>
      <c r="C129" s="318"/>
      <c r="D129" s="304" t="str">
        <f>IF(Indice_index!$Z$1=1,"084 - Simplex +","084 - Simplex +")</f>
        <v>084 - Simplex +</v>
      </c>
      <c r="E129" s="312">
        <v>0.56622899999999998</v>
      </c>
      <c r="F129" s="312">
        <v>0.56622899999999998</v>
      </c>
      <c r="G129" s="312">
        <v>0.2175</v>
      </c>
    </row>
    <row r="130" spans="1:7" s="320" customFormat="1" ht="14.1" customHeight="1">
      <c r="A130" s="93"/>
      <c r="B130" s="318"/>
      <c r="C130" s="318"/>
      <c r="D130" s="318" t="str">
        <f>C118</f>
        <v>P014 - Trabalho, Solidariedade e Seg. Social</v>
      </c>
      <c r="E130" s="321">
        <f>SUM(E118:E129)</f>
        <v>113.55855200000002</v>
      </c>
      <c r="F130" s="321">
        <f>SUM(F118:F129)</f>
        <v>126.848073</v>
      </c>
      <c r="G130" s="321">
        <f t="shared" ref="G130" si="2">SUM(G118:G129)</f>
        <v>58.16879200000001</v>
      </c>
    </row>
    <row r="131" spans="1:7" s="320" customFormat="1" ht="14.1" customHeight="1">
      <c r="A131" s="93"/>
      <c r="B131" s="319" t="str">
        <f>IF(Indice_index!$Z$1=1,"MAE","MEE")</f>
        <v>MAE</v>
      </c>
      <c r="C131" s="318" t="str">
        <f>IF(Indice_index!$Z$1=1,"P015 - Ambiente e Energia","P015 -  Environment and Energy")</f>
        <v>P015 - Ambiente e Energia</v>
      </c>
      <c r="D131" s="304"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31" s="312">
        <v>26.156981999999999</v>
      </c>
      <c r="F131" s="312">
        <v>37.638630999999997</v>
      </c>
      <c r="G131" s="312">
        <v>7.283601</v>
      </c>
    </row>
    <row r="132" spans="1:7" s="320" customFormat="1" ht="14.1" customHeight="1">
      <c r="A132" s="93"/>
      <c r="B132" s="319"/>
      <c r="C132" s="318"/>
      <c r="D132" s="304" t="str">
        <f>IF(Indice_index!$Z$1=1,"040 - Agricultura, pecuária, silv, caça, pesca - Administração e regulamentação","040 - Crops, livestock, forestry, fisheries - Administration and regulations")</f>
        <v>040 - Agricultura, pecuária, silv, caça, pesca - Administração e regulamentação</v>
      </c>
      <c r="E132" s="312">
        <v>0.13045699999999999</v>
      </c>
      <c r="F132" s="312">
        <v>1.7887599999999999</v>
      </c>
      <c r="G132" s="312">
        <v>1.7558009999999999</v>
      </c>
    </row>
    <row r="133" spans="1:7" s="320" customFormat="1" ht="14.1" customHeight="1">
      <c r="A133" s="93"/>
      <c r="B133" s="319"/>
      <c r="C133" s="318"/>
      <c r="D133" s="304" t="str">
        <f>IF(Indice_index!$Z$1=1,"046 - Industria e energia - administração e regulamentação","046 - Industry and energy - Administration and regulations")</f>
        <v>046 - Industria e energia - administração e regulamentação</v>
      </c>
      <c r="E133" s="312">
        <v>2.573229</v>
      </c>
      <c r="F133" s="312">
        <v>7.5609440000000001</v>
      </c>
      <c r="G133" s="312">
        <v>5.8839259999999998</v>
      </c>
    </row>
    <row r="134" spans="1:7" s="320" customFormat="1" ht="14.1" customHeight="1">
      <c r="A134" s="93"/>
      <c r="B134" s="319"/>
      <c r="C134" s="318"/>
      <c r="D134" s="304" t="str">
        <f>IF(Indice_index!$Z$1=1,"047 - Industria e energia - Investigação","047 - Industry and energy - Research")</f>
        <v>047 - Industria e energia - Investigação</v>
      </c>
      <c r="E134" s="312">
        <v>7.8152249999999999</v>
      </c>
      <c r="F134" s="312">
        <v>9.9560820000000003</v>
      </c>
      <c r="G134" s="312">
        <v>2.140857</v>
      </c>
    </row>
    <row r="135" spans="1:7" s="320" customFormat="1" ht="14.1" customHeight="1">
      <c r="A135" s="93"/>
      <c r="B135" s="319"/>
      <c r="C135" s="318"/>
      <c r="D135" s="304" t="str">
        <f>IF(Indice_index!$Z$1=1,"051 - Industria e energia - Combustíveis, electricidade e outras fontes de energia","051 - Industry e energy - Fuel, electricity and other sources of energy ")</f>
        <v>051 - Industria e energia - Combustíveis, electricidade e outras fontes de energia</v>
      </c>
      <c r="E135" s="312">
        <v>17.754337</v>
      </c>
      <c r="F135" s="312">
        <v>18.389472999999999</v>
      </c>
      <c r="G135" s="312">
        <v>0.63513600000000003</v>
      </c>
    </row>
    <row r="136" spans="1:7" s="320" customFormat="1" ht="14.1" customHeight="1">
      <c r="A136" s="93"/>
      <c r="B136" s="319"/>
      <c r="C136" s="318"/>
      <c r="D136" s="304" t="str">
        <f>IF(Indice_index!$Z$1=1,"063 - Outras funções económicas - Administração e regulamentação","063 - Outher economic functions - Administration e regulation")</f>
        <v>063 - Outras funções económicas - Administração e regulamentação</v>
      </c>
      <c r="E136" s="312">
        <v>2.802476</v>
      </c>
      <c r="F136" s="312">
        <v>9.0321960000000008</v>
      </c>
      <c r="G136" s="312">
        <v>8.1090540000000004</v>
      </c>
    </row>
    <row r="137" spans="1:7" s="320" customFormat="1" ht="14.1" customHeight="1">
      <c r="A137" s="93"/>
      <c r="B137" s="319"/>
      <c r="C137" s="318"/>
      <c r="D137" s="304" t="str">
        <f>IF(Indice_index!$Z$1=1,"065 - Outras funções económicas - Diversas não especificadas","065 - Other economic functions - Various unspecified")</f>
        <v>065 - Outras funções económicas - Diversas não especificadas</v>
      </c>
      <c r="E137" s="312">
        <v>1.182847</v>
      </c>
      <c r="F137" s="312">
        <v>1.422757</v>
      </c>
      <c r="G137" s="312">
        <v>1.422757</v>
      </c>
    </row>
    <row r="138" spans="1:7" s="320" customFormat="1" ht="14.1" customHeight="1">
      <c r="A138" s="93"/>
      <c r="B138" s="319"/>
      <c r="C138" s="318"/>
      <c r="D138" s="304" t="str">
        <f>IF(Indice_index!$Z$1=1,"100 - Iniciativas de  Ação Climática","100 - Climate Action Iniciatives")</f>
        <v>100 - Iniciativas de  Ação Climática</v>
      </c>
      <c r="E138" s="312">
        <v>14.449013000000001</v>
      </c>
      <c r="F138" s="312">
        <v>14.449013000000001</v>
      </c>
      <c r="G138" s="312">
        <v>0</v>
      </c>
    </row>
    <row r="139" spans="1:7" s="320" customFormat="1" ht="14.1" customHeight="1">
      <c r="A139" s="93"/>
      <c r="B139" s="318"/>
      <c r="C139" s="318"/>
      <c r="D139" s="318" t="str">
        <f>C131</f>
        <v>P015 - Ambiente e Energia</v>
      </c>
      <c r="E139" s="321">
        <f>SUM(E131:E138)</f>
        <v>72.864565999999996</v>
      </c>
      <c r="F139" s="321">
        <f>SUM(F131:F138)</f>
        <v>100.23785599999999</v>
      </c>
      <c r="G139" s="321">
        <f>SUM(G131:G138)</f>
        <v>27.231131999999999</v>
      </c>
    </row>
    <row r="140" spans="1:7" s="320" customFormat="1" ht="14.1" customHeight="1">
      <c r="A140" s="93"/>
      <c r="B140" s="319" t="str">
        <f>IF(Indice_index!$Z$1=1,"MCJD","MECYS")</f>
        <v>MCJD</v>
      </c>
      <c r="C140" s="318" t="str">
        <f>IF(Indice_index!$Z$1=1,"P016 - Juventude e Desporto","P016 - Youth and Sports")</f>
        <v>P016 - Juventude e Desporto</v>
      </c>
      <c r="D140" s="304" t="str">
        <f>IF(Indice_index!$Z$1=1,"001 - Serviços Gerais da Administração Pública - Administração geral","001 - General public services - General Administration")</f>
        <v>001 - Serviços Gerais da Administração Pública - Administração geral</v>
      </c>
      <c r="E140" s="312">
        <v>0.149672</v>
      </c>
      <c r="F140" s="312">
        <v>0.15151999999999999</v>
      </c>
      <c r="G140" s="312">
        <v>3.3803E-2</v>
      </c>
    </row>
    <row r="141" spans="1:7" s="320" customFormat="1" ht="14.1" customHeight="1">
      <c r="A141" s="93"/>
      <c r="B141" s="319"/>
      <c r="C141" s="318"/>
      <c r="D141" s="304" t="str">
        <f>IF(Indice_index!$Z$1=1,"016 - Educação - Investigação","016 - Education - Research")</f>
        <v>016 - Educação - Investigação</v>
      </c>
      <c r="E141" s="312">
        <v>0</v>
      </c>
      <c r="F141" s="312">
        <v>1.9878E-2</v>
      </c>
      <c r="G141" s="312">
        <v>1.9878E-2</v>
      </c>
    </row>
    <row r="142" spans="1:7" s="320" customFormat="1" ht="14.1" customHeight="1">
      <c r="A142" s="93"/>
      <c r="B142" s="319"/>
      <c r="C142" s="318"/>
      <c r="D142" s="304" t="str">
        <f>IF(Indice_index!$Z$1=1,"024 - Segurança e ação social - Administração e regulamentação","024 - Social Security and Action - Administration and regulations")</f>
        <v>024 - Segurança e ação social - Administração e regulamentação</v>
      </c>
      <c r="E142" s="312">
        <v>0.50242900000000001</v>
      </c>
      <c r="F142" s="312">
        <v>0.75415299999999996</v>
      </c>
      <c r="G142" s="312">
        <v>0.34928999999999999</v>
      </c>
    </row>
    <row r="143" spans="1:7" s="320" customFormat="1" ht="14.1" customHeight="1">
      <c r="A143" s="93"/>
      <c r="B143" s="319"/>
      <c r="C143" s="318"/>
      <c r="D143" s="304" t="str">
        <f>IF(Indice_index!$Z$1=1,"037 - Serviços culturais, recreativos e religiosos - Desporto, recreio e lazer","037 - Cultural, recreational and religious services - Sports, recreation and leisure")</f>
        <v>037 - Serviços culturais, recreativos e religiosos - Desporto, recreio e lazer</v>
      </c>
      <c r="E143" s="312">
        <v>4.9958749999999998</v>
      </c>
      <c r="F143" s="312">
        <v>5.0716510000000001</v>
      </c>
      <c r="G143" s="312">
        <v>3.075952</v>
      </c>
    </row>
    <row r="144" spans="1:7" s="320" customFormat="1" ht="14.1" customHeight="1">
      <c r="A144" s="93"/>
      <c r="B144" s="319"/>
      <c r="C144" s="318"/>
      <c r="D144" s="304" t="str">
        <f>IF(Indice_index!$Z$1=1,"063 - Outras funções económicas - Administração e regulamentação","063 - Outher economic functions - Administration e regulation")</f>
        <v>063 - Outras funções económicas - Administração e regulamentação</v>
      </c>
      <c r="E144" s="312">
        <v>0.140903</v>
      </c>
      <c r="F144" s="312">
        <v>0.29482399999999997</v>
      </c>
      <c r="G144" s="312">
        <v>0.29482399999999997</v>
      </c>
    </row>
    <row r="145" spans="1:7" s="320" customFormat="1" ht="14.1" customHeight="1">
      <c r="A145" s="93"/>
      <c r="B145" s="319"/>
      <c r="C145" s="318"/>
      <c r="D145" s="304" t="s">
        <v>450</v>
      </c>
      <c r="E145" s="312">
        <v>0.56670699999999996</v>
      </c>
      <c r="F145" s="312">
        <v>0.71306000000000003</v>
      </c>
      <c r="G145" s="312">
        <v>0.14315</v>
      </c>
    </row>
    <row r="146" spans="1:7" s="320" customFormat="1" ht="14.1" customHeight="1">
      <c r="A146" s="93"/>
      <c r="B146" s="319"/>
      <c r="C146" s="318"/>
      <c r="D146" s="304" t="s">
        <v>451</v>
      </c>
      <c r="E146" s="312">
        <v>0</v>
      </c>
      <c r="F146" s="312">
        <v>0</v>
      </c>
      <c r="G146" s="312">
        <v>0</v>
      </c>
    </row>
    <row r="147" spans="1:7" s="320" customFormat="1" ht="14.1" customHeight="1">
      <c r="A147" s="93"/>
      <c r="B147" s="319"/>
      <c r="C147" s="318"/>
      <c r="D147" s="304" t="str">
        <f>IF(Indice_index!$Z$1=1,"085 - Florestas","085 - Forests")</f>
        <v>085 - Florestas</v>
      </c>
      <c r="E147" s="312">
        <v>3.6056999999999999E-2</v>
      </c>
      <c r="F147" s="312">
        <v>3.6056999999999999E-2</v>
      </c>
      <c r="G147" s="312">
        <v>0</v>
      </c>
    </row>
    <row r="148" spans="1:7" s="320" customFormat="1" ht="14.1" customHeight="1">
      <c r="A148" s="93"/>
      <c r="B148" s="318"/>
      <c r="C148" s="318"/>
      <c r="D148" s="318" t="str">
        <f>C140</f>
        <v>P016 - Juventude e Desporto</v>
      </c>
      <c r="E148" s="321">
        <f>SUM(E140:E147)</f>
        <v>6.3916429999999993</v>
      </c>
      <c r="F148" s="321">
        <f>SUM(F140:F147)</f>
        <v>7.0411429999999999</v>
      </c>
      <c r="G148" s="321">
        <f>SUM(G140:G147)</f>
        <v>3.9168970000000001</v>
      </c>
    </row>
    <row r="149" spans="1:7" s="320" customFormat="1" ht="14.1" customHeight="1">
      <c r="A149" s="93"/>
      <c r="B149" s="319" t="str">
        <f>IF(Indice_index!$Z$1=1,"MAM","MAS")</f>
        <v>MAM</v>
      </c>
      <c r="C149" s="318" t="str">
        <f>IF(Indice_index!$Z$1=1,"P017 - Agricultura e Mar","P017 - Agriculture and Sea")</f>
        <v>P017 - Agricultura e Mar</v>
      </c>
      <c r="D149" s="304" t="str">
        <f>IF(Indice_index!$Z$1=1,"004 - Serv. Gerais da A.P. - Investigação científica de carácter geral","004 - General public services - General scientific research")</f>
        <v>004 - Serv. Gerais da A.P. - Investigação científica de carácter geral</v>
      </c>
      <c r="E149" s="312">
        <v>3.0379839999999998</v>
      </c>
      <c r="F149" s="312">
        <v>3.3490570000000002</v>
      </c>
      <c r="G149" s="312">
        <v>1.122962</v>
      </c>
    </row>
    <row r="150" spans="1:7" s="320" customFormat="1" ht="14.1" customHeight="1">
      <c r="A150" s="93"/>
      <c r="B150" s="319"/>
      <c r="C150" s="318"/>
      <c r="D150" s="304" t="str">
        <f>IF(Indice_index!$Z$1=1,"040 - Agricultura, pecuária, silv, caça, pesca - Administração e regulamentação","040 - Crops, livestock, forestry, fisheries - Administration and regulations")</f>
        <v>040 - Agricultura, pecuária, silv, caça, pesca - Administração e regulamentação</v>
      </c>
      <c r="E150" s="312">
        <v>5.8985500000000002</v>
      </c>
      <c r="F150" s="312">
        <v>10.221731999999999</v>
      </c>
      <c r="G150" s="312">
        <v>2.850339</v>
      </c>
    </row>
    <row r="151" spans="1:7" s="320" customFormat="1" ht="14.1" customHeight="1">
      <c r="A151" s="93"/>
      <c r="B151" s="319"/>
      <c r="C151" s="318"/>
      <c r="D151" s="304" t="str">
        <f>IF(Indice_index!$Z$1=1,"041 - Agricultura, pecuária, silv, caça, pesca - Investigação","041 - Crops, livestock, forestry, fisheries - Research")</f>
        <v>041 - Agricultura, pecuária, silv, caça, pesca - Investigação</v>
      </c>
      <c r="E151" s="312">
        <v>0.93164599999999997</v>
      </c>
      <c r="F151" s="312">
        <v>1.4760949999999999</v>
      </c>
      <c r="G151" s="312">
        <v>1.4760949999999999</v>
      </c>
    </row>
    <row r="152" spans="1:7" s="320" customFormat="1" ht="14.1" customHeight="1">
      <c r="A152" s="93"/>
      <c r="B152" s="319"/>
      <c r="C152" s="318"/>
      <c r="D152" s="304" t="str">
        <f>IF(Indice_index!$Z$1=1,"042 - Agricultura, pecuária, silv, caça, pesca - Agricultura e pecuária","042 - Crops, livestock, forestry, fisheries - Crops and livestock")</f>
        <v>042 - Agricultura, pecuária, silv, caça, pesca - Agricultura e pecuária</v>
      </c>
      <c r="E152" s="312">
        <v>30.705839999999998</v>
      </c>
      <c r="F152" s="312">
        <v>88.358526999999995</v>
      </c>
      <c r="G152" s="312">
        <v>59.742462000000003</v>
      </c>
    </row>
    <row r="153" spans="1:7" s="320" customFormat="1" ht="14.1" customHeight="1">
      <c r="A153" s="93"/>
      <c r="B153" s="319"/>
      <c r="C153" s="318"/>
      <c r="D153" s="304" t="str">
        <f>IF(Indice_index!$Z$1=1,"045 - Agricultura, pecuária, silv, caça, pesca - Pesca","045 - Crops, livestock, forestry, fisheries - Fisheries")</f>
        <v>045 - Agricultura, pecuária, silv, caça, pesca - Pesca</v>
      </c>
      <c r="E153" s="312">
        <v>2.9501119999999998</v>
      </c>
      <c r="F153" s="312">
        <v>4.2422259999999996</v>
      </c>
      <c r="G153" s="312">
        <v>1.8947529999999999</v>
      </c>
    </row>
    <row r="154" spans="1:7" s="320" customFormat="1" ht="14.1" customHeight="1">
      <c r="A154" s="93"/>
      <c r="B154" s="319"/>
      <c r="C154" s="318"/>
      <c r="D154" s="304" t="str">
        <f>IF(Indice_index!$Z$1=1,"057 - Transportes e comunicações - Transportes marítimos e fluviais","057 - Transport and Communications - Water transport")</f>
        <v>057 - Transportes e comunicações - Transportes marítimos e fluviais</v>
      </c>
      <c r="E154" s="312">
        <v>0.54339999999999999</v>
      </c>
      <c r="F154" s="312">
        <v>0.56460900000000003</v>
      </c>
      <c r="G154" s="312">
        <v>0.56460900000000003</v>
      </c>
    </row>
    <row r="155" spans="1:7" s="320" customFormat="1" ht="14.1" customHeight="1">
      <c r="A155" s="93"/>
      <c r="B155" s="319"/>
      <c r="C155" s="318"/>
      <c r="D155" s="304" t="s">
        <v>451</v>
      </c>
      <c r="E155" s="312">
        <v>8.9200000000000008E-3</v>
      </c>
      <c r="F155" s="312">
        <v>8.9200000000000008E-3</v>
      </c>
      <c r="G155" s="312">
        <v>0</v>
      </c>
    </row>
    <row r="156" spans="1:7" s="320" customFormat="1" ht="14.1" customHeight="1">
      <c r="A156" s="93"/>
      <c r="B156" s="319"/>
      <c r="C156" s="318"/>
      <c r="D156" s="304" t="str">
        <f>IF(Indice_index!$Z$1=1,"085 - Florestas","085 - Forests")</f>
        <v>085 - Florestas</v>
      </c>
      <c r="E156" s="312">
        <v>2.7705669999999998</v>
      </c>
      <c r="F156" s="312">
        <v>3.8680729999999999</v>
      </c>
      <c r="G156" s="312">
        <v>6.4882999999999996E-2</v>
      </c>
    </row>
    <row r="157" spans="1:7" s="320" customFormat="1" ht="14.1" customHeight="1">
      <c r="A157" s="93"/>
      <c r="B157" s="319"/>
      <c r="C157" s="318"/>
      <c r="D157" s="304" t="str">
        <f>IF(Indice_index!$Z$1=1,"101 - Plano Nacional de Gestão Integrada de Fogos Rurais","101 - National Plan on Integrated Rural Fire Management")</f>
        <v>101 - Plano Nacional de Gestão Integrada de Fogos Rurais</v>
      </c>
      <c r="E157" s="312">
        <v>5.4771979999999996</v>
      </c>
      <c r="F157" s="312">
        <v>17.010670999999999</v>
      </c>
      <c r="G157" s="312">
        <v>1.4452910000000001</v>
      </c>
    </row>
    <row r="158" spans="1:7" s="320" customFormat="1" ht="14.1" customHeight="1">
      <c r="A158" s="93"/>
      <c r="B158" s="318"/>
      <c r="C158" s="318"/>
      <c r="D158" s="318" t="str">
        <f>C149</f>
        <v>P017 - Agricultura e Mar</v>
      </c>
      <c r="E158" s="321">
        <f>SUM(E149:E157)</f>
        <v>52.324216999999997</v>
      </c>
      <c r="F158" s="321">
        <f>SUM(F149:F157)</f>
        <v>129.09990999999999</v>
      </c>
      <c r="G158" s="321">
        <f>SUM(G149:G157)</f>
        <v>69.161393999999987</v>
      </c>
    </row>
    <row r="159" spans="1:7" s="320" customFormat="1" ht="14.1" customHeight="1">
      <c r="A159" s="93"/>
      <c r="B159" s="319" t="str">
        <f>IF(Indice_index!$Z$1=1,"MC","MC")</f>
        <v>MC</v>
      </c>
      <c r="C159" s="318" t="str">
        <f>IF(Indice_index!$Z$1=1,"P018 - Cultura","P018 - Culture")</f>
        <v>P018 - Cultura</v>
      </c>
      <c r="D159" s="304" t="str">
        <f>IF(Indice_index!$Z$1=1,"001 - Serviços Gerais da Administração Pública - Administração geral","001 - General public services - General Administration")</f>
        <v>001 - Serviços Gerais da Administração Pública - Administração geral</v>
      </c>
      <c r="E159" s="312">
        <v>0.74474300000000004</v>
      </c>
      <c r="F159" s="312">
        <v>0.74665599999999999</v>
      </c>
      <c r="G159" s="312">
        <v>0.54766599999999999</v>
      </c>
    </row>
    <row r="160" spans="1:7" s="320" customFormat="1" ht="14.1" customHeight="1">
      <c r="A160" s="93"/>
      <c r="B160" s="319"/>
      <c r="C160" s="318"/>
      <c r="D160" s="304" t="str">
        <f>IF(Indice_index!$Z$1=1,"036 - Serviços culturais, recreativos e religiosos - Cultura","036 - Cultural, recreational and religious services - Culture")</f>
        <v>036 - Serviços culturais, recreativos e religiosos - Cultura</v>
      </c>
      <c r="E160" s="312">
        <v>28.765079</v>
      </c>
      <c r="F160" s="312">
        <v>48.299371000000001</v>
      </c>
      <c r="G160" s="312">
        <v>27.883165000000002</v>
      </c>
    </row>
    <row r="161" spans="1:7" s="320" customFormat="1" ht="14.1" customHeight="1">
      <c r="A161" s="93"/>
      <c r="B161" s="318"/>
      <c r="C161" s="318"/>
      <c r="D161" s="318" t="str">
        <f>C159</f>
        <v>P018 - Cultura</v>
      </c>
      <c r="E161" s="321">
        <f>SUM(E159:E160)</f>
        <v>29.509822</v>
      </c>
      <c r="F161" s="321">
        <f>SUM(F159:F160)</f>
        <v>49.046027000000002</v>
      </c>
      <c r="G161" s="321">
        <f>SUM(G159:G160)</f>
        <v>28.430831000000001</v>
      </c>
    </row>
    <row r="162" spans="1:7" s="320" customFormat="1" ht="14.1" customHeight="1">
      <c r="A162" s="93"/>
      <c r="B162" s="319" t="str">
        <f>IF(Indice_index!$Z$1=1,"MECT","METC")</f>
        <v>MECT</v>
      </c>
      <c r="C162" s="318" t="str">
        <f>IF(Indice_index!$Z$1=1,"P019 - Coesão Territorial","P019 - Territorial Cohesion")</f>
        <v>P019 - Coesão Territorial</v>
      </c>
      <c r="D162" s="304" t="str">
        <f>IF(Indice_index!$Z$1=1,"001 - Serviços Gerais da Administração Pública - Administração geral","001 - General public services - General Administration")</f>
        <v>001 - Serviços Gerais da Administração Pública - Administração geral</v>
      </c>
      <c r="E162" s="312">
        <v>0.49976700000000002</v>
      </c>
      <c r="F162" s="312">
        <v>0.52391399999999999</v>
      </c>
      <c r="G162" s="312">
        <v>0.131578</v>
      </c>
    </row>
    <row r="163" spans="1:7" s="320" customFormat="1" ht="14.1" customHeight="1">
      <c r="A163" s="93"/>
      <c r="B163" s="319"/>
      <c r="C163" s="318"/>
      <c r="D163" s="304" t="str">
        <f>IF(Indice_index!$Z$1=1,"003 - Serv. Gerais da A.P. - Cooperação económica externa","003 - General public services - External economic cooperation")</f>
        <v>003 - Serv. Gerais da A.P. - Cooperação económica externa</v>
      </c>
      <c r="E163" s="312">
        <v>4.6637999999999999E-2</v>
      </c>
      <c r="F163" s="312">
        <v>0.108725</v>
      </c>
      <c r="G163" s="312">
        <v>2.0000000000000001E-4</v>
      </c>
    </row>
    <row r="164" spans="1:7" s="320" customFormat="1" ht="14.1" customHeight="1">
      <c r="A164" s="93"/>
      <c r="B164" s="319"/>
      <c r="C164" s="318"/>
      <c r="D164" s="304" t="str">
        <f>IF(Indice_index!$Z$1=1,"020 - Saúde - Administração e Regulamentação","020 - Health - Administration and regulations")</f>
        <v>020 - Saúde - Administração e Regulamentação</v>
      </c>
      <c r="E164" s="312">
        <v>0</v>
      </c>
      <c r="F164" s="312">
        <v>1.6689999999999999E-3</v>
      </c>
      <c r="G164" s="312">
        <v>1.6689999999999999E-3</v>
      </c>
    </row>
    <row r="165" spans="1:7" s="320" customFormat="1" ht="14.1" customHeight="1">
      <c r="A165" s="93"/>
      <c r="B165" s="319"/>
      <c r="C165" s="318"/>
      <c r="D165" s="304" t="str">
        <f>IF(Indice_index!$Z$1=1,"028 - Habitação e serviços coletivos - Administração e regulamentação","028 - Housing and Common services - Administration and regulations")</f>
        <v>028 - Habitação e serviços coletivos - Administração e regulamentação</v>
      </c>
      <c r="E165" s="312">
        <v>12.619331000000001</v>
      </c>
      <c r="F165" s="312">
        <v>32.886082000000002</v>
      </c>
      <c r="G165" s="312">
        <v>6.0720780000000003</v>
      </c>
    </row>
    <row r="166" spans="1:7" s="320" customFormat="1" ht="14.1" customHeight="1">
      <c r="A166" s="93"/>
      <c r="B166" s="319"/>
      <c r="C166" s="318"/>
      <c r="D166" s="304" t="str">
        <f>IF(Indice_index!$Z$1=1,"031 - Habitação e serviços coletivos - Ordenamento do território","031 - Housing and Common services - Land-use")</f>
        <v>031 - Habitação e serviços coletivos - Ordenamento do território</v>
      </c>
      <c r="E166" s="312">
        <v>0.786389</v>
      </c>
      <c r="F166" s="312">
        <v>1.693668</v>
      </c>
      <c r="G166" s="312">
        <v>1.2677080000000001</v>
      </c>
    </row>
    <row r="167" spans="1:7" s="320" customFormat="1" ht="14.1" customHeight="1">
      <c r="A167" s="93"/>
      <c r="B167" s="319"/>
      <c r="C167" s="318"/>
      <c r="D167" s="304"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167" s="312">
        <v>0.488703</v>
      </c>
      <c r="F167" s="312">
        <v>0.507907</v>
      </c>
      <c r="G167" s="312">
        <v>0.303039</v>
      </c>
    </row>
    <row r="168" spans="1:7" s="320" customFormat="1" ht="14.1" customHeight="1">
      <c r="A168" s="93"/>
      <c r="B168" s="319"/>
      <c r="C168" s="318"/>
      <c r="D168" s="304" t="str">
        <f>IF(Indice_index!$Z$1=1,"036 - Serviços culturais, recreativos e religiosos - Cultura","036 - Cultural, recreational and religious services - Culture")</f>
        <v>036 - Serviços culturais, recreativos e religiosos - Cultura</v>
      </c>
      <c r="E168" s="312">
        <v>0.102294</v>
      </c>
      <c r="F168" s="312">
        <v>0.111342</v>
      </c>
      <c r="G168" s="312">
        <v>0.102938</v>
      </c>
    </row>
    <row r="169" spans="1:7" s="320" customFormat="1" ht="14.1" customHeight="1">
      <c r="A169" s="93"/>
      <c r="B169" s="319"/>
      <c r="C169" s="318"/>
      <c r="D169" s="304" t="str">
        <f>IF(Indice_index!$Z$1=1,"042 - Agricultura, pecuária, silv, caça, pesca - Agricultura e pecuária","042 - Crops, livestock, forestry, fisheries - Crops and livestock")</f>
        <v>042 - Agricultura, pecuária, silv, caça, pesca - Agricultura e pecuária</v>
      </c>
      <c r="E169" s="312">
        <v>0.94246700000000005</v>
      </c>
      <c r="F169" s="312">
        <v>1.1378760000000001</v>
      </c>
      <c r="G169" s="312">
        <v>9.8335000000000006E-2</v>
      </c>
    </row>
    <row r="170" spans="1:7" s="320" customFormat="1" ht="14.1" customHeight="1">
      <c r="A170" s="93"/>
      <c r="B170" s="319"/>
      <c r="C170" s="318"/>
      <c r="D170" s="304" t="str">
        <f>IF(Indice_index!$Z$1=1,"045 - Agricultura, pecuária, silv, caça, pesca - Pesca","045 - Crops, livestock, forestry, fisheries - Fisheries")</f>
        <v>045 - Agricultura, pecuária, silv, caça, pesca - Pesca</v>
      </c>
      <c r="E170" s="312">
        <v>0.110016</v>
      </c>
      <c r="F170" s="312">
        <v>0.16390199999999999</v>
      </c>
      <c r="G170" s="312">
        <v>8.8509999999999995E-3</v>
      </c>
    </row>
    <row r="171" spans="1:7" s="320" customFormat="1" ht="14.1" customHeight="1">
      <c r="A171" s="93"/>
      <c r="B171" s="319"/>
      <c r="C171" s="318"/>
      <c r="D171" s="304" t="str">
        <f>IF(Indice_index!$Z$1=1,"063 - Outras funções económicas - Administração e regulamentação","063 - Outher economic functions - Administration e regulation")</f>
        <v>063 - Outras funções económicas - Administração e regulamentação</v>
      </c>
      <c r="E171" s="312">
        <v>7.7937209999999997</v>
      </c>
      <c r="F171" s="312">
        <v>9.0287749999999996</v>
      </c>
      <c r="G171" s="312">
        <v>3.5714999999999997E-2</v>
      </c>
    </row>
    <row r="172" spans="1:7" s="320" customFormat="1" ht="14.1" customHeight="1">
      <c r="A172" s="93"/>
      <c r="B172" s="319"/>
      <c r="C172" s="318"/>
      <c r="D172" s="304" t="str">
        <f>IF(Indice_index!$Z$1=1,"065 - Outras funções económicas - Diversas não especificadas","065 - Other economic functions - Various unspecified")</f>
        <v>065 - Outras funções económicas - Diversas não especificadas</v>
      </c>
      <c r="E172" s="312">
        <v>8.201E-3</v>
      </c>
      <c r="F172" s="312">
        <v>0.52059599999999995</v>
      </c>
      <c r="G172" s="312">
        <v>0.26605000000000001</v>
      </c>
    </row>
    <row r="173" spans="1:7" s="320" customFormat="1" ht="14.1" customHeight="1">
      <c r="A173" s="93"/>
      <c r="B173" s="319"/>
      <c r="C173" s="318"/>
      <c r="D173" s="304" t="str">
        <f>IF(Indice_index!$Z$1=1,"100 - Iniciativas de  Ação Climática","100 - Climate Action Iniciatives")</f>
        <v>100 - Iniciativas de  Ação Climática</v>
      </c>
      <c r="E173" s="312">
        <v>3.4605999999999998E-2</v>
      </c>
      <c r="F173" s="312">
        <v>3.4605999999999998E-2</v>
      </c>
      <c r="G173" s="312">
        <v>0</v>
      </c>
    </row>
    <row r="174" spans="1:7" s="320" customFormat="1" ht="14.1" customHeight="1">
      <c r="A174" s="93"/>
      <c r="B174" s="318"/>
      <c r="C174" s="318"/>
      <c r="D174" s="318" t="str">
        <f>C162</f>
        <v>P019 - Coesão Territorial</v>
      </c>
      <c r="E174" s="321">
        <f>SUM(E162:E173)</f>
        <v>23.432133</v>
      </c>
      <c r="F174" s="321">
        <f>SUM(F162:F173)</f>
        <v>46.719061999999994</v>
      </c>
      <c r="G174" s="321">
        <f>SUM(G162:G173)</f>
        <v>8.2881610000000006</v>
      </c>
    </row>
    <row r="175" spans="1:7" s="320" customFormat="1" ht="14.1" customHeight="1">
      <c r="A175" s="93"/>
      <c r="B175" s="319" t="str">
        <f>IF(Indice_index!$Z$1=1,"MRE","MSR")</f>
        <v>MRE</v>
      </c>
      <c r="C175" s="318" t="str">
        <f>IF(Indice_index!$Z$1=1,"P020 - Reforma do Estado","P020 - State Reform")</f>
        <v>P020 - Reforma do Estado</v>
      </c>
      <c r="D175" s="304" t="str">
        <f>IF(Indice_index!$Z$1=1,"001 - Serviços Gerais da Administração Pública - Administração geral","001 - General public services - General Administration")</f>
        <v>001 - Serviços Gerais da Administração Pública - Administração geral</v>
      </c>
      <c r="E175" s="312">
        <v>6.6028859999999998</v>
      </c>
      <c r="F175" s="312">
        <v>10.98603</v>
      </c>
      <c r="G175" s="312">
        <v>4.8618129999999997</v>
      </c>
    </row>
    <row r="176" spans="1:7" s="320" customFormat="1" ht="14.1" customHeight="1">
      <c r="A176" s="93"/>
      <c r="B176" s="319"/>
      <c r="C176" s="318"/>
      <c r="D176" s="304" t="s">
        <v>451</v>
      </c>
      <c r="E176" s="312">
        <v>0.155194</v>
      </c>
      <c r="F176" s="312">
        <v>1.0412330000000001</v>
      </c>
      <c r="G176" s="312">
        <v>0.88603900000000002</v>
      </c>
    </row>
    <row r="177" spans="1:7" s="320" customFormat="1" ht="14.1" customHeight="1">
      <c r="A177" s="93"/>
      <c r="B177" s="318"/>
      <c r="C177" s="318"/>
      <c r="D177" s="318" t="str">
        <f>C175</f>
        <v>P020 - Reforma do Estado</v>
      </c>
      <c r="E177" s="321">
        <f>SUM(E175:E176)</f>
        <v>6.7580799999999996</v>
      </c>
      <c r="F177" s="321">
        <f>SUM(F175:F176)</f>
        <v>12.027263</v>
      </c>
      <c r="G177" s="321">
        <f>SUM(G175:G176)</f>
        <v>5.747852</v>
      </c>
    </row>
    <row r="178" spans="1:7" ht="14.1" customHeight="1">
      <c r="B178" s="477" t="str">
        <f>IF(Indice_index!$Z$1=1,"TOTAL Cativos","TOTAL frozen allocations")</f>
        <v>TOTAL Cativos</v>
      </c>
      <c r="C178" s="478"/>
      <c r="D178" s="479"/>
      <c r="E178" s="27">
        <f>E16+E25+E29+E36+E37+E51+E61+E75+E81+E87+E90+E109+E117+E130+E139+E148+E158+E161+E174+E177</f>
        <v>2029.3422849999997</v>
      </c>
      <c r="F178" s="27">
        <f>F16+F25+F29+F36+F37+F51+F61+F75+F81+F87+F90+F109+F117+F130+F139+F148+F158+F161+F174+F177</f>
        <v>2746.8125680000003</v>
      </c>
      <c r="G178" s="27">
        <f>G16+G25+G29+G36+G37+G51+G61+G75+G81+G87+G90+G109+G117+G130+G139+G148+G158+G161+G174+G177</f>
        <v>1191.7751109999999</v>
      </c>
    </row>
    <row r="179" spans="1:7" ht="15">
      <c r="B179" s="115"/>
      <c r="C179" s="115"/>
      <c r="D179" s="115"/>
      <c r="E179" s="115"/>
      <c r="F179" s="115"/>
      <c r="G179" s="115"/>
    </row>
    <row r="180" spans="1:7" ht="15">
      <c r="B180" s="391" t="str">
        <f>IF(Indice_index!$Z$1=1,"Reserva","Reserve")</f>
        <v>Reserva</v>
      </c>
      <c r="C180" s="387"/>
      <c r="D180" s="387"/>
      <c r="E180" s="387"/>
      <c r="F180" s="387"/>
      <c r="G180" s="387"/>
    </row>
    <row r="181" spans="1:7" ht="15">
      <c r="B181" s="121"/>
      <c r="C181" s="121"/>
      <c r="D181" s="121"/>
      <c r="E181" s="45"/>
      <c r="F181" s="45"/>
      <c r="G181" s="114"/>
    </row>
    <row r="182" spans="1:7" ht="15">
      <c r="B182" s="118" t="str">
        <f>B9</f>
        <v>Período: agosto</v>
      </c>
      <c r="C182" s="3"/>
      <c r="D182" s="3"/>
      <c r="E182" s="3"/>
      <c r="F182" s="3"/>
      <c r="G182" s="3" t="str">
        <f>IF(Indice_index!$Z$1=1,"€ Milhões","€ Millions")</f>
        <v>€ Milhões</v>
      </c>
    </row>
    <row r="183" spans="1:7" ht="26.65" customHeight="1">
      <c r="B183" s="390" t="str">
        <f>IF(Indice_index!$Z$1=1,"Ministério","Ministry")</f>
        <v>Ministério</v>
      </c>
      <c r="C183" s="390" t="str">
        <f>IF(Indice_index!$Z$1=1,"Programa Orçamental","Budgetary program")</f>
        <v>Programa Orçamental</v>
      </c>
      <c r="D183" s="410" t="str">
        <f>IF(Indice_index!$Z$1=1,"Reserva","Reserve")</f>
        <v>Reserva</v>
      </c>
      <c r="E183" s="128" t="str">
        <f>IF(Indice_index!$Z$1=1,"Cativos iniciais (LOE)","Initial frozen allocations (SBL)")</f>
        <v>Cativos iniciais (LOE)</v>
      </c>
      <c r="F183" s="272" t="str">
        <f>IF(Indice_index!$Z$1=1,"Cativos iniciais (LOE e DLEO)","Initial frozen allocations (SBL and BEDL)")</f>
        <v>Cativos iniciais (LOE e DLEO)</v>
      </c>
      <c r="G183" s="119" t="str">
        <f>IF(Indice_index!$Z$1=1,"Cativos atuais","Current frozen allocations")</f>
        <v>Cativos atuais</v>
      </c>
    </row>
    <row r="184" spans="1:7" ht="16.350000000000001" customHeight="1">
      <c r="B184" s="389"/>
      <c r="C184" s="389"/>
      <c r="D184" s="373"/>
      <c r="E184" s="126" t="s">
        <v>53</v>
      </c>
      <c r="F184" s="274" t="s">
        <v>54</v>
      </c>
      <c r="G184" s="273" t="s">
        <v>464</v>
      </c>
    </row>
    <row r="185" spans="1:7" ht="14.1" customHeight="1">
      <c r="B185" s="275" t="str">
        <f>+B13</f>
        <v>EGE</v>
      </c>
      <c r="C185" s="275" t="str">
        <f>+C13</f>
        <v>P001 - Órgãos de Soberania</v>
      </c>
      <c r="D185" s="305" t="str">
        <f>IF(Indice_index!$Z$1=1,"Reserva Orçamental","Reserve")</f>
        <v>Reserva Orçamental</v>
      </c>
      <c r="E185" s="4">
        <v>5.8812769999999999</v>
      </c>
      <c r="F185" s="4">
        <v>5.8812769999999999</v>
      </c>
      <c r="G185" s="4">
        <v>5.3126769999999999</v>
      </c>
    </row>
    <row r="186" spans="1:7" ht="14.1" customHeight="1">
      <c r="B186" s="275" t="str">
        <f>+B17</f>
        <v>PCM</v>
      </c>
      <c r="C186" s="275" t="str">
        <f>+C17</f>
        <v>P002 - Governação</v>
      </c>
      <c r="D186" s="305" t="str">
        <f>IF(Indice_index!$Z$1=1,"Reserva Orçamental","Reserve")</f>
        <v>Reserva Orçamental</v>
      </c>
      <c r="E186" s="4">
        <v>12.287834999999999</v>
      </c>
      <c r="F186" s="4">
        <v>12.287834999999999</v>
      </c>
      <c r="G186" s="4">
        <v>10.025974</v>
      </c>
    </row>
    <row r="187" spans="1:7" ht="14.1" customHeight="1">
      <c r="B187" s="275" t="str">
        <f>+B26</f>
        <v>MNE</v>
      </c>
      <c r="C187" s="275" t="str">
        <f>+C26</f>
        <v>P003 - Representação Externa</v>
      </c>
      <c r="D187" s="305" t="str">
        <f>IF(Indice_index!$Z$1=1,"Reserva Orçamental","Reserve")</f>
        <v>Reserva Orçamental</v>
      </c>
      <c r="E187" s="4">
        <v>8.829879</v>
      </c>
      <c r="F187" s="4">
        <v>8.829879</v>
      </c>
      <c r="G187" s="4">
        <v>28.829878999999998</v>
      </c>
    </row>
    <row r="188" spans="1:7" ht="14.1" customHeight="1">
      <c r="B188" s="275" t="str">
        <f>+B30</f>
        <v>MF</v>
      </c>
      <c r="C188" s="275" t="str">
        <f>+C30</f>
        <v>P004 - Finanças</v>
      </c>
      <c r="D188" s="305" t="str">
        <f>IF(Indice_index!$Z$1=1,"Reserva Orçamental","Reserve")</f>
        <v>Reserva Orçamental</v>
      </c>
      <c r="E188" s="4">
        <v>38.430467999999998</v>
      </c>
      <c r="F188" s="4">
        <v>38.430467999999998</v>
      </c>
      <c r="G188" s="4">
        <v>24.050418000000001</v>
      </c>
    </row>
    <row r="189" spans="1:7" ht="14.1" customHeight="1">
      <c r="B189" s="275" t="str">
        <f>+B38</f>
        <v>MDN</v>
      </c>
      <c r="C189" s="275" t="str">
        <f>+C38</f>
        <v>P006 - Defesa</v>
      </c>
      <c r="D189" s="305" t="str">
        <f>IF(Indice_index!$Z$1=1,"Reserva Orçamental","Reserve")</f>
        <v>Reserva Orçamental</v>
      </c>
      <c r="E189" s="4">
        <v>47.756697000000003</v>
      </c>
      <c r="F189" s="4">
        <v>47.756697000000003</v>
      </c>
      <c r="G189" s="4">
        <v>51.196683</v>
      </c>
    </row>
    <row r="190" spans="1:7" ht="14.1" customHeight="1">
      <c r="B190" s="275" t="str">
        <f>B52</f>
        <v>MJ</v>
      </c>
      <c r="C190" s="275" t="str">
        <f>C52</f>
        <v>P007 - Justiça</v>
      </c>
      <c r="D190" s="305" t="str">
        <f>IF(Indice_index!$Z$1=1,"Reserva Orçamental","Reserve")</f>
        <v>Reserva Orçamental</v>
      </c>
      <c r="E190" s="4">
        <v>45.203364999999998</v>
      </c>
      <c r="F190" s="4">
        <v>45.203364999999998</v>
      </c>
      <c r="G190" s="4">
        <v>16.061951000000001</v>
      </c>
    </row>
    <row r="191" spans="1:7" ht="14.1" customHeight="1">
      <c r="B191" s="275" t="str">
        <f>B62</f>
        <v>MAI</v>
      </c>
      <c r="C191" s="275" t="str">
        <f>C62</f>
        <v>P008 - Segurança Interna</v>
      </c>
      <c r="D191" s="305" t="str">
        <f>IF(Indice_index!$Z$1=1,"Reserva Orçamental","Reserve")</f>
        <v>Reserva Orçamental</v>
      </c>
      <c r="E191" s="4">
        <v>57.143917000000002</v>
      </c>
      <c r="F191" s="4">
        <v>57.143917000000002</v>
      </c>
      <c r="G191" s="4">
        <v>48.398915000000002</v>
      </c>
    </row>
    <row r="192" spans="1:7" ht="14.1" customHeight="1">
      <c r="B192" s="275" t="str">
        <f>B76</f>
        <v>MECI</v>
      </c>
      <c r="C192" s="275" t="str">
        <f>C76</f>
        <v>P009 - Educação</v>
      </c>
      <c r="D192" s="305" t="str">
        <f>IF(Indice_index!$Z$1=1,"Reserva Orçamental","Reserve")</f>
        <v>Reserva Orçamental</v>
      </c>
      <c r="E192" s="4">
        <v>3.0154320000000001</v>
      </c>
      <c r="F192" s="4">
        <v>3.0154320000000001</v>
      </c>
      <c r="G192" s="4">
        <v>3.0154320000000001</v>
      </c>
    </row>
    <row r="193" spans="2:7" ht="14.1" customHeight="1">
      <c r="B193" s="275" t="str">
        <f>B82</f>
        <v>MECI</v>
      </c>
      <c r="C193" s="275" t="str">
        <f>C82</f>
        <v>P010 - Ensino Superior, Ciência e Inovação</v>
      </c>
      <c r="D193" s="305" t="str">
        <f>IF(Indice_index!$Z$1=1,"Reserva Orçamental","Reserve")</f>
        <v>Reserva Orçamental</v>
      </c>
      <c r="E193" s="4">
        <v>12.744501</v>
      </c>
      <c r="F193" s="4">
        <v>12.744501</v>
      </c>
      <c r="G193" s="4">
        <v>50.352997000000002</v>
      </c>
    </row>
    <row r="194" spans="2:7" ht="14.1" customHeight="1">
      <c r="B194" s="275" t="str">
        <f>B89</f>
        <v>MS</v>
      </c>
      <c r="C194" s="275" t="str">
        <f>C89</f>
        <v>P011 - Saúde</v>
      </c>
      <c r="D194" s="305" t="str">
        <f>IF(Indice_index!$Z$1=1,"Reserva Orçamental","Reserve")</f>
        <v>Reserva Orçamental</v>
      </c>
      <c r="E194" s="4">
        <v>0.85637300000000005</v>
      </c>
      <c r="F194" s="4">
        <v>0.85637300000000005</v>
      </c>
      <c r="G194" s="4">
        <v>0.85637300000000005</v>
      </c>
    </row>
    <row r="195" spans="2:7" ht="14.1" customHeight="1">
      <c r="B195" s="275" t="str">
        <f>B92</f>
        <v>MIH</v>
      </c>
      <c r="C195" s="275" t="str">
        <f>C92</f>
        <v>P012 - Infraestruturas e Habitação</v>
      </c>
      <c r="D195" s="305" t="str">
        <f>IF(Indice_index!$Z$1=1,"Reserva Orçamental","Reserve")</f>
        <v>Reserva Orçamental</v>
      </c>
      <c r="E195" s="4">
        <v>89.168380999999997</v>
      </c>
      <c r="F195" s="4">
        <v>89.168380999999997</v>
      </c>
      <c r="G195" s="4">
        <v>88.885880999999998</v>
      </c>
    </row>
    <row r="196" spans="2:7" ht="14.1" customHeight="1">
      <c r="B196" s="275" t="str">
        <f>B110</f>
        <v>MECT</v>
      </c>
      <c r="C196" s="275" t="str">
        <f>C110</f>
        <v>P013 - Economia</v>
      </c>
      <c r="D196" s="305" t="str">
        <f>IF(Indice_index!$Z$1=1,"Reserva Orçamental","Reserve")</f>
        <v>Reserva Orçamental</v>
      </c>
      <c r="E196" s="4">
        <v>68.268383999999998</v>
      </c>
      <c r="F196" s="4">
        <v>68.268383999999998</v>
      </c>
      <c r="G196" s="4">
        <v>67.678523999999996</v>
      </c>
    </row>
    <row r="197" spans="2:7" ht="14.1" customHeight="1">
      <c r="B197" s="275" t="str">
        <f>B118</f>
        <v>MTSSS</v>
      </c>
      <c r="C197" s="275" t="str">
        <f>C118</f>
        <v>P014 - Trabalho, Solidariedade e Seg. Social</v>
      </c>
      <c r="D197" s="305" t="str">
        <f>IF(Indice_index!$Z$1=1,"Reserva Orçamental","Reserve")</f>
        <v>Reserva Orçamental</v>
      </c>
      <c r="E197" s="4">
        <v>13.108988</v>
      </c>
      <c r="F197" s="4">
        <v>13.108988</v>
      </c>
      <c r="G197" s="4">
        <v>13.096757999999999</v>
      </c>
    </row>
    <row r="198" spans="2:7" ht="14.1" customHeight="1">
      <c r="B198" s="275" t="str">
        <f>+B131</f>
        <v>MAE</v>
      </c>
      <c r="C198" s="275" t="str">
        <f>+C131</f>
        <v>P015 - Ambiente e Energia</v>
      </c>
      <c r="D198" s="305" t="str">
        <f>IF(Indice_index!$Z$1=1,"Reserva Orçamental","Reserve")</f>
        <v>Reserva Orçamental</v>
      </c>
      <c r="E198" s="4">
        <v>25.376013</v>
      </c>
      <c r="F198" s="4">
        <v>25.376013</v>
      </c>
      <c r="G198" s="4">
        <v>25.376013</v>
      </c>
    </row>
    <row r="199" spans="2:7" ht="14.1" customHeight="1">
      <c r="B199" s="275" t="str">
        <f>B140</f>
        <v>MCJD</v>
      </c>
      <c r="C199" s="275" t="str">
        <f>C140</f>
        <v>P016 - Juventude e Desporto</v>
      </c>
      <c r="D199" s="305" t="str">
        <f>IF(Indice_index!$Z$1=1,"Reserva Orçamental","Reserve")</f>
        <v>Reserva Orçamental</v>
      </c>
      <c r="E199" s="4">
        <v>1.993293</v>
      </c>
      <c r="F199" s="4">
        <v>1.993293</v>
      </c>
      <c r="G199" s="4">
        <v>1.993293</v>
      </c>
    </row>
    <row r="200" spans="2:7" ht="14.1" customHeight="1">
      <c r="B200" s="275" t="str">
        <f>B149</f>
        <v>MAM</v>
      </c>
      <c r="C200" s="275" t="str">
        <f>C149</f>
        <v>P017 - Agricultura e Mar</v>
      </c>
      <c r="D200" s="305" t="str">
        <f>IF(Indice_index!$Z$1=1,"Reserva Orçamental","Reserve")</f>
        <v>Reserva Orçamental</v>
      </c>
      <c r="E200" s="4">
        <v>16.069634000000001</v>
      </c>
      <c r="F200" s="4">
        <v>16.069634000000001</v>
      </c>
      <c r="G200" s="4">
        <v>15.40761</v>
      </c>
    </row>
    <row r="201" spans="2:7" ht="14.1" customHeight="1">
      <c r="B201" s="275" t="str">
        <f>B159</f>
        <v>MC</v>
      </c>
      <c r="C201" s="275" t="str">
        <f>C159</f>
        <v>P018 - Cultura</v>
      </c>
      <c r="D201" s="305" t="str">
        <f>IF(Indice_index!$Z$1=1,"Reserva Orçamental","Reserve")</f>
        <v>Reserva Orçamental</v>
      </c>
      <c r="E201" s="4">
        <v>7.1493520000000004</v>
      </c>
      <c r="F201" s="4">
        <v>7.1493520000000004</v>
      </c>
      <c r="G201" s="4">
        <v>7.1493520000000004</v>
      </c>
    </row>
    <row r="202" spans="2:7" ht="14.1" customHeight="1">
      <c r="B202" s="275" t="str">
        <f>B162</f>
        <v>MECT</v>
      </c>
      <c r="C202" s="275" t="str">
        <f>C162</f>
        <v>P019 - Coesão Territorial</v>
      </c>
      <c r="D202" s="305" t="str">
        <f>IF(Indice_index!$Z$1=1,"Reserva Orçamental","Reserve")</f>
        <v>Reserva Orçamental</v>
      </c>
      <c r="E202" s="4">
        <v>5.7620740000000001</v>
      </c>
      <c r="F202" s="4">
        <v>5.7620740000000001</v>
      </c>
      <c r="G202" s="4">
        <v>5.7620740000000001</v>
      </c>
    </row>
    <row r="203" spans="2:7" ht="14.1" customHeight="1">
      <c r="B203" s="275" t="str">
        <f>B175</f>
        <v>MRE</v>
      </c>
      <c r="C203" s="275" t="str">
        <f>C175</f>
        <v>P020 - Reforma do Estado</v>
      </c>
      <c r="D203" s="305" t="str">
        <f>IF(Indice_index!$Z$1=1,"Reserva Orçamental","Reserve")</f>
        <v>Reserva Orçamental</v>
      </c>
      <c r="E203" s="4">
        <v>0.98119699999999999</v>
      </c>
      <c r="F203" s="4">
        <v>0.98119699999999999</v>
      </c>
      <c r="G203" s="4">
        <v>0.98119699999999999</v>
      </c>
    </row>
    <row r="204" spans="2:7" ht="14.1" customHeight="1">
      <c r="B204" s="468" t="s">
        <v>55</v>
      </c>
      <c r="C204" s="469"/>
      <c r="D204" s="470"/>
      <c r="E204" s="18">
        <f>SUM(E185:E203)</f>
        <v>460.02706000000001</v>
      </c>
      <c r="F204" s="18">
        <f t="shared" ref="F204:G204" si="3">SUM(F185:F203)</f>
        <v>460.02706000000001</v>
      </c>
      <c r="G204" s="18">
        <f t="shared" si="3"/>
        <v>464.43200099999996</v>
      </c>
    </row>
    <row r="205" spans="2:7" ht="14.1" customHeight="1">
      <c r="B205" s="471" t="str">
        <f>IF(Indice_index!$Z$1=1,"TOTAL Cativos + Reserva 2025","TOTAL Frozen allocations + Reserve 2025")</f>
        <v>TOTAL Cativos + Reserva 2025</v>
      </c>
      <c r="C205" s="472"/>
      <c r="D205" s="473"/>
      <c r="E205" s="18">
        <f>E204+E178</f>
        <v>2489.3693449999996</v>
      </c>
      <c r="F205" s="18">
        <f>F204+F178</f>
        <v>3206.8396280000002</v>
      </c>
      <c r="G205" s="18">
        <f>G204+G178</f>
        <v>1656.2071119999998</v>
      </c>
    </row>
    <row r="206" spans="2:7" ht="8.25" customHeight="1">
      <c r="B206"/>
      <c r="C206"/>
      <c r="D206"/>
      <c r="E206"/>
      <c r="F206"/>
      <c r="G206"/>
    </row>
    <row r="207" spans="2:7" ht="14.1" customHeight="1">
      <c r="B207" s="471" t="str">
        <f>IF(Indice_index!$Z$1=1,"Por memória Total Cativos + Reserva 2024","By memory Total Frozen allocations + Reserve 2024")</f>
        <v>Por memória Total Cativos + Reserva 2024</v>
      </c>
      <c r="C207" s="472"/>
      <c r="D207" s="473"/>
      <c r="E207" s="18">
        <v>1235.228713</v>
      </c>
      <c r="F207" s="18">
        <v>1235.228713</v>
      </c>
      <c r="G207" s="18">
        <v>730.11523420000003</v>
      </c>
    </row>
    <row r="208" spans="2:7" ht="15">
      <c r="B208" s="115" t="str">
        <f>IF(Indice_index!$Z$1=1,"Notas:","Notes:")</f>
        <v>Notas:</v>
      </c>
      <c r="C208" s="115"/>
      <c r="D208" s="115"/>
      <c r="E208" s="115"/>
      <c r="F208" s="115"/>
      <c r="G208" s="115"/>
    </row>
    <row r="209" spans="2:7" ht="15">
      <c r="B209" s="474" t="str">
        <f>IF(Indice_index!$Z$1=1,"- Cativos Iniciais (LOE): cativos apurados de acordo com a aplicação da disciplina orçamental prevista na Lei do Orçamento do Estado para 2025.","- Initial frozen allocations (SBL): set in accordance with the 2025 State Budget Law.")</f>
        <v>- Cativos Iniciais (LOE): cativos apurados de acordo com a aplicação da disciplina orçamental prevista na Lei do Orçamento do Estado para 2025.</v>
      </c>
      <c r="C209" s="474"/>
      <c r="D209" s="474"/>
      <c r="E209" s="474"/>
      <c r="F209" s="474"/>
      <c r="G209" s="474"/>
    </row>
    <row r="210" spans="2:7" ht="15">
      <c r="B210" s="474" t="str">
        <f>IF(Indice_index!$Z$1=1,"- Cativos Iniciais (LOE e DLEO): Inclui o montante de cativações determinadas pelo art.º 6.º do DLEO 20205 (Decreto-Lei n.º 13-A/2025, de 10 de março).","- Initial frozen allocations: Includes the amount set by article no. 6 of BEDL 2025 (Decree-Law no. 13-A/2025, of March 10).")</f>
        <v>- Cativos Iniciais (LOE e DLEO): Inclui o montante de cativações determinadas pelo art.º 6.º do DLEO 20205 (Decreto-Lei n.º 13-A/2025, de 10 de março).</v>
      </c>
      <c r="C210" s="474"/>
      <c r="D210" s="474"/>
      <c r="E210" s="474"/>
      <c r="F210" s="474"/>
      <c r="G210" s="474"/>
    </row>
    <row r="211" spans="2:7" ht="15.6" customHeight="1">
      <c r="B211" s="476"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211" s="476"/>
      <c r="D211" s="476"/>
      <c r="E211" s="476"/>
      <c r="F211" s="476"/>
      <c r="G211" s="475"/>
    </row>
    <row r="212" spans="2:7" ht="15">
      <c r="B212" s="474" t="str">
        <f>IF(Indice_index!$Z$1=1,"- De acordo com a Lei Orgânica do XXV Governo (Decreto-Lei n.º 87-A/2025, de 25 de julho).","- According to the Organic Law of the XXIV Government (Decree-Law No. 87-A/2025, of July 25).")</f>
        <v>- De acordo com a Lei Orgânica do XXV Governo (Decreto-Lei n.º 87-A/2025, de 25 de julho).</v>
      </c>
      <c r="C212" s="474"/>
      <c r="D212" s="474"/>
      <c r="E212" s="474"/>
      <c r="F212" s="474"/>
      <c r="G212" s="474"/>
    </row>
    <row r="213" spans="2:7" ht="15">
      <c r="B213" s="466"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13" s="475"/>
      <c r="D213" s="475"/>
      <c r="E213" s="475"/>
      <c r="F213" s="475"/>
      <c r="G213" s="475"/>
    </row>
    <row r="214" spans="2:7" ht="15">
      <c r="B214" s="465" t="str">
        <f>IF(Indice_index!$Z$1=1,"Fonte: Entidade Orçamental.","Source: Budgetary Entity.")</f>
        <v>Fonte: Entidade Orçamental.</v>
      </c>
      <c r="C214" s="465"/>
      <c r="D214" s="465"/>
      <c r="E214" s="165"/>
      <c r="F214" s="165"/>
      <c r="G214" s="165"/>
    </row>
    <row r="215" spans="2:7" ht="14.85" customHeight="1"/>
    <row r="216" spans="2:7" ht="14.85" customHeight="1"/>
    <row r="217" spans="2:7" ht="15" hidden="1">
      <c r="B217" s="466"/>
      <c r="C217" s="467"/>
      <c r="D217" s="467"/>
      <c r="E217" s="467"/>
      <c r="F217" s="467"/>
      <c r="G217" s="467"/>
    </row>
    <row r="218" spans="2:7" ht="15" hidden="1">
      <c r="B218" s="466"/>
      <c r="C218" s="466"/>
      <c r="D218" s="466"/>
      <c r="E218" s="466"/>
      <c r="F218" s="466"/>
      <c r="G218" s="466"/>
    </row>
    <row r="219" spans="2:7" ht="14.85" customHeight="1"/>
    <row r="220" spans="2:7" ht="14.85" customHeight="1"/>
    <row r="221" spans="2:7" ht="14.85" customHeight="1"/>
    <row r="222" spans="2:7" ht="14.85" customHeight="1"/>
    <row r="223" spans="2:7" ht="14.85" customHeight="1"/>
    <row r="224" spans="2:7" ht="14.85" customHeight="1"/>
    <row r="225" ht="14.85" customHeight="1"/>
    <row r="226" ht="14.85" customHeight="1"/>
    <row r="227" ht="14.85" customHeight="1"/>
    <row r="228" ht="14.85" customHeight="1"/>
    <row r="229" ht="14.85" customHeight="1"/>
    <row r="230" ht="14.85" customHeight="1"/>
    <row r="231" ht="14.85" customHeight="1"/>
    <row r="232" ht="14.85" customHeight="1"/>
    <row r="233" ht="14.85" customHeight="1"/>
    <row r="234" ht="14.85" customHeight="1"/>
    <row r="235" ht="14.85" customHeight="1"/>
    <row r="236" ht="14.85" customHeight="1"/>
    <row r="237" ht="14.85" customHeight="1"/>
    <row r="238" ht="14.85" customHeight="1"/>
    <row r="239" ht="14.85" customHeight="1"/>
    <row r="240" ht="14.85" customHeight="1"/>
    <row r="241" ht="14.85" customHeight="1"/>
    <row r="242" ht="14.85" customHeight="1"/>
    <row r="243" ht="14.85" customHeight="1"/>
    <row r="244" ht="14.85" customHeight="1"/>
    <row r="245" ht="14.85" customHeight="1"/>
    <row r="246" ht="14.85" customHeight="1"/>
    <row r="247" ht="14.85" customHeight="1"/>
    <row r="248" ht="14.85" customHeight="1"/>
    <row r="249" ht="14.85" customHeight="1"/>
    <row r="250" ht="14.85" customHeight="1"/>
    <row r="251" ht="14.85" customHeight="1"/>
    <row r="252" ht="14.85" customHeight="1"/>
    <row r="253" ht="14.85" customHeight="1"/>
    <row r="254" ht="14.85" customHeight="1"/>
    <row r="255" ht="14.85" customHeight="1"/>
    <row r="256" ht="14.85" customHeight="1"/>
    <row r="257" ht="14.85" customHeight="1"/>
    <row r="258" ht="14.85" customHeight="1"/>
    <row r="259" ht="14.85" customHeight="1"/>
    <row r="260" ht="14.85" customHeight="1"/>
    <row r="261" ht="14.85" customHeight="1"/>
    <row r="262" ht="14.85" customHeight="1"/>
    <row r="263" ht="14.85" customHeight="1"/>
    <row r="264" ht="14.85" customHeight="1"/>
    <row r="265" ht="14.85" customHeight="1"/>
    <row r="266" ht="14.85" customHeight="1"/>
    <row r="267" ht="14.85" customHeight="1"/>
    <row r="268" ht="14.85" customHeight="1"/>
    <row r="269" ht="14.85" customHeight="1"/>
    <row r="270" ht="14.85" customHeight="1"/>
    <row r="271" ht="14.85" customHeight="1"/>
    <row r="272" ht="14.85" customHeight="1"/>
    <row r="273" ht="14.85" customHeight="1"/>
    <row r="274" ht="14.85" customHeight="1"/>
    <row r="275" ht="14.85" customHeight="1"/>
    <row r="276" ht="14.85" customHeight="1"/>
    <row r="277" ht="14.85" customHeight="1"/>
    <row r="278" ht="14.85" customHeight="1"/>
    <row r="279" ht="14.85" customHeight="1"/>
    <row r="280" ht="14.85" customHeight="1"/>
    <row r="281" ht="14.85" customHeight="1"/>
    <row r="282" ht="14.85" customHeight="1"/>
    <row r="283" ht="14.85" customHeight="1"/>
    <row r="284" ht="14.85" customHeight="1"/>
    <row r="285" ht="14.85" customHeight="1"/>
    <row r="286" ht="14.85" customHeight="1"/>
    <row r="287" ht="14.85" customHeight="1"/>
    <row r="288" ht="14.85" customHeight="1"/>
    <row r="289" ht="14.85" customHeight="1"/>
    <row r="290" ht="14.85" customHeight="1"/>
    <row r="291" ht="14.85" customHeight="1"/>
    <row r="292" ht="14.85" customHeight="1"/>
    <row r="293" ht="14.85" customHeight="1"/>
    <row r="294" ht="14.85" customHeight="1"/>
    <row r="295" ht="14.85" customHeight="1"/>
    <row r="296" ht="14.85" customHeight="1"/>
    <row r="297" ht="14.85" customHeight="1"/>
    <row r="298" ht="14.85" customHeight="1"/>
    <row r="299" ht="14.85" customHeight="1"/>
    <row r="300" ht="14.85" customHeight="1"/>
    <row r="301" ht="14.85" customHeight="1"/>
    <row r="302" ht="14.85" customHeight="1"/>
    <row r="303" ht="14.85" customHeight="1"/>
    <row r="304" ht="14.85" customHeight="1"/>
    <row r="305" ht="14.85" customHeight="1"/>
  </sheetData>
  <mergeCells count="20">
    <mergeCell ref="B10:B12"/>
    <mergeCell ref="C10:C12"/>
    <mergeCell ref="D10:D12"/>
    <mergeCell ref="E10:G10"/>
    <mergeCell ref="B178:D178"/>
    <mergeCell ref="B214:D214"/>
    <mergeCell ref="B217:G217"/>
    <mergeCell ref="B218:G218"/>
    <mergeCell ref="B180:G180"/>
    <mergeCell ref="B183:B184"/>
    <mergeCell ref="C183:C184"/>
    <mergeCell ref="D183:D184"/>
    <mergeCell ref="B204:D204"/>
    <mergeCell ref="B205:D205"/>
    <mergeCell ref="B209:G209"/>
    <mergeCell ref="B213:G213"/>
    <mergeCell ref="B211:G211"/>
    <mergeCell ref="B207:D207"/>
    <mergeCell ref="B210:G210"/>
    <mergeCell ref="B212:G212"/>
  </mergeCells>
  <conditionalFormatting sqref="E13:G177 E185:G203">
    <cfRule type="cellIs" dxfId="5"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58" min="1" max="5" man="1"/>
    <brk id="179" min="1" max="5" man="1"/>
  </rowBreaks>
  <ignoredErrors>
    <ignoredError sqref="E184 E12 F184:G184 F12:G12" numberStoredAsText="1"/>
    <ignoredError sqref="E51:G178"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5"/>
  <sheetViews>
    <sheetView showGridLines="0" zoomScaleNormal="100" workbookViewId="0"/>
  </sheetViews>
  <sheetFormatPr defaultColWidth="0" defaultRowHeight="14.85" customHeight="1" zeroHeight="1"/>
  <cols>
    <col min="1" max="1" width="8.5703125" style="50" customWidth="1"/>
    <col min="2" max="2" width="54.5703125" style="31" customWidth="1"/>
    <col min="3" max="3" width="10.42578125" style="31" customWidth="1"/>
    <col min="4" max="6" width="10.42578125" style="50" customWidth="1"/>
    <col min="7" max="8" width="8.5703125" style="50" customWidth="1"/>
    <col min="9" max="9" width="8.5703125" style="50" hidden="1" customWidth="1"/>
    <col min="10" max="33" width="0" hidden="1" customWidth="1"/>
    <col min="34" max="16384" width="9.42578125" hidden="1"/>
  </cols>
  <sheetData>
    <row r="1" spans="1:9" ht="14.85" customHeight="1"/>
    <row r="2" spans="1:9" ht="15"/>
    <row r="3" spans="1:9" ht="15"/>
    <row r="4" spans="1:9" ht="15"/>
    <row r="5" spans="1:9" ht="18" customHeight="1">
      <c r="A5"/>
      <c r="B5" s="269" t="str">
        <f>IF(Indice_index!$Z$1=1,"ANEXOS ESTATÍSTICOS","STATISTICAL ANNEXES")</f>
        <v>ANEXOS ESTATÍSTICOS</v>
      </c>
      <c r="C5"/>
      <c r="D5"/>
      <c r="E5"/>
      <c r="F5"/>
      <c r="G5"/>
      <c r="H5"/>
      <c r="I5"/>
    </row>
    <row r="6" spans="1:9" ht="18" customHeight="1">
      <c r="A6"/>
      <c r="B6" s="270" t="str">
        <f>IF(Indice_index!$Z$1=1,"Setembro de 2025","September 2025")</f>
        <v>Setembro de 2025</v>
      </c>
      <c r="C6"/>
      <c r="D6"/>
      <c r="E6"/>
      <c r="F6"/>
      <c r="G6"/>
      <c r="H6"/>
      <c r="I6"/>
    </row>
    <row r="7" spans="1:9" ht="50.1" customHeight="1">
      <c r="B7" s="12"/>
      <c r="C7" s="13"/>
      <c r="D7" s="11"/>
      <c r="E7" s="11"/>
      <c r="F7" s="11"/>
      <c r="G7" s="11"/>
    </row>
    <row r="8" spans="1:9" ht="15.75">
      <c r="B8" s="116" t="str">
        <f>IF(Indice_index!$Z$1=1,"Quadro 24 - Despesa Efetiva Consolidada por Programa Orçamental","24 - Consolidated Effective Expenditure by Budgetary Program")</f>
        <v>Quadro 24 - Despesa Efetiva Consolidada por Programa Orçamental</v>
      </c>
      <c r="C8" s="2"/>
      <c r="D8" s="2"/>
      <c r="E8" s="2"/>
      <c r="F8" s="2"/>
      <c r="G8" s="2"/>
    </row>
    <row r="9" spans="1:9" ht="15">
      <c r="B9" s="3" t="str">
        <f>+'3 - Conta AC + SS'!B9</f>
        <v>Período: janeiro a setembro</v>
      </c>
      <c r="C9" s="122"/>
      <c r="D9" s="122"/>
      <c r="E9" s="3"/>
      <c r="F9" s="3"/>
      <c r="G9" s="3" t="str">
        <f>IF(Indice_index!$Z$1=1,"€ Milhões","€ Millions")</f>
        <v>€ Milhões</v>
      </c>
    </row>
    <row r="10" spans="1:9" ht="26.85" customHeight="1">
      <c r="B10" s="390"/>
      <c r="C10" s="391" t="str">
        <f>IF(Indice_index!$Z$1=1,"Execução Acumulada","Accumulated Execution")</f>
        <v>Execução Acumulada</v>
      </c>
      <c r="D10" s="388"/>
      <c r="E10" s="391" t="str">
        <f>IF(Indice_index!$Z$1=1,"Variação Homóloga Acumulada","YOY Change Rate")</f>
        <v>Variação Homóloga Acumulada</v>
      </c>
      <c r="F10" s="388"/>
      <c r="G10" s="390" t="str">
        <f>IF(Indice_index!$Z$1=1,"Contributo (em p.p.)","Contribution (pp)")</f>
        <v>Contributo (em p.p.)</v>
      </c>
    </row>
    <row r="11" spans="1:9" ht="14.1" customHeight="1">
      <c r="B11" s="389"/>
      <c r="C11" s="22">
        <v>2024</v>
      </c>
      <c r="D11" s="22">
        <v>2025</v>
      </c>
      <c r="E11" s="22" t="str">
        <f>IF(Indice_index!$Z$1=1,"Absoluta","Absolute")</f>
        <v>Absoluta</v>
      </c>
      <c r="F11" s="22" t="str">
        <f>IF(Indice_index!$Z$1=1,"Relativa (%)","Relative (%)")</f>
        <v>Relativa (%)</v>
      </c>
      <c r="G11" s="389"/>
    </row>
    <row r="12" spans="1:9" ht="14.1" customHeight="1">
      <c r="B12" s="329" t="str">
        <f>IF(Indice_index!$Z$1=1,"001 - Órgãos de Soberania","001 - Bodies of Sovereignty")</f>
        <v>001 - Órgãos de Soberania</v>
      </c>
      <c r="C12" s="4">
        <v>4866.3537360099999</v>
      </c>
      <c r="D12" s="4">
        <v>5391.4629819399997</v>
      </c>
      <c r="E12" s="4">
        <f>+D12-C12</f>
        <v>525.10924592999982</v>
      </c>
      <c r="F12" s="4">
        <f>IF(IFERROR((D12-C12)/C12*100,"")&gt;500,"-",IFERROR((D12-C12)/C12*100,""))</f>
        <v>10.790609857320918</v>
      </c>
      <c r="G12" s="4">
        <f t="shared" ref="G12:G31" si="0">IFERROR((D12-C12)/$C$35*100,"")</f>
        <v>0.85738434940496666</v>
      </c>
    </row>
    <row r="13" spans="1:9" ht="14.1" customHeight="1">
      <c r="B13" s="329" t="str">
        <f>IF(Indice_index!$Z$1=1,"002 - Governação","002 - Governance")</f>
        <v>002 - Governação</v>
      </c>
      <c r="C13" s="4">
        <v>362.07872034999991</v>
      </c>
      <c r="D13" s="4">
        <v>371.66045879999996</v>
      </c>
      <c r="E13" s="4">
        <f t="shared" ref="E13:E31" si="1">+D13-C13</f>
        <v>9.5817384500000458</v>
      </c>
      <c r="F13" s="4">
        <f t="shared" ref="F13:F35" si="2">IF(IFERROR((D13-C13)/C13*100,"")&gt;500,"-",IFERROR((D13-C13)/C13*100,""))</f>
        <v>2.6463136084710945</v>
      </c>
      <c r="G13" s="4">
        <f t="shared" si="0"/>
        <v>1.5644806582242092E-2</v>
      </c>
    </row>
    <row r="14" spans="1:9" ht="14.1" customHeight="1">
      <c r="B14" s="329" t="str">
        <f>IF(Indice_index!$Z$1=1,"003 - Representação Externa","003 - External Representation")</f>
        <v>003 - Representação Externa</v>
      </c>
      <c r="C14" s="4">
        <v>283.19493232999992</v>
      </c>
      <c r="D14" s="4">
        <v>288.86165083999987</v>
      </c>
      <c r="E14" s="4">
        <f t="shared" si="1"/>
        <v>5.6667185099999529</v>
      </c>
      <c r="F14" s="4">
        <f t="shared" si="2"/>
        <v>2.0009957322953325</v>
      </c>
      <c r="G14" s="4">
        <f t="shared" si="0"/>
        <v>9.2524666069297625E-3</v>
      </c>
    </row>
    <row r="15" spans="1:9" ht="14.1" customHeight="1">
      <c r="B15" s="329" t="str">
        <f>IF(Indice_index!$Z$1=1,"004 - Finanças","004 - Finance")</f>
        <v>004 - Finanças</v>
      </c>
      <c r="C15" s="4">
        <v>4702.6222599900011</v>
      </c>
      <c r="D15" s="4">
        <v>5188.9440189000006</v>
      </c>
      <c r="E15" s="4">
        <f t="shared" si="1"/>
        <v>486.32175890999952</v>
      </c>
      <c r="F15" s="4">
        <f t="shared" si="2"/>
        <v>10.341501656376575</v>
      </c>
      <c r="G15" s="4">
        <f t="shared" si="0"/>
        <v>0.79405317673669917</v>
      </c>
    </row>
    <row r="16" spans="1:9" ht="14.1" customHeight="1">
      <c r="B16" s="329" t="str">
        <f>IF(Indice_index!$Z$1=1,"005 - Gestão da Dívida Pública","005 - Public Debt Management")</f>
        <v>005 - Gestão da Dívida Pública</v>
      </c>
      <c r="C16" s="4">
        <v>4990.79991419</v>
      </c>
      <c r="D16" s="4">
        <v>5009.4216845299998</v>
      </c>
      <c r="E16" s="4">
        <f t="shared" si="1"/>
        <v>18.621770339999784</v>
      </c>
      <c r="F16" s="4">
        <f t="shared" si="2"/>
        <v>0.37312195760550887</v>
      </c>
      <c r="G16" s="4">
        <f t="shared" si="0"/>
        <v>3.0405129164032631E-2</v>
      </c>
    </row>
    <row r="17" spans="2:7" ht="14.1" customHeight="1">
      <c r="B17" s="329" t="str">
        <f>IF(Indice_index!$Z$1=1,"006 - Defesa","006 - Defense")</f>
        <v>006 - Defesa</v>
      </c>
      <c r="C17" s="4">
        <v>1608.9836058800008</v>
      </c>
      <c r="D17" s="4">
        <v>1649.1235261599995</v>
      </c>
      <c r="E17" s="4">
        <f t="shared" si="1"/>
        <v>40.139920279998705</v>
      </c>
      <c r="F17" s="4">
        <f t="shared" si="2"/>
        <v>2.4947376799432952</v>
      </c>
      <c r="G17" s="4">
        <f t="shared" si="0"/>
        <v>6.553938956736953E-2</v>
      </c>
    </row>
    <row r="18" spans="2:7" ht="14.1" customHeight="1">
      <c r="B18" s="329" t="str">
        <f>IF(Indice_index!$Z$1=1,"007 - Justiça","007 - Justice")</f>
        <v>007 - Justiça</v>
      </c>
      <c r="C18" s="4">
        <v>1252.4406919499995</v>
      </c>
      <c r="D18" s="4">
        <v>1334.5821871000003</v>
      </c>
      <c r="E18" s="4">
        <f t="shared" si="1"/>
        <v>82.141495150000765</v>
      </c>
      <c r="F18" s="4">
        <f t="shared" si="2"/>
        <v>6.5585137626045817</v>
      </c>
      <c r="G18" s="4">
        <f t="shared" si="0"/>
        <v>0.13411843901854081</v>
      </c>
    </row>
    <row r="19" spans="2:7" ht="14.1" customHeight="1">
      <c r="B19" s="329" t="str">
        <f>IF(Indice_index!$Z$1=1,"008 - Segurança Interna","008 - Internal Security")</f>
        <v>008 - Segurança Interna</v>
      </c>
      <c r="C19" s="4">
        <v>1787.2809418300005</v>
      </c>
      <c r="D19" s="4">
        <v>1944.5805665799994</v>
      </c>
      <c r="E19" s="4">
        <f t="shared" si="1"/>
        <v>157.29962474999888</v>
      </c>
      <c r="F19" s="4">
        <f t="shared" si="2"/>
        <v>8.801057576820547</v>
      </c>
      <c r="G19" s="4">
        <f t="shared" si="0"/>
        <v>0.25683462531509427</v>
      </c>
    </row>
    <row r="20" spans="2:7" ht="14.1" customHeight="1">
      <c r="B20" s="329" t="str">
        <f>IF(Indice_index!$Z$1=1,"009 - Educação","009 - Education")</f>
        <v>009 - Educação</v>
      </c>
      <c r="C20" s="4">
        <v>5025.7133314900029</v>
      </c>
      <c r="D20" s="4">
        <v>5081.3905543699993</v>
      </c>
      <c r="E20" s="4">
        <f t="shared" si="1"/>
        <v>55.677222879996407</v>
      </c>
      <c r="F20" s="4">
        <f t="shared" si="2"/>
        <v>1.1078471692990386</v>
      </c>
      <c r="G20" s="4">
        <f t="shared" si="0"/>
        <v>9.0908282201537627E-2</v>
      </c>
    </row>
    <row r="21" spans="2:7" ht="14.1" customHeight="1">
      <c r="B21" s="329" t="str">
        <f>IF(Indice_index!$Z$1=1,"010 - Ensino Superior, Ciência e Inovação","010 - Higher Education, Science and Inovation")</f>
        <v>010 - Ensino Superior, Ciência e Inovação</v>
      </c>
      <c r="C21" s="4">
        <v>2304.3132428599974</v>
      </c>
      <c r="D21" s="4">
        <v>2412.0657405199995</v>
      </c>
      <c r="E21" s="4">
        <f t="shared" si="1"/>
        <v>107.75249766000206</v>
      </c>
      <c r="F21" s="4">
        <f t="shared" si="2"/>
        <v>4.6761219636209308</v>
      </c>
      <c r="G21" s="4">
        <f t="shared" si="0"/>
        <v>0.17593539976497877</v>
      </c>
    </row>
    <row r="22" spans="2:7" ht="14.1" customHeight="1">
      <c r="B22" s="329" t="str">
        <f>IF(Indice_index!$Z$1=1,"011 - Saúde","011 - Health")</f>
        <v>011 - Saúde</v>
      </c>
      <c r="C22" s="4">
        <v>10350.582412780006</v>
      </c>
      <c r="D22" s="4">
        <v>11187.206690139992</v>
      </c>
      <c r="E22" s="4">
        <f t="shared" si="1"/>
        <v>836.62427735998608</v>
      </c>
      <c r="F22" s="4">
        <f t="shared" si="2"/>
        <v>8.0828715138482909</v>
      </c>
      <c r="G22" s="4">
        <f t="shared" si="0"/>
        <v>1.3660177711597818</v>
      </c>
    </row>
    <row r="23" spans="2:7" ht="14.1" customHeight="1">
      <c r="B23" s="329" t="str">
        <f>IF(Indice_index!$Z$1=1,"012 - Infraestruturas e Habitação","012 - Infrastructure and Housing")</f>
        <v>012 - Infraestruturas e Habitação</v>
      </c>
      <c r="C23" s="4">
        <v>3289.7754843800012</v>
      </c>
      <c r="D23" s="4">
        <v>3289.0979964200001</v>
      </c>
      <c r="E23" s="4">
        <f t="shared" ref="E23:E24" si="3">+D23-C23</f>
        <v>-0.67748796000114453</v>
      </c>
      <c r="F23" s="4">
        <f t="shared" ref="F23:F24" si="4">IF(IFERROR((D23-C23)/C23*100,"")&gt;500,"-",IFERROR((D23-C23)/C23*100,""))</f>
        <v>-2.059374456457248E-2</v>
      </c>
      <c r="G23" s="4">
        <f t="shared" ref="G23:G24" si="5">IFERROR((D23-C23)/$C$35*100,"")</f>
        <v>-1.1061842432169104E-3</v>
      </c>
    </row>
    <row r="24" spans="2:7" ht="14.1" customHeight="1">
      <c r="B24" s="329" t="str">
        <f>IF(Indice_index!$Z$1=1,"013 - Economia","013 - Economy")</f>
        <v>013 - Economia</v>
      </c>
      <c r="C24" s="4">
        <v>806.73169926999981</v>
      </c>
      <c r="D24" s="4">
        <v>1008.8079239999998</v>
      </c>
      <c r="E24" s="4">
        <f t="shared" si="3"/>
        <v>202.07622473000004</v>
      </c>
      <c r="F24" s="4">
        <f t="shared" si="4"/>
        <v>25.048752257145217</v>
      </c>
      <c r="G24" s="4">
        <f t="shared" si="5"/>
        <v>0.32994466163606473</v>
      </c>
    </row>
    <row r="25" spans="2:7" ht="14.1" customHeight="1">
      <c r="B25" s="329" t="str">
        <f>IF(Indice_index!$Z$1=1,"014 - Trabalho, Solidariedade e Segurança Social","014 - Work, Solidarity and Social Security")</f>
        <v>014 - Trabalho, Solidariedade e Segurança Social</v>
      </c>
      <c r="C25" s="4">
        <v>17473.988136129996</v>
      </c>
      <c r="D25" s="4">
        <v>18627.571458950002</v>
      </c>
      <c r="E25" s="4">
        <f t="shared" si="1"/>
        <v>1153.5833228200063</v>
      </c>
      <c r="F25" s="4">
        <f t="shared" si="2"/>
        <v>6.601717443282487</v>
      </c>
      <c r="G25" s="4">
        <f t="shared" si="0"/>
        <v>1.8835400335957879</v>
      </c>
    </row>
    <row r="26" spans="2:7" ht="14.1" customHeight="1">
      <c r="B26" s="329" t="str">
        <f>IF(Indice_index!$Z$1=1,"015 - Ambiente e Energia","015 - Environment and Energy")</f>
        <v>015 - Ambiente e Energia</v>
      </c>
      <c r="C26" s="4">
        <v>1108.0121642099998</v>
      </c>
      <c r="D26" s="4">
        <v>864.94849331000023</v>
      </c>
      <c r="E26" s="4">
        <f t="shared" si="1"/>
        <v>-243.06367089999958</v>
      </c>
      <c r="F26" s="4">
        <f t="shared" si="2"/>
        <v>-21.936913578318091</v>
      </c>
      <c r="G26" s="4">
        <f t="shared" si="0"/>
        <v>-0.39686786883649705</v>
      </c>
    </row>
    <row r="27" spans="2:7" ht="14.1" customHeight="1">
      <c r="B27" s="329" t="str">
        <f>IF(Indice_index!$Z$1=1,"016 - Juventude e Desporto","016 - Youth and Sport")</f>
        <v>016 - Juventude e Desporto</v>
      </c>
      <c r="C27" s="4">
        <v>78.005378989999997</v>
      </c>
      <c r="D27" s="4">
        <v>153.48566613000006</v>
      </c>
      <c r="E27" s="4">
        <f t="shared" si="1"/>
        <v>75.480287140000058</v>
      </c>
      <c r="F27" s="4">
        <f t="shared" si="2"/>
        <v>96.762925989599196</v>
      </c>
      <c r="G27" s="4">
        <f t="shared" si="0"/>
        <v>0.12324219652200905</v>
      </c>
    </row>
    <row r="28" spans="2:7" ht="14.1" customHeight="1">
      <c r="B28" s="329" t="str">
        <f>IF(Indice_index!$Z$1=1,"017 - Agricultura e Mar","017 - Agriculture and Sea")</f>
        <v>017 - Agricultura e Mar</v>
      </c>
      <c r="C28" s="4">
        <v>802.91680521000001</v>
      </c>
      <c r="D28" s="4">
        <v>662.22231370999987</v>
      </c>
      <c r="E28" s="4">
        <f t="shared" si="1"/>
        <v>-140.69449150000014</v>
      </c>
      <c r="F28" s="4">
        <f t="shared" si="2"/>
        <v>-17.522922747046252</v>
      </c>
      <c r="G28" s="4">
        <f t="shared" si="0"/>
        <v>-0.22972220732078069</v>
      </c>
    </row>
    <row r="29" spans="2:7" ht="14.1" customHeight="1">
      <c r="B29" s="329" t="str">
        <f>IF(Indice_index!$Z$1=1,"018 - Cultura","018 - Culture")</f>
        <v>018 - Cultura</v>
      </c>
      <c r="C29" s="4">
        <v>218.06507985000007</v>
      </c>
      <c r="D29" s="4">
        <v>228.11158591000012</v>
      </c>
      <c r="E29" s="4">
        <f t="shared" ref="E29" si="6">+D29-C29</f>
        <v>10.046506060000041</v>
      </c>
      <c r="F29" s="4">
        <f t="shared" ref="F29" si="7">IF(IFERROR((D29-C29)/C29*100,"")&gt;500,"-",IFERROR((D29-C29)/C29*100,""))</f>
        <v>4.6071136501592589</v>
      </c>
      <c r="G29" s="4">
        <f t="shared" si="0"/>
        <v>1.6403666720418878E-2</v>
      </c>
    </row>
    <row r="30" spans="2:7" ht="14.1" customHeight="1">
      <c r="B30" s="329" t="str">
        <f>IF(Indice_index!$Z$1=1,"019 - Coesão Territorial","019 - Territorial Cohesion")</f>
        <v>019 - Coesão Territorial</v>
      </c>
      <c r="C30" s="4">
        <v>464.45867337000038</v>
      </c>
      <c r="D30" s="4">
        <v>440.15994602000001</v>
      </c>
      <c r="E30" s="4">
        <f t="shared" ref="E30" si="8">+D30-C30</f>
        <v>-24.298727350000377</v>
      </c>
      <c r="F30" s="4">
        <f t="shared" ref="F30" si="9">IF(IFERROR((D30-C30)/C30*100,"")&gt;500,"-",IFERROR((D30-C30)/C30*100,""))</f>
        <v>-5.2316231223963712</v>
      </c>
      <c r="G30" s="4">
        <f t="shared" ref="G30" si="10">IFERROR((D30-C30)/$C$35*100,"")</f>
        <v>-3.9674312920260309E-2</v>
      </c>
    </row>
    <row r="31" spans="2:7" ht="14.1" customHeight="1">
      <c r="B31" s="329" t="str">
        <f>IF(Indice_index!$Z$1=1,"020 - Reforma do Estado","020 - State Reform")</f>
        <v>020 - Reforma do Estado</v>
      </c>
      <c r="C31" s="4">
        <v>36.129603089999996</v>
      </c>
      <c r="D31" s="4">
        <v>47.898039280000006</v>
      </c>
      <c r="E31" s="4">
        <f t="shared" si="1"/>
        <v>11.76843619000001</v>
      </c>
      <c r="F31" s="4">
        <f t="shared" si="2"/>
        <v>32.57283552405616</v>
      </c>
      <c r="G31" s="4">
        <f t="shared" si="0"/>
        <v>1.9215188238414848E-2</v>
      </c>
    </row>
    <row r="32" spans="2:7" ht="14.1" customHeight="1">
      <c r="B32" s="30" t="str">
        <f>IF(Indice_index!$Z$1=1,"Subtotal despesa efetiva consolidada dos Programas Orçamentais (1)","Subtotal consolidated effective expenditure of the Budget Programs (1)")</f>
        <v>Subtotal despesa efetiva consolidada dos Programas Orçamentais (1)</v>
      </c>
      <c r="C32" s="18">
        <f>SUM(C12:C31)</f>
        <v>61812.446814159994</v>
      </c>
      <c r="D32" s="18">
        <f>SUM(D12:D31)</f>
        <v>65181.603483609993</v>
      </c>
      <c r="E32" s="18">
        <f>SUM(E12:E31)</f>
        <v>3369.1566694499879</v>
      </c>
      <c r="F32" s="18">
        <f t="shared" si="2"/>
        <v>5.4506120419070578</v>
      </c>
      <c r="G32" s="18"/>
    </row>
    <row r="33" spans="2:7" ht="14.1" customHeight="1">
      <c r="B33" s="174" t="str">
        <f>IF(Indice_index!$Z$1=1,"Fluxos para outros Programas Orçamentais (2)","Flows to other Budget Programs (2)")</f>
        <v>Fluxos para outros Programas Orçamentais (2)</v>
      </c>
      <c r="C33" s="134">
        <v>1125.5869700399512</v>
      </c>
      <c r="D33" s="134">
        <v>1526.320356929966</v>
      </c>
      <c r="E33" s="134">
        <f>+D33-C33</f>
        <v>400.7333868900148</v>
      </c>
      <c r="F33" s="134">
        <f t="shared" si="2"/>
        <v>35.602170028300108</v>
      </c>
      <c r="G33" s="280"/>
    </row>
    <row r="34" spans="2:7" ht="14.1" customHeight="1">
      <c r="B34" s="329" t="str">
        <f>IF(Indice_index!$Z$1=1,"Diferenças de consolidação (3)","Consolidation differences (3)")</f>
        <v>Diferenças de consolidação (3)</v>
      </c>
      <c r="C34" s="4">
        <f>SUM('4 - Conta AC'!E42,'4 - Conta AC'!E49)</f>
        <v>558.63015046999965</v>
      </c>
      <c r="D34" s="4">
        <f>SUM('4 - Conta AC'!F42,'4 - Conta AC'!F49)</f>
        <v>148.23835132999039</v>
      </c>
      <c r="E34" s="4">
        <f>+D34-C34</f>
        <v>-410.39179914000925</v>
      </c>
      <c r="F34" s="306"/>
      <c r="G34" s="306"/>
    </row>
    <row r="35" spans="2:7" ht="14.1" customHeight="1">
      <c r="B35" s="92" t="str">
        <f>IF(Indice_index!$Z$1=1,"Total da despesa efetiva consolidada da Administração Central (4)=(1)-(2)+(3)","Total Consolidated Effective Expenditure of the Central Government")</f>
        <v>Total da despesa efetiva consolidada da Administração Central (4)=(1)-(2)+(3)</v>
      </c>
      <c r="C35" s="27">
        <f>C32-C33+C34</f>
        <v>61245.489994590047</v>
      </c>
      <c r="D35" s="27">
        <f>D32-D33+D34</f>
        <v>63803.521478010021</v>
      </c>
      <c r="E35" s="27">
        <f>E32-E33</f>
        <v>2968.4232825599729</v>
      </c>
      <c r="F35" s="27">
        <f t="shared" si="2"/>
        <v>4.1766854729155254</v>
      </c>
      <c r="G35" s="27"/>
    </row>
    <row r="36" spans="2:7" ht="15">
      <c r="B36" s="147" t="str">
        <f>IF(Indice_index!$Z$1=1,"Notas:","Notes:")</f>
        <v>Notas:</v>
      </c>
      <c r="C36" s="155"/>
      <c r="D36" s="155"/>
      <c r="E36" s="52"/>
      <c r="F36" s="156"/>
      <c r="G36" s="156"/>
    </row>
    <row r="37" spans="2:7" ht="15">
      <c r="B37" s="465"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7" s="465"/>
      <c r="D37" s="465"/>
      <c r="E37" s="465"/>
      <c r="F37" s="465"/>
      <c r="G37" s="465"/>
    </row>
    <row r="38" spans="2:7" ht="15">
      <c r="B38" s="465"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8" s="465"/>
      <c r="D38" s="465"/>
      <c r="E38" s="465"/>
      <c r="F38" s="465"/>
      <c r="G38" s="465"/>
    </row>
    <row r="39" spans="2:7" ht="15">
      <c r="B39" s="147" t="str">
        <f>IF(Indice_index!$Z$1=1,"Fonte: Entidade Orçamental.","Source: Budgetary Entity.")</f>
        <v>Fonte: Entidade Orçamental.</v>
      </c>
      <c r="C39" s="156"/>
      <c r="D39" s="156"/>
      <c r="E39" s="156"/>
      <c r="F39" s="156"/>
      <c r="G39" s="61"/>
    </row>
    <row r="40" spans="2:7" ht="15">
      <c r="B40" s="397"/>
      <c r="C40" s="397"/>
      <c r="D40" s="397"/>
      <c r="E40" s="397"/>
      <c r="F40" s="397"/>
      <c r="G40" s="397"/>
    </row>
    <row r="41" spans="2:7" ht="15" hidden="1">
      <c r="B41" s="398"/>
      <c r="C41" s="398"/>
      <c r="D41" s="398"/>
      <c r="E41" s="398"/>
      <c r="F41" s="398"/>
      <c r="G41" s="398"/>
    </row>
    <row r="42" spans="2:7" ht="15" hidden="1">
      <c r="B42" s="398"/>
      <c r="C42" s="398"/>
      <c r="D42" s="398"/>
      <c r="E42" s="398"/>
      <c r="F42" s="398"/>
      <c r="G42" s="398"/>
    </row>
    <row r="43" spans="2:7" ht="15" hidden="1">
      <c r="B43" s="397"/>
      <c r="C43" s="397"/>
      <c r="D43" s="397"/>
      <c r="E43" s="397"/>
      <c r="F43" s="397"/>
      <c r="G43" s="397"/>
    </row>
    <row r="44" spans="2:7" ht="15" hidden="1">
      <c r="B44" s="397"/>
      <c r="C44" s="397"/>
      <c r="D44" s="397"/>
      <c r="E44" s="397"/>
      <c r="F44" s="397"/>
      <c r="G44" s="397"/>
    </row>
    <row r="45" spans="2:7" ht="15" hidden="1">
      <c r="B45" s="398"/>
      <c r="C45" s="398"/>
      <c r="D45" s="398"/>
      <c r="E45" s="398"/>
      <c r="F45" s="398"/>
      <c r="G45" s="398"/>
    </row>
  </sheetData>
  <mergeCells count="12">
    <mergeCell ref="B42:G42"/>
    <mergeCell ref="B43:G43"/>
    <mergeCell ref="B44:G44"/>
    <mergeCell ref="B45:G45"/>
    <mergeCell ref="B10:B11"/>
    <mergeCell ref="C10:D10"/>
    <mergeCell ref="E10:F10"/>
    <mergeCell ref="G10:G11"/>
    <mergeCell ref="B37:G37"/>
    <mergeCell ref="B38:G38"/>
    <mergeCell ref="B40:G40"/>
    <mergeCell ref="B41:G41"/>
  </mergeCells>
  <conditionalFormatting sqref="C12:F31">
    <cfRule type="cellIs" dxfId="4" priority="2" operator="equal">
      <formula>0</formula>
    </cfRule>
  </conditionalFormatting>
  <conditionalFormatting sqref="C33:G34">
    <cfRule type="cellIs" dxfId="3"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2:D32" formulaRange="1"/>
    <ignoredError sqref="E32"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BK101"/>
  <sheetViews>
    <sheetView showGridLines="0" workbookViewId="0"/>
  </sheetViews>
  <sheetFormatPr defaultColWidth="9.42578125" defaultRowHeight="14.85" customHeight="1" zeroHeight="1"/>
  <cols>
    <col min="1" max="1" width="8.5703125" style="50" customWidth="1"/>
    <col min="2" max="2" width="8" style="31" customWidth="1"/>
    <col min="3" max="3" width="18.5703125" style="31" customWidth="1"/>
    <col min="4" max="4" width="14.28515625" style="31" customWidth="1"/>
    <col min="5" max="5" width="21.7109375" style="31" customWidth="1"/>
    <col min="6" max="6" width="5.7109375" style="31" hidden="1" customWidth="1"/>
    <col min="7" max="11" width="4.5703125" style="31" hidden="1" customWidth="1"/>
    <col min="12" max="14" width="4.5703125" style="31" customWidth="1"/>
    <col min="15" max="17" width="4.5703125" style="31" hidden="1" customWidth="1"/>
    <col min="18" max="18" width="9.7109375" style="31" customWidth="1"/>
    <col min="19" max="24" width="4.5703125" style="31" hidden="1" customWidth="1"/>
    <col min="25" max="27" width="4.5703125" style="31" customWidth="1"/>
    <col min="28" max="30" width="4.5703125" style="31" hidden="1" customWidth="1"/>
    <col min="31" max="31" width="9.7109375" style="31" bestFit="1" customWidth="1"/>
    <col min="32" max="32" width="5" style="31" customWidth="1"/>
    <col min="33" max="38" width="4.5703125" style="31" hidden="1" customWidth="1"/>
    <col min="39" max="41" width="4.5703125" style="31" customWidth="1"/>
    <col min="42" max="44" width="4.5703125" style="31" hidden="1" customWidth="1"/>
    <col min="45" max="45" width="9.7109375" style="31" customWidth="1"/>
    <col min="46" max="51" width="4.5703125" style="31" hidden="1" customWidth="1"/>
    <col min="52" max="54" width="4.5703125" style="31" customWidth="1"/>
    <col min="55" max="57" width="4.5703125" style="31" hidden="1" customWidth="1"/>
    <col min="58" max="58" width="9.7109375" style="31" bestFit="1" customWidth="1"/>
    <col min="59" max="59" width="4.5703125" style="31" customWidth="1"/>
    <col min="60" max="60" width="7.28515625" style="31" customWidth="1"/>
    <col min="61" max="62" width="10.5703125" customWidth="1"/>
    <col min="63" max="63" width="9.42578125" customWidth="1"/>
  </cols>
  <sheetData>
    <row r="1" spans="1:62" ht="15">
      <c r="F1" s="50"/>
      <c r="G1" s="50"/>
      <c r="H1" s="50"/>
      <c r="I1" s="50"/>
      <c r="J1" s="50"/>
      <c r="K1" s="50"/>
      <c r="L1" s="50"/>
      <c r="M1" s="50"/>
      <c r="N1" s="50"/>
      <c r="O1" s="50"/>
      <c r="P1" s="50"/>
      <c r="Q1" s="50"/>
      <c r="R1" s="50"/>
      <c r="S1" s="50"/>
      <c r="T1" s="50"/>
      <c r="U1" s="50"/>
      <c r="V1" s="50"/>
      <c r="W1" s="50"/>
      <c r="X1" s="50"/>
      <c r="Y1" s="50"/>
      <c r="Z1" s="50"/>
      <c r="AA1" s="50"/>
      <c r="AB1" s="50"/>
      <c r="AC1" s="50"/>
      <c r="AD1" s="50"/>
      <c r="AE1" s="50"/>
      <c r="AF1"/>
      <c r="AG1"/>
      <c r="AH1"/>
      <c r="AI1"/>
      <c r="AJ1" s="50"/>
      <c r="AK1" s="50"/>
      <c r="AL1" s="50"/>
      <c r="AM1" s="50"/>
      <c r="AN1" s="50"/>
      <c r="AO1" s="50"/>
      <c r="AP1" s="50"/>
      <c r="AQ1" s="50"/>
      <c r="AR1" s="50"/>
      <c r="AS1"/>
      <c r="AT1"/>
      <c r="AU1"/>
      <c r="AV1"/>
      <c r="AW1" s="50"/>
      <c r="AX1" s="50"/>
      <c r="AY1" s="50"/>
      <c r="AZ1" s="50"/>
      <c r="BA1" s="50"/>
      <c r="BB1" s="50"/>
      <c r="BC1" s="50"/>
      <c r="BD1" s="50"/>
      <c r="BE1" s="50"/>
      <c r="BF1"/>
      <c r="BG1"/>
      <c r="BH1"/>
    </row>
    <row r="2" spans="1:62" ht="15">
      <c r="F2" s="50"/>
      <c r="G2" s="50"/>
      <c r="H2" s="50"/>
      <c r="I2" s="50"/>
      <c r="J2" s="50"/>
      <c r="K2" s="50"/>
      <c r="L2" s="50"/>
      <c r="M2" s="50"/>
      <c r="N2" s="50"/>
      <c r="O2" s="50"/>
      <c r="P2" s="50"/>
      <c r="Q2" s="50"/>
      <c r="R2" s="50"/>
      <c r="S2" s="50"/>
      <c r="T2" s="50"/>
      <c r="U2" s="50"/>
      <c r="V2" s="50"/>
      <c r="W2" s="50"/>
      <c r="X2" s="50"/>
      <c r="Y2" s="50"/>
      <c r="Z2" s="50"/>
      <c r="AA2" s="50"/>
      <c r="AB2" s="50"/>
      <c r="AC2" s="50"/>
      <c r="AD2" s="50"/>
      <c r="AE2" s="50"/>
      <c r="AF2"/>
      <c r="AG2"/>
      <c r="AH2"/>
      <c r="AI2"/>
      <c r="AJ2" s="50"/>
      <c r="AK2" s="50"/>
      <c r="AL2" s="50"/>
      <c r="AM2" s="50"/>
      <c r="AN2" s="50"/>
      <c r="AO2" s="50"/>
      <c r="AP2" s="50"/>
      <c r="AQ2" s="50"/>
      <c r="AR2" s="50"/>
      <c r="AS2"/>
      <c r="AT2"/>
      <c r="AU2"/>
      <c r="AV2"/>
      <c r="AW2" s="50"/>
      <c r="AX2" s="50"/>
      <c r="AY2" s="50"/>
      <c r="AZ2" s="50"/>
      <c r="BA2" s="50"/>
      <c r="BB2" s="50"/>
      <c r="BC2" s="50"/>
      <c r="BD2" s="50"/>
      <c r="BE2" s="50"/>
      <c r="BF2"/>
      <c r="BG2"/>
      <c r="BH2"/>
    </row>
    <row r="3" spans="1:62" ht="15">
      <c r="F3" s="50"/>
      <c r="G3" s="50"/>
      <c r="H3" s="50"/>
      <c r="I3" s="50"/>
      <c r="J3" s="50"/>
      <c r="K3" s="50"/>
      <c r="L3" s="50"/>
      <c r="M3" s="50"/>
      <c r="N3" s="50"/>
      <c r="O3" s="50"/>
      <c r="P3" s="50"/>
      <c r="Q3" s="50"/>
      <c r="R3" s="50"/>
      <c r="S3" s="50"/>
      <c r="T3" s="50"/>
      <c r="U3" s="50"/>
      <c r="V3" s="50"/>
      <c r="W3" s="50"/>
      <c r="X3" s="50"/>
      <c r="Y3" s="50"/>
      <c r="Z3" s="50"/>
      <c r="AA3" s="50"/>
      <c r="AB3" s="50"/>
      <c r="AC3" s="50"/>
      <c r="AD3" s="50"/>
      <c r="AE3" s="50"/>
      <c r="AF3"/>
      <c r="AG3"/>
      <c r="AH3"/>
      <c r="AI3"/>
      <c r="AJ3" s="50"/>
      <c r="AK3" s="50"/>
      <c r="AL3" s="50"/>
      <c r="AM3" s="50"/>
      <c r="AN3" s="50"/>
      <c r="AO3" s="50"/>
      <c r="AP3" s="50"/>
      <c r="AQ3" s="50"/>
      <c r="AR3" s="50"/>
      <c r="AS3"/>
      <c r="AT3"/>
      <c r="AU3"/>
      <c r="AV3"/>
      <c r="AW3" s="50"/>
      <c r="AX3" s="50"/>
      <c r="AY3" s="50"/>
      <c r="AZ3" s="50"/>
      <c r="BA3" s="50"/>
      <c r="BB3" s="50"/>
      <c r="BC3" s="50"/>
      <c r="BD3" s="50"/>
      <c r="BE3" s="50"/>
      <c r="BF3"/>
      <c r="BG3"/>
      <c r="BH3"/>
    </row>
    <row r="4" spans="1:62" ht="15">
      <c r="F4" s="50"/>
      <c r="G4" s="50"/>
      <c r="H4" s="50"/>
      <c r="I4" s="50"/>
      <c r="J4" s="50"/>
      <c r="K4" s="50"/>
      <c r="L4" s="50"/>
      <c r="M4" s="50"/>
      <c r="N4" s="50"/>
      <c r="O4" s="50"/>
      <c r="P4" s="50"/>
      <c r="Q4" s="50"/>
      <c r="R4" s="50"/>
      <c r="S4" s="50"/>
      <c r="T4" s="50"/>
      <c r="U4" s="50"/>
      <c r="V4" s="50"/>
      <c r="W4" s="50"/>
      <c r="X4" s="50"/>
      <c r="Y4" s="50"/>
      <c r="Z4" s="50"/>
      <c r="AA4" s="50"/>
      <c r="AB4" s="50"/>
      <c r="AC4" s="50"/>
      <c r="AD4" s="50"/>
      <c r="AE4" s="50"/>
      <c r="AF4"/>
      <c r="AG4"/>
      <c r="AH4"/>
      <c r="AI4"/>
      <c r="AJ4" s="50"/>
      <c r="AK4" s="50"/>
      <c r="AL4" s="50"/>
      <c r="AM4" s="50"/>
      <c r="AN4" s="50"/>
      <c r="AO4" s="50"/>
      <c r="AP4" s="50"/>
      <c r="AQ4" s="50"/>
      <c r="AR4" s="50"/>
      <c r="AS4"/>
      <c r="AT4"/>
      <c r="AU4"/>
      <c r="AV4"/>
      <c r="AW4" s="50"/>
      <c r="AX4" s="50"/>
      <c r="AY4" s="50"/>
      <c r="AZ4" s="50"/>
      <c r="BA4" s="50"/>
      <c r="BB4" s="50"/>
      <c r="BC4" s="50"/>
      <c r="BD4" s="50"/>
      <c r="BE4" s="50"/>
      <c r="BF4"/>
      <c r="BG4"/>
      <c r="BH4"/>
    </row>
    <row r="5" spans="1:62" ht="18" customHeight="1">
      <c r="A5"/>
      <c r="B5" s="269"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2" ht="18" customHeight="1">
      <c r="A6"/>
      <c r="B6" s="270" t="str">
        <f>IF(Indice_index!$Z$1=1,"Setembro de 2025","September 2025")</f>
        <v>Setembro de 2025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2" ht="48.75" customHeight="1">
      <c r="A7" s="11"/>
      <c r="B7" s="12"/>
      <c r="C7" s="12"/>
      <c r="D7" s="12"/>
      <c r="E7" s="13"/>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0"/>
      <c r="AU7" s="10"/>
      <c r="AV7" s="10"/>
      <c r="AW7" s="11"/>
      <c r="AX7" s="11"/>
      <c r="AY7" s="11"/>
      <c r="AZ7" s="11"/>
      <c r="BA7" s="11"/>
      <c r="BB7" s="11"/>
      <c r="BC7" s="11"/>
      <c r="BD7" s="11"/>
      <c r="BE7" s="11"/>
      <c r="BF7" s="10"/>
      <c r="BG7" s="10"/>
      <c r="BH7" s="10"/>
    </row>
    <row r="8" spans="1:62" ht="15.75">
      <c r="B8" s="116" t="str">
        <f>IF(Indice_index!$Z$1=1,"Quadro 25 - Fatores explicativos com efeito diferenciado em Contas Nacionais","25 - Explanatory Factors with Different Effects in National Accounts")</f>
        <v>Quadro 25 - Fatores explicativos com efeito diferenciado em Contas Nacionais</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2"/>
    </row>
    <row r="9" spans="1:62" ht="15">
      <c r="B9" s="3" t="str">
        <f>+'3 - Conta AC + SS'!B9</f>
        <v>Período: janeiro a setembro</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t="str">
        <f>IF(Indice_index!$Z$1=1,"€ Milhões","€ Millions")</f>
        <v>€ Milhões</v>
      </c>
      <c r="BJ9" s="3"/>
    </row>
    <row r="10" spans="1:62" ht="26.25" customHeight="1">
      <c r="B10" s="483"/>
      <c r="C10" s="483" t="str">
        <f>IF(Indice_index!$Z$1=1,"Classificação económica","Economic classification")</f>
        <v>Classificação económica</v>
      </c>
      <c r="D10" s="483" t="str">
        <f>IF(Indice_index!$Z$1=1,"Operação contas nacionais","National accounts transaction")</f>
        <v>Operação contas nacionais</v>
      </c>
      <c r="E10" s="483" t="str">
        <f>IF(Indice_index!$Z$1=1,"Descrição da operação","Transaction Description")</f>
        <v>Descrição da operação</v>
      </c>
      <c r="F10" s="378" t="str">
        <f>IF(Indice_index!$Z$1=1,"Impacto em Contabilidade Pública (CP)","Impact on Public Accounting (PA)")</f>
        <v>Impacto em Contabilidade Pública (CP)</v>
      </c>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80"/>
      <c r="AG10" s="480" t="str">
        <f>IF(Indice_index!$Z$1=1,"Impacto em Contabilidade Nacional (CN)","Impact on National Accounts (NA)")</f>
        <v>Impacto em Contabilidade Nacional (CN)</v>
      </c>
      <c r="AH10" s="481"/>
      <c r="AI10" s="481"/>
      <c r="AJ10" s="481"/>
      <c r="AK10" s="481"/>
      <c r="AL10" s="481"/>
      <c r="AM10" s="481"/>
      <c r="AN10" s="481"/>
      <c r="AO10" s="481"/>
      <c r="AP10" s="481"/>
      <c r="AQ10" s="481"/>
      <c r="AR10" s="481"/>
      <c r="AS10" s="481"/>
      <c r="AT10" s="481"/>
      <c r="AU10" s="481"/>
      <c r="AV10" s="481"/>
      <c r="AW10" s="481"/>
      <c r="AX10" s="481"/>
      <c r="AY10" s="481"/>
      <c r="AZ10" s="481"/>
      <c r="BA10" s="481"/>
      <c r="BB10" s="481"/>
      <c r="BC10" s="481"/>
      <c r="BD10" s="481"/>
      <c r="BE10" s="481"/>
      <c r="BF10" s="481"/>
      <c r="BG10" s="482"/>
      <c r="BH10" s="246" t="str">
        <f>IF(Indice_index!$Z$1=1,"CN vs CP [*]","NA vs PA [*]")</f>
        <v>CN vs CP [*]</v>
      </c>
    </row>
    <row r="11" spans="1:62" ht="15">
      <c r="B11" s="485"/>
      <c r="C11" s="485"/>
      <c r="D11" s="485"/>
      <c r="E11" s="485"/>
      <c r="F11" s="378">
        <v>2024</v>
      </c>
      <c r="G11" s="379"/>
      <c r="H11" s="379"/>
      <c r="I11" s="379"/>
      <c r="J11" s="379"/>
      <c r="K11" s="379"/>
      <c r="L11" s="379"/>
      <c r="M11" s="379"/>
      <c r="N11" s="379"/>
      <c r="O11" s="379"/>
      <c r="P11" s="379"/>
      <c r="Q11" s="379"/>
      <c r="R11" s="380"/>
      <c r="S11" s="378">
        <v>2025</v>
      </c>
      <c r="T11" s="379"/>
      <c r="U11" s="379"/>
      <c r="V11" s="379"/>
      <c r="W11" s="379"/>
      <c r="X11" s="379"/>
      <c r="Y11" s="379"/>
      <c r="Z11" s="379"/>
      <c r="AA11" s="379"/>
      <c r="AB11" s="379"/>
      <c r="AC11" s="379"/>
      <c r="AD11" s="379"/>
      <c r="AE11" s="380"/>
      <c r="AF11" s="483" t="str">
        <f>IF(Indice_index!$Z$1=1,"VHA","Y-O-Y")</f>
        <v>VHA</v>
      </c>
      <c r="AG11" s="378">
        <v>2024</v>
      </c>
      <c r="AH11" s="379"/>
      <c r="AI11" s="379"/>
      <c r="AJ11" s="379"/>
      <c r="AK11" s="379"/>
      <c r="AL11" s="379"/>
      <c r="AM11" s="379"/>
      <c r="AN11" s="379"/>
      <c r="AO11" s="379"/>
      <c r="AP11" s="379"/>
      <c r="AQ11" s="379"/>
      <c r="AR11" s="379"/>
      <c r="AS11" s="380"/>
      <c r="AT11" s="378">
        <v>2025</v>
      </c>
      <c r="AU11" s="379"/>
      <c r="AV11" s="379"/>
      <c r="AW11" s="379"/>
      <c r="AX11" s="379"/>
      <c r="AY11" s="379"/>
      <c r="AZ11" s="379"/>
      <c r="BA11" s="379"/>
      <c r="BB11" s="379"/>
      <c r="BC11" s="379"/>
      <c r="BD11" s="379"/>
      <c r="BE11" s="379"/>
      <c r="BF11" s="380"/>
      <c r="BG11" s="483" t="str">
        <f>IF(Indice_index!$Z$1=1,"VHA","Y-O-Y")</f>
        <v>VHA</v>
      </c>
      <c r="BH11" s="483" t="str">
        <f>IF(Indice_index!$Z$1=1,"VHA","Y-O-Y")</f>
        <v>VHA</v>
      </c>
    </row>
    <row r="12" spans="1:62" ht="25.9" customHeight="1">
      <c r="B12" s="486"/>
      <c r="C12" s="486"/>
      <c r="D12" s="486"/>
      <c r="E12" s="486"/>
      <c r="F12" s="247" t="str">
        <f>IF(Indice_index!$Z$1=1,"jan","Jan")</f>
        <v>jan</v>
      </c>
      <c r="G12" s="247" t="str">
        <f>IF(Indice_index!$Z$1=1,"fev","Feb")</f>
        <v>fev</v>
      </c>
      <c r="H12" s="247" t="str">
        <f>IF(Indice_index!$Z$1=1,"mar","Mar")</f>
        <v>mar</v>
      </c>
      <c r="I12" s="247" t="str">
        <f>IF(Indice_index!$Z$1=1,"abr","Apr")</f>
        <v>abr</v>
      </c>
      <c r="J12" s="247" t="str">
        <f>IF(Indice_index!$Z$1=1,"mai","May")</f>
        <v>mai</v>
      </c>
      <c r="K12" s="247" t="str">
        <f>IF(Indice_index!$Z$1=1,"jun","Jun")</f>
        <v>jun</v>
      </c>
      <c r="L12" s="247" t="str">
        <f>IF(Indice_index!$Z$1=1,"jul","Jul")</f>
        <v>jul</v>
      </c>
      <c r="M12" s="247" t="str">
        <f>IF(Indice_index!$Z$1=1,"ago","Aug")</f>
        <v>ago</v>
      </c>
      <c r="N12" s="247" t="str">
        <f>IF(Indice_index!$Z$1=1,"set","Sep")</f>
        <v>set</v>
      </c>
      <c r="O12" s="247" t="str">
        <f>IF(Indice_index!$Z$1=1,"out","Oct")</f>
        <v>out</v>
      </c>
      <c r="P12" s="247" t="str">
        <f>IF(Indice_index!$Z$1=1,"nov","Nov")</f>
        <v>nov</v>
      </c>
      <c r="Q12" s="247" t="str">
        <f>IF(Indice_index!$Z$1=1,"dez","Dec")</f>
        <v>dez</v>
      </c>
      <c r="R12" s="247" t="str">
        <f>IF(Indice_index!$Z$1=1,"Acumulado","Accumulated Execution")</f>
        <v>Acumulado</v>
      </c>
      <c r="S12" s="247" t="str">
        <f>IF(Indice_index!$Z$1=1,"jan","Jan")</f>
        <v>jan</v>
      </c>
      <c r="T12" s="247" t="str">
        <f>IF(Indice_index!$Z$1=1,"fev","Feb")</f>
        <v>fev</v>
      </c>
      <c r="U12" s="247" t="str">
        <f>IF(Indice_index!$Z$1=1,"mar","Mar")</f>
        <v>mar</v>
      </c>
      <c r="V12" s="247" t="str">
        <f>IF(Indice_index!$Z$1=1,"abr","Apr")</f>
        <v>abr</v>
      </c>
      <c r="W12" s="247" t="str">
        <f>IF(Indice_index!$Z$1=1,"mai","May")</f>
        <v>mai</v>
      </c>
      <c r="X12" s="247" t="str">
        <f>IF(Indice_index!$Z$1=1,"jun","Jun")</f>
        <v>jun</v>
      </c>
      <c r="Y12" s="247" t="str">
        <f>IF(Indice_index!$Z$1=1,"jul","Jul")</f>
        <v>jul</v>
      </c>
      <c r="Z12" s="247" t="str">
        <f>IF(Indice_index!$Z$1=1,"ago","Aug")</f>
        <v>ago</v>
      </c>
      <c r="AA12" s="247" t="str">
        <f>IF(Indice_index!$Z$1=1,"set","Sep")</f>
        <v>set</v>
      </c>
      <c r="AB12" s="247" t="str">
        <f>IF(Indice_index!$Z$1=1,"out","Oct")</f>
        <v>out</v>
      </c>
      <c r="AC12" s="247" t="str">
        <f>IF(Indice_index!$Z$1=1,"nov","Nov")</f>
        <v>nov</v>
      </c>
      <c r="AD12" s="247" t="str">
        <f>IF(Indice_index!$Z$1=1,"dez","Dec")</f>
        <v>dez</v>
      </c>
      <c r="AE12" s="247" t="str">
        <f>IF(Indice_index!$Z$1=1,"Acumulado","Accumulated Execution")</f>
        <v>Acumulado</v>
      </c>
      <c r="AF12" s="484"/>
      <c r="AG12" s="247" t="str">
        <f>IF(Indice_index!$Z$1=1,"jan","Jan")</f>
        <v>jan</v>
      </c>
      <c r="AH12" s="247" t="str">
        <f>IF(Indice_index!$Z$1=1,"fev","Feb")</f>
        <v>fev</v>
      </c>
      <c r="AI12" s="247" t="str">
        <f>IF(Indice_index!$Z$1=1,"mar","Mar")</f>
        <v>mar</v>
      </c>
      <c r="AJ12" s="247" t="str">
        <f>IF(Indice_index!$Z$1=1,"abr","Apr")</f>
        <v>abr</v>
      </c>
      <c r="AK12" s="247" t="str">
        <f>IF(Indice_index!$Z$1=1,"mai","May")</f>
        <v>mai</v>
      </c>
      <c r="AL12" s="247" t="str">
        <f>IF(Indice_index!$Z$1=1,"jun","Jun")</f>
        <v>jun</v>
      </c>
      <c r="AM12" s="247" t="str">
        <f>IF(Indice_index!$Z$1=1,"jul","Jul")</f>
        <v>jul</v>
      </c>
      <c r="AN12" s="247" t="str">
        <f>IF(Indice_index!$Z$1=1,"ago","Aug")</f>
        <v>ago</v>
      </c>
      <c r="AO12" s="247" t="str">
        <f>IF(Indice_index!$Z$1=1,"set","Sep")</f>
        <v>set</v>
      </c>
      <c r="AP12" s="247" t="str">
        <f>IF(Indice_index!$Z$1=1,"out","Oct")</f>
        <v>out</v>
      </c>
      <c r="AQ12" s="247" t="str">
        <f>IF(Indice_index!$Z$1=1,"nov","Nov")</f>
        <v>nov</v>
      </c>
      <c r="AR12" s="247" t="str">
        <f>IF(Indice_index!$Z$1=1,"dez","Dec")</f>
        <v>dez</v>
      </c>
      <c r="AS12" s="247" t="str">
        <f>IF(Indice_index!$Z$1=1,"Acumulado","Accumulated Execution")</f>
        <v>Acumulado</v>
      </c>
      <c r="AT12" s="247" t="str">
        <f>IF(Indice_index!$Z$1=1,"jan","Jan")</f>
        <v>jan</v>
      </c>
      <c r="AU12" s="247" t="str">
        <f>IF(Indice_index!$Z$1=1,"fev","Feb")</f>
        <v>fev</v>
      </c>
      <c r="AV12" s="247" t="str">
        <f>IF(Indice_index!$Z$1=1,"mar","Mar")</f>
        <v>mar</v>
      </c>
      <c r="AW12" s="247" t="str">
        <f>IF(Indice_index!$Z$1=1,"abr","Apr")</f>
        <v>abr</v>
      </c>
      <c r="AX12" s="247" t="str">
        <f>IF(Indice_index!$Z$1=1,"mai","May")</f>
        <v>mai</v>
      </c>
      <c r="AY12" s="247" t="str">
        <f>IF(Indice_index!$Z$1=1,"jun","Jun")</f>
        <v>jun</v>
      </c>
      <c r="AZ12" s="247" t="str">
        <f>IF(Indice_index!$Z$1=1,"jul","Jul")</f>
        <v>jul</v>
      </c>
      <c r="BA12" s="247" t="str">
        <f>IF(Indice_index!$Z$1=1,"ago","Aug")</f>
        <v>ago</v>
      </c>
      <c r="BB12" s="247" t="str">
        <f>IF(Indice_index!$Z$1=1,"set","Sep")</f>
        <v>set</v>
      </c>
      <c r="BC12" s="247" t="str">
        <f>IF(Indice_index!$Z$1=1,"out","Oct")</f>
        <v>out</v>
      </c>
      <c r="BD12" s="247" t="str">
        <f>IF(Indice_index!$Z$1=1,"nov","Nov")</f>
        <v>nov</v>
      </c>
      <c r="BE12" s="247" t="str">
        <f>IF(Indice_index!$Z$1=1,"dez","Dec")</f>
        <v>dez</v>
      </c>
      <c r="BF12" s="247" t="str">
        <f>IF(Indice_index!$Z$1=1,"Acumulado","Accumulated Execution")</f>
        <v>Acumulado</v>
      </c>
      <c r="BG12" s="484"/>
      <c r="BH12" s="484"/>
    </row>
    <row r="13" spans="1:62" ht="24.75" customHeight="1">
      <c r="B13" s="240" t="str">
        <f>IF(Indice_index!$Z$1=1,"Efeito na Receita","Effect on Revenue")</f>
        <v>Efeito na Receita</v>
      </c>
      <c r="C13" s="241"/>
      <c r="D13" s="241"/>
      <c r="E13" s="241"/>
      <c r="F13" s="251">
        <f>SUM(F14:F18)</f>
        <v>49.004178000000003</v>
      </c>
      <c r="G13" s="251">
        <f t="shared" ref="G13:Q13" si="0">SUM(G14:G18)</f>
        <v>0</v>
      </c>
      <c r="H13" s="251">
        <f t="shared" si="0"/>
        <v>-116.97519762</v>
      </c>
      <c r="I13" s="251">
        <f t="shared" si="0"/>
        <v>0</v>
      </c>
      <c r="J13" s="251">
        <f t="shared" si="0"/>
        <v>0</v>
      </c>
      <c r="K13" s="251">
        <f t="shared" si="0"/>
        <v>32.982836149999997</v>
      </c>
      <c r="L13" s="251">
        <f t="shared" si="0"/>
        <v>200</v>
      </c>
      <c r="M13" s="251">
        <f t="shared" si="0"/>
        <v>8.3006661299999998</v>
      </c>
      <c r="N13" s="251">
        <f t="shared" si="0"/>
        <v>0</v>
      </c>
      <c r="O13" s="251">
        <f t="shared" si="0"/>
        <v>0</v>
      </c>
      <c r="P13" s="251">
        <f t="shared" si="0"/>
        <v>0</v>
      </c>
      <c r="Q13" s="251">
        <f t="shared" si="0"/>
        <v>0</v>
      </c>
      <c r="R13" s="251">
        <f t="shared" ref="R13:R23" si="1">SUM(F13:Q13)</f>
        <v>173.31248266</v>
      </c>
      <c r="S13" s="251">
        <f>SUM(S14:S18)</f>
        <v>0</v>
      </c>
      <c r="T13" s="251">
        <f t="shared" ref="T13:AD13" si="2">SUM(T14:T18)</f>
        <v>65</v>
      </c>
      <c r="U13" s="251">
        <f t="shared" si="2"/>
        <v>0</v>
      </c>
      <c r="V13" s="251">
        <f t="shared" si="2"/>
        <v>0</v>
      </c>
      <c r="W13" s="251">
        <f t="shared" si="2"/>
        <v>0</v>
      </c>
      <c r="X13" s="251">
        <f t="shared" si="2"/>
        <v>22.705269949999998</v>
      </c>
      <c r="Y13" s="251">
        <f t="shared" si="2"/>
        <v>0</v>
      </c>
      <c r="Z13" s="251">
        <f t="shared" si="2"/>
        <v>165.58857262000001</v>
      </c>
      <c r="AA13" s="251">
        <f t="shared" si="2"/>
        <v>0</v>
      </c>
      <c r="AB13" s="251">
        <f t="shared" si="2"/>
        <v>0</v>
      </c>
      <c r="AC13" s="251">
        <f t="shared" si="2"/>
        <v>0</v>
      </c>
      <c r="AD13" s="251">
        <f t="shared" si="2"/>
        <v>0</v>
      </c>
      <c r="AE13" s="251">
        <f t="shared" ref="AE13:AE23" si="3">SUM(S13:AD13)</f>
        <v>253.29384257000001</v>
      </c>
      <c r="AF13" s="251">
        <f>AE13-R13</f>
        <v>79.981359910000009</v>
      </c>
      <c r="AG13" s="251">
        <f>SUM(AG14:AG18)</f>
        <v>145.97784211999999</v>
      </c>
      <c r="AH13" s="251">
        <f t="shared" ref="AH13:AR13" si="4">SUM(AH14:AH18)</f>
        <v>356.26226238999999</v>
      </c>
      <c r="AI13" s="251">
        <f t="shared" si="4"/>
        <v>-158.71203535000001</v>
      </c>
      <c r="AJ13" s="251">
        <f t="shared" si="4"/>
        <v>-137.58254255</v>
      </c>
      <c r="AK13" s="251">
        <f t="shared" si="4"/>
        <v>183.36949898000009</v>
      </c>
      <c r="AL13" s="251">
        <f t="shared" si="4"/>
        <v>-82.00898015000007</v>
      </c>
      <c r="AM13" s="251">
        <f t="shared" si="4"/>
        <v>-77.422807389999974</v>
      </c>
      <c r="AN13" s="251">
        <f t="shared" si="4"/>
        <v>377.07670323999992</v>
      </c>
      <c r="AO13" s="251">
        <f t="shared" si="4"/>
        <v>-86.761301739999908</v>
      </c>
      <c r="AP13" s="251">
        <f t="shared" si="4"/>
        <v>0</v>
      </c>
      <c r="AQ13" s="251">
        <f t="shared" si="4"/>
        <v>0</v>
      </c>
      <c r="AR13" s="251">
        <f t="shared" si="4"/>
        <v>0</v>
      </c>
      <c r="AS13" s="251">
        <f t="shared" ref="AS13:AS23" si="5">SUM(AG13:AR13)</f>
        <v>520.19863955000005</v>
      </c>
      <c r="AT13" s="251">
        <f>SUM(AT14:AT18)</f>
        <v>157.66350491</v>
      </c>
      <c r="AU13" s="251">
        <f t="shared" ref="AU13:BE13" si="6">SUM(AU14:AU18)</f>
        <v>421.61882452333339</v>
      </c>
      <c r="AV13" s="251">
        <f t="shared" si="6"/>
        <v>-163.61743789000008</v>
      </c>
      <c r="AW13" s="251">
        <f t="shared" si="6"/>
        <v>-152.28502104166665</v>
      </c>
      <c r="AX13" s="251">
        <f t="shared" si="6"/>
        <v>173.44416979333334</v>
      </c>
      <c r="AY13" s="251">
        <f t="shared" si="6"/>
        <v>-92.38601029833336</v>
      </c>
      <c r="AZ13" s="251">
        <f t="shared" si="6"/>
        <v>-79.948004026666695</v>
      </c>
      <c r="BA13" s="251">
        <f t="shared" si="6"/>
        <v>430.16292463000008</v>
      </c>
      <c r="BB13" s="251">
        <f t="shared" si="6"/>
        <v>-82.111273008333342</v>
      </c>
      <c r="BC13" s="251">
        <f t="shared" si="6"/>
        <v>0</v>
      </c>
      <c r="BD13" s="251">
        <f t="shared" si="6"/>
        <v>0</v>
      </c>
      <c r="BE13" s="251">
        <f t="shared" si="6"/>
        <v>0</v>
      </c>
      <c r="BF13" s="251">
        <f t="shared" ref="BF13:BF23" si="7">SUM(AT13:BE13)</f>
        <v>612.54167759166671</v>
      </c>
      <c r="BG13" s="251">
        <f t="shared" ref="BG13:BG23" si="8">BF13-AS13</f>
        <v>92.343038041666659</v>
      </c>
      <c r="BH13" s="251">
        <f t="shared" ref="BH13:BH23" si="9">BG13-AF13</f>
        <v>12.36167813166665</v>
      </c>
    </row>
    <row r="14" spans="1:62" ht="24.75" customHeight="1">
      <c r="B14" s="345" t="s">
        <v>420</v>
      </c>
      <c r="C14" s="346" t="str">
        <f>IF(Indice_index!$Z$1=1,"Impostos indiretos","Indirect taxes")</f>
        <v>Impostos indiretos</v>
      </c>
      <c r="D14" s="346" t="str">
        <f>IF(Indice_index!$Z$1=1,"Impostos sobre a produção","Taxes on production")</f>
        <v>Impostos sobre a produção</v>
      </c>
      <c r="E14" s="346" t="str">
        <f>IF(Indice_index!$Z$1=1,"Flexibilização de pagamentos de impostos","Flexibility in tax payments")</f>
        <v>Flexibilização de pagamentos de impostos</v>
      </c>
      <c r="F14" s="347">
        <v>0</v>
      </c>
      <c r="G14" s="347">
        <v>0</v>
      </c>
      <c r="H14" s="347">
        <v>0</v>
      </c>
      <c r="I14" s="347">
        <v>0</v>
      </c>
      <c r="J14" s="347">
        <v>0</v>
      </c>
      <c r="K14" s="347">
        <v>0</v>
      </c>
      <c r="L14" s="347">
        <v>0</v>
      </c>
      <c r="M14" s="347">
        <v>0</v>
      </c>
      <c r="N14" s="347">
        <v>0</v>
      </c>
      <c r="O14" s="347"/>
      <c r="P14" s="347"/>
      <c r="Q14" s="347"/>
      <c r="R14" s="347">
        <f t="shared" si="1"/>
        <v>0</v>
      </c>
      <c r="S14" s="347">
        <v>0</v>
      </c>
      <c r="T14" s="347">
        <v>0</v>
      </c>
      <c r="U14" s="347">
        <v>0</v>
      </c>
      <c r="V14" s="347">
        <v>0</v>
      </c>
      <c r="W14" s="347">
        <v>0</v>
      </c>
      <c r="X14" s="347">
        <v>0</v>
      </c>
      <c r="Y14" s="347">
        <v>0</v>
      </c>
      <c r="Z14" s="347">
        <v>0</v>
      </c>
      <c r="AA14" s="347">
        <v>0</v>
      </c>
      <c r="AB14" s="347"/>
      <c r="AC14" s="347"/>
      <c r="AD14" s="347"/>
      <c r="AE14" s="347">
        <f t="shared" si="3"/>
        <v>0</v>
      </c>
      <c r="AF14" s="347">
        <f t="shared" ref="AF14:AF23" si="10">AE14-R14</f>
        <v>0</v>
      </c>
      <c r="AG14" s="347">
        <v>145.97784211999999</v>
      </c>
      <c r="AH14" s="347">
        <v>356.26226238999999</v>
      </c>
      <c r="AI14" s="347">
        <v>-158.71203535000001</v>
      </c>
      <c r="AJ14" s="347">
        <v>-137.58254255</v>
      </c>
      <c r="AK14" s="347">
        <v>183.36949898000009</v>
      </c>
      <c r="AL14" s="347">
        <v>-82.00898015000007</v>
      </c>
      <c r="AM14" s="347">
        <v>-77.422807389999974</v>
      </c>
      <c r="AN14" s="347">
        <v>377.07670323999992</v>
      </c>
      <c r="AO14" s="347">
        <v>-86.761301739999908</v>
      </c>
      <c r="AP14" s="347"/>
      <c r="AQ14" s="347"/>
      <c r="AR14" s="347"/>
      <c r="AS14" s="347">
        <f t="shared" si="5"/>
        <v>520.19863955000005</v>
      </c>
      <c r="AT14" s="347">
        <v>157.66350491</v>
      </c>
      <c r="AU14" s="347">
        <v>421.61882452333339</v>
      </c>
      <c r="AV14" s="347">
        <v>-163.61743789000008</v>
      </c>
      <c r="AW14" s="347">
        <v>-152.28502104166665</v>
      </c>
      <c r="AX14" s="347">
        <v>173.44416979333334</v>
      </c>
      <c r="AY14" s="347">
        <v>-92.38601029833336</v>
      </c>
      <c r="AZ14" s="347">
        <v>-79.948004026666695</v>
      </c>
      <c r="BA14" s="347">
        <v>430.16292463000008</v>
      </c>
      <c r="BB14" s="347">
        <v>-82.111273008333342</v>
      </c>
      <c r="BC14" s="347"/>
      <c r="BD14" s="347"/>
      <c r="BE14" s="347"/>
      <c r="BF14" s="347">
        <f t="shared" si="7"/>
        <v>612.54167759166671</v>
      </c>
      <c r="BG14" s="347">
        <f t="shared" si="8"/>
        <v>92.343038041666659</v>
      </c>
      <c r="BH14" s="347">
        <f t="shared" si="9"/>
        <v>92.343038041666659</v>
      </c>
    </row>
    <row r="15" spans="1:62" ht="24.75" customHeight="1">
      <c r="B15" s="345" t="s">
        <v>421</v>
      </c>
      <c r="C15" s="346" t="str">
        <f>IF(Indice_index!$Z$1=1,"Reposições não abatidas aos pagamentos","Refunds not deducted from payments")</f>
        <v>Reposições não abatidas aos pagamentos</v>
      </c>
      <c r="D15" s="348" t="s">
        <v>4</v>
      </c>
      <c r="E15" s="346" t="str">
        <f>IF(Indice_index!$Z$1=1,"RNAP - Contribuição financeira EU","EU financial contribution")</f>
        <v>RNAP - Contribuição financeira EU</v>
      </c>
      <c r="F15" s="347">
        <v>49.004178000000003</v>
      </c>
      <c r="G15" s="347">
        <v>0</v>
      </c>
      <c r="H15" s="347">
        <v>0</v>
      </c>
      <c r="I15" s="347">
        <v>0</v>
      </c>
      <c r="J15" s="347">
        <v>0</v>
      </c>
      <c r="K15" s="347">
        <v>0</v>
      </c>
      <c r="L15" s="347">
        <v>0</v>
      </c>
      <c r="M15" s="347">
        <v>0</v>
      </c>
      <c r="N15" s="347">
        <v>0</v>
      </c>
      <c r="O15" s="347"/>
      <c r="P15" s="347"/>
      <c r="Q15" s="347"/>
      <c r="R15" s="347">
        <f t="shared" si="1"/>
        <v>49.004178000000003</v>
      </c>
      <c r="S15" s="347">
        <v>0</v>
      </c>
      <c r="T15" s="347">
        <v>0</v>
      </c>
      <c r="U15" s="347">
        <v>0</v>
      </c>
      <c r="V15" s="347">
        <v>0</v>
      </c>
      <c r="W15" s="347">
        <v>0</v>
      </c>
      <c r="X15" s="347">
        <v>0</v>
      </c>
      <c r="Y15" s="347">
        <v>0</v>
      </c>
      <c r="Z15" s="347">
        <v>0</v>
      </c>
      <c r="AA15" s="347">
        <v>0</v>
      </c>
      <c r="AB15" s="347"/>
      <c r="AC15" s="347"/>
      <c r="AD15" s="347"/>
      <c r="AE15" s="347">
        <f t="shared" si="3"/>
        <v>0</v>
      </c>
      <c r="AF15" s="347">
        <f t="shared" si="10"/>
        <v>-49.004178000000003</v>
      </c>
      <c r="AG15" s="347">
        <v>0</v>
      </c>
      <c r="AH15" s="347">
        <v>0</v>
      </c>
      <c r="AI15" s="347">
        <v>0</v>
      </c>
      <c r="AJ15" s="347">
        <v>0</v>
      </c>
      <c r="AK15" s="347">
        <v>0</v>
      </c>
      <c r="AL15" s="347">
        <v>0</v>
      </c>
      <c r="AM15" s="347">
        <v>0</v>
      </c>
      <c r="AN15" s="347">
        <v>0</v>
      </c>
      <c r="AO15" s="347">
        <v>0</v>
      </c>
      <c r="AP15" s="347"/>
      <c r="AQ15" s="347"/>
      <c r="AR15" s="347"/>
      <c r="AS15" s="347">
        <f t="shared" si="5"/>
        <v>0</v>
      </c>
      <c r="AT15" s="347">
        <v>0</v>
      </c>
      <c r="AU15" s="347">
        <v>0</v>
      </c>
      <c r="AV15" s="347">
        <v>0</v>
      </c>
      <c r="AW15" s="347">
        <v>0</v>
      </c>
      <c r="AX15" s="347">
        <v>0</v>
      </c>
      <c r="AY15" s="347">
        <v>0</v>
      </c>
      <c r="AZ15" s="347">
        <v>0</v>
      </c>
      <c r="BA15" s="347">
        <v>0</v>
      </c>
      <c r="BB15" s="347">
        <v>0</v>
      </c>
      <c r="BC15" s="347"/>
      <c r="BD15" s="347"/>
      <c r="BE15" s="347"/>
      <c r="BF15" s="347">
        <f t="shared" si="7"/>
        <v>0</v>
      </c>
      <c r="BG15" s="347">
        <f t="shared" si="8"/>
        <v>0</v>
      </c>
      <c r="BH15" s="347">
        <f t="shared" si="9"/>
        <v>49.004178000000003</v>
      </c>
    </row>
    <row r="16" spans="1:62" ht="24.75" customHeight="1">
      <c r="B16" s="345" t="s">
        <v>454</v>
      </c>
      <c r="C16" s="346" t="str">
        <f>IF(Indice_index!$Z$1=1,"Reposições não abatidas aos pagamentos","Refunds not deducted from payments")</f>
        <v>Reposições não abatidas aos pagamentos</v>
      </c>
      <c r="D16" s="348" t="s">
        <v>4</v>
      </c>
      <c r="E16" s="346" t="str">
        <f>IF(Indice_index!$Z$1=1,"RNAP - Saldo de gerência","Management Balance")</f>
        <v>RNAP - Saldo de gerência</v>
      </c>
      <c r="F16" s="347">
        <v>0</v>
      </c>
      <c r="G16" s="347">
        <v>0</v>
      </c>
      <c r="H16" s="347">
        <v>0</v>
      </c>
      <c r="I16" s="347">
        <v>0</v>
      </c>
      <c r="J16" s="347">
        <v>0</v>
      </c>
      <c r="K16" s="347">
        <v>32.982836149999997</v>
      </c>
      <c r="L16" s="347">
        <v>0</v>
      </c>
      <c r="M16" s="347">
        <v>0</v>
      </c>
      <c r="N16" s="347">
        <v>0</v>
      </c>
      <c r="O16" s="347"/>
      <c r="P16" s="347"/>
      <c r="Q16" s="347"/>
      <c r="R16" s="347">
        <f t="shared" si="1"/>
        <v>32.982836149999997</v>
      </c>
      <c r="S16" s="347">
        <v>0</v>
      </c>
      <c r="T16" s="347">
        <v>65</v>
      </c>
      <c r="U16" s="347">
        <v>0</v>
      </c>
      <c r="V16" s="347">
        <v>0</v>
      </c>
      <c r="W16" s="347">
        <v>0</v>
      </c>
      <c r="X16" s="347">
        <v>22.705269949999998</v>
      </c>
      <c r="Y16" s="347">
        <v>0</v>
      </c>
      <c r="Z16" s="347">
        <v>165.58857262000001</v>
      </c>
      <c r="AA16" s="347">
        <v>0</v>
      </c>
      <c r="AB16" s="347"/>
      <c r="AC16" s="347"/>
      <c r="AD16" s="347"/>
      <c r="AE16" s="347">
        <f t="shared" si="3"/>
        <v>253.29384257000001</v>
      </c>
      <c r="AF16" s="347">
        <f t="shared" si="10"/>
        <v>220.31100642000001</v>
      </c>
      <c r="AG16" s="347">
        <v>0</v>
      </c>
      <c r="AH16" s="347">
        <v>0</v>
      </c>
      <c r="AI16" s="347">
        <v>0</v>
      </c>
      <c r="AJ16" s="347">
        <v>0</v>
      </c>
      <c r="AK16" s="347">
        <v>0</v>
      </c>
      <c r="AL16" s="347">
        <v>0</v>
      </c>
      <c r="AM16" s="347">
        <v>0</v>
      </c>
      <c r="AN16" s="347">
        <v>0</v>
      </c>
      <c r="AO16" s="347">
        <v>0</v>
      </c>
      <c r="AP16" s="347"/>
      <c r="AQ16" s="347"/>
      <c r="AR16" s="347"/>
      <c r="AS16" s="347">
        <f t="shared" si="5"/>
        <v>0</v>
      </c>
      <c r="AT16" s="347">
        <v>0</v>
      </c>
      <c r="AU16" s="347">
        <v>0</v>
      </c>
      <c r="AV16" s="347">
        <v>0</v>
      </c>
      <c r="AW16" s="347">
        <v>0</v>
      </c>
      <c r="AX16" s="347">
        <v>0</v>
      </c>
      <c r="AY16" s="347">
        <v>0</v>
      </c>
      <c r="AZ16" s="347">
        <v>0</v>
      </c>
      <c r="BA16" s="347">
        <v>0</v>
      </c>
      <c r="BB16" s="347">
        <v>0</v>
      </c>
      <c r="BC16" s="347"/>
      <c r="BD16" s="347"/>
      <c r="BE16" s="347"/>
      <c r="BF16" s="347">
        <f t="shared" si="7"/>
        <v>0</v>
      </c>
      <c r="BG16" s="347">
        <f t="shared" si="8"/>
        <v>0</v>
      </c>
      <c r="BH16" s="347">
        <f t="shared" si="9"/>
        <v>-220.31100642000001</v>
      </c>
    </row>
    <row r="17" spans="2:60" ht="24.75" customHeight="1">
      <c r="B17" s="345" t="s">
        <v>456</v>
      </c>
      <c r="C17" s="346" t="str">
        <f>IF(Indice_index!$Z$1=1,"Impostos diretos ","Direct taxes")</f>
        <v xml:space="preserve">Impostos diretos </v>
      </c>
      <c r="D17" s="348" t="s">
        <v>4</v>
      </c>
      <c r="E17" s="346" t="str">
        <f>IF(Indice_index!$Z$1=1,"Ativos por impostos diferidos","Deferred tax assets")</f>
        <v>Ativos por impostos diferidos</v>
      </c>
      <c r="F17" s="347">
        <v>0</v>
      </c>
      <c r="G17" s="347">
        <v>0</v>
      </c>
      <c r="H17" s="347">
        <v>-116.97519762</v>
      </c>
      <c r="I17" s="347">
        <v>0</v>
      </c>
      <c r="J17" s="347">
        <v>0</v>
      </c>
      <c r="K17" s="347">
        <v>0</v>
      </c>
      <c r="L17" s="347">
        <v>0</v>
      </c>
      <c r="M17" s="347">
        <v>0</v>
      </c>
      <c r="N17" s="347">
        <v>0</v>
      </c>
      <c r="O17" s="347"/>
      <c r="P17" s="347"/>
      <c r="Q17" s="347"/>
      <c r="R17" s="347">
        <f t="shared" si="1"/>
        <v>-116.97519762</v>
      </c>
      <c r="S17" s="347">
        <v>0</v>
      </c>
      <c r="T17" s="347">
        <v>0</v>
      </c>
      <c r="U17" s="347">
        <v>0</v>
      </c>
      <c r="V17" s="347">
        <v>0</v>
      </c>
      <c r="W17" s="347">
        <v>0</v>
      </c>
      <c r="X17" s="347">
        <v>0</v>
      </c>
      <c r="Y17" s="347">
        <v>0</v>
      </c>
      <c r="Z17" s="347">
        <v>0</v>
      </c>
      <c r="AA17" s="347">
        <v>0</v>
      </c>
      <c r="AB17" s="347"/>
      <c r="AC17" s="347"/>
      <c r="AD17" s="347"/>
      <c r="AE17" s="347">
        <f t="shared" ref="AE17:AE18" si="11">SUM(S17:AD17)</f>
        <v>0</v>
      </c>
      <c r="AF17" s="347">
        <f t="shared" ref="AF17:AF18" si="12">AE17-R17</f>
        <v>116.97519762</v>
      </c>
      <c r="AG17" s="347">
        <v>0</v>
      </c>
      <c r="AH17" s="347">
        <v>0</v>
      </c>
      <c r="AI17" s="347">
        <v>0</v>
      </c>
      <c r="AJ17" s="347">
        <v>0</v>
      </c>
      <c r="AK17" s="347">
        <v>0</v>
      </c>
      <c r="AL17" s="347">
        <v>0</v>
      </c>
      <c r="AM17" s="347">
        <v>0</v>
      </c>
      <c r="AN17" s="347">
        <v>0</v>
      </c>
      <c r="AO17" s="347">
        <v>0</v>
      </c>
      <c r="AP17" s="347"/>
      <c r="AQ17" s="347"/>
      <c r="AR17" s="347"/>
      <c r="AS17" s="347">
        <f t="shared" si="5"/>
        <v>0</v>
      </c>
      <c r="AT17" s="347">
        <v>0</v>
      </c>
      <c r="AU17" s="347">
        <v>0</v>
      </c>
      <c r="AV17" s="347">
        <v>0</v>
      </c>
      <c r="AW17" s="347">
        <v>0</v>
      </c>
      <c r="AX17" s="347">
        <v>0</v>
      </c>
      <c r="AY17" s="347">
        <v>0</v>
      </c>
      <c r="AZ17" s="347">
        <v>0</v>
      </c>
      <c r="BA17" s="347">
        <v>0</v>
      </c>
      <c r="BB17" s="347"/>
      <c r="BC17" s="347"/>
      <c r="BD17" s="347"/>
      <c r="BE17" s="347"/>
      <c r="BF17" s="347">
        <f t="shared" ref="BF17:BF18" si="13">SUM(AT17:BE17)</f>
        <v>0</v>
      </c>
      <c r="BG17" s="347">
        <f t="shared" ref="BG17:BG18" si="14">BF17-AS17</f>
        <v>0</v>
      </c>
      <c r="BH17" s="347">
        <f t="shared" ref="BH17:BH18" si="15">BG17-AF17</f>
        <v>-116.97519762</v>
      </c>
    </row>
    <row r="18" spans="2:60" ht="24.75" customHeight="1">
      <c r="B18" s="345" t="s">
        <v>457</v>
      </c>
      <c r="C18" s="346" t="str">
        <f>IF(Indice_index!$Z$1=1,"Reposições não abatidas aos pagamentos","Refunds not deducted from payments")</f>
        <v>Reposições não abatidas aos pagamentos</v>
      </c>
      <c r="D18" s="348" t="s">
        <v>4</v>
      </c>
      <c r="E18" s="346" t="str">
        <f>IF(Indice_index!$Z$1=1,"Regime transitório de estabilização de preços do gás","Extraordinary support for natural gas prices")</f>
        <v>Regime transitório de estabilização de preços do gás</v>
      </c>
      <c r="F18" s="347">
        <v>0</v>
      </c>
      <c r="G18" s="347">
        <v>0</v>
      </c>
      <c r="H18" s="347">
        <v>0</v>
      </c>
      <c r="I18" s="347">
        <v>0</v>
      </c>
      <c r="J18" s="347">
        <v>0</v>
      </c>
      <c r="K18" s="347">
        <v>0</v>
      </c>
      <c r="L18" s="347">
        <v>200</v>
      </c>
      <c r="M18" s="347">
        <v>8.3006661299999998</v>
      </c>
      <c r="N18" s="347">
        <v>0</v>
      </c>
      <c r="O18" s="347"/>
      <c r="P18" s="347"/>
      <c r="Q18" s="347"/>
      <c r="R18" s="347">
        <f t="shared" si="1"/>
        <v>208.30066613</v>
      </c>
      <c r="S18" s="347">
        <v>0</v>
      </c>
      <c r="T18" s="347">
        <v>0</v>
      </c>
      <c r="U18" s="347">
        <v>0</v>
      </c>
      <c r="V18" s="347">
        <v>0</v>
      </c>
      <c r="W18" s="347">
        <v>0</v>
      </c>
      <c r="X18" s="347">
        <v>0</v>
      </c>
      <c r="Y18" s="347">
        <v>0</v>
      </c>
      <c r="Z18" s="347">
        <v>0</v>
      </c>
      <c r="AA18" s="347">
        <v>0</v>
      </c>
      <c r="AB18" s="347"/>
      <c r="AC18" s="347"/>
      <c r="AD18" s="347"/>
      <c r="AE18" s="347">
        <f t="shared" si="11"/>
        <v>0</v>
      </c>
      <c r="AF18" s="347">
        <f t="shared" si="12"/>
        <v>-208.30066613</v>
      </c>
      <c r="AG18" s="347">
        <v>0</v>
      </c>
      <c r="AH18" s="347">
        <v>0</v>
      </c>
      <c r="AI18" s="347">
        <v>0</v>
      </c>
      <c r="AJ18" s="347">
        <v>0</v>
      </c>
      <c r="AK18" s="347">
        <v>0</v>
      </c>
      <c r="AL18" s="347">
        <v>0</v>
      </c>
      <c r="AM18" s="347">
        <v>0</v>
      </c>
      <c r="AN18" s="347">
        <v>0</v>
      </c>
      <c r="AO18" s="347">
        <v>0</v>
      </c>
      <c r="AP18" s="347"/>
      <c r="AQ18" s="347"/>
      <c r="AR18" s="347"/>
      <c r="AS18" s="347">
        <f t="shared" si="5"/>
        <v>0</v>
      </c>
      <c r="AT18" s="347">
        <v>0</v>
      </c>
      <c r="AU18" s="347">
        <v>0</v>
      </c>
      <c r="AV18" s="347">
        <v>0</v>
      </c>
      <c r="AW18" s="347">
        <v>0</v>
      </c>
      <c r="AX18" s="347">
        <v>0</v>
      </c>
      <c r="AY18" s="347">
        <v>0</v>
      </c>
      <c r="AZ18" s="347">
        <v>0</v>
      </c>
      <c r="BA18" s="347">
        <v>0</v>
      </c>
      <c r="BB18" s="347"/>
      <c r="BC18" s="347"/>
      <c r="BD18" s="347"/>
      <c r="BE18" s="347"/>
      <c r="BF18" s="347">
        <f t="shared" si="13"/>
        <v>0</v>
      </c>
      <c r="BG18" s="347">
        <f t="shared" si="14"/>
        <v>0</v>
      </c>
      <c r="BH18" s="347">
        <f t="shared" si="15"/>
        <v>208.30066613</v>
      </c>
    </row>
    <row r="19" spans="2:60" ht="24.75" customHeight="1">
      <c r="B19" s="240" t="str">
        <f>IF(Indice_index!$Z$1=1,"Efeito na Despesa","Effect on Expenditure")</f>
        <v>Efeito na Despesa</v>
      </c>
      <c r="C19" s="241"/>
      <c r="D19" s="241"/>
      <c r="E19" s="241"/>
      <c r="F19" s="251">
        <f t="shared" ref="F19:Q19" si="16">SUM(F20:F22)</f>
        <v>0</v>
      </c>
      <c r="G19" s="251">
        <f t="shared" si="16"/>
        <v>0</v>
      </c>
      <c r="H19" s="251">
        <f t="shared" si="16"/>
        <v>793.63172287999998</v>
      </c>
      <c r="I19" s="251">
        <f t="shared" si="16"/>
        <v>0</v>
      </c>
      <c r="J19" s="251">
        <f t="shared" si="16"/>
        <v>0</v>
      </c>
      <c r="K19" s="251">
        <f t="shared" si="16"/>
        <v>0</v>
      </c>
      <c r="L19" s="251">
        <f t="shared" si="16"/>
        <v>0</v>
      </c>
      <c r="M19" s="251">
        <f t="shared" si="16"/>
        <v>0</v>
      </c>
      <c r="N19" s="251">
        <f t="shared" si="16"/>
        <v>0</v>
      </c>
      <c r="O19" s="251">
        <f t="shared" si="16"/>
        <v>0</v>
      </c>
      <c r="P19" s="251">
        <f t="shared" si="16"/>
        <v>0</v>
      </c>
      <c r="Q19" s="251">
        <f t="shared" si="16"/>
        <v>0</v>
      </c>
      <c r="R19" s="251">
        <f t="shared" si="1"/>
        <v>793.63172287999998</v>
      </c>
      <c r="S19" s="251">
        <f t="shared" ref="S19:AD19" si="17">SUM(S20:S22)</f>
        <v>0</v>
      </c>
      <c r="T19" s="251">
        <f t="shared" si="17"/>
        <v>0</v>
      </c>
      <c r="U19" s="251">
        <f t="shared" si="17"/>
        <v>0</v>
      </c>
      <c r="V19" s="251">
        <f t="shared" si="17"/>
        <v>0</v>
      </c>
      <c r="W19" s="251">
        <f t="shared" si="17"/>
        <v>0</v>
      </c>
      <c r="X19" s="251">
        <f t="shared" si="17"/>
        <v>0</v>
      </c>
      <c r="Y19" s="251">
        <f t="shared" si="17"/>
        <v>0</v>
      </c>
      <c r="Z19" s="251">
        <f t="shared" si="17"/>
        <v>0</v>
      </c>
      <c r="AA19" s="251">
        <f t="shared" si="17"/>
        <v>0</v>
      </c>
      <c r="AB19" s="251">
        <f t="shared" si="17"/>
        <v>0</v>
      </c>
      <c r="AC19" s="251">
        <f t="shared" si="17"/>
        <v>0</v>
      </c>
      <c r="AD19" s="251">
        <f t="shared" si="17"/>
        <v>0</v>
      </c>
      <c r="AE19" s="251">
        <f t="shared" si="3"/>
        <v>0</v>
      </c>
      <c r="AF19" s="251">
        <f>AE19-R19</f>
        <v>-793.63172287999998</v>
      </c>
      <c r="AG19" s="251">
        <f t="shared" ref="AG19:AR19" si="18">SUM(AG20:AG22)</f>
        <v>0</v>
      </c>
      <c r="AH19" s="251">
        <f t="shared" si="18"/>
        <v>0</v>
      </c>
      <c r="AI19" s="251">
        <f t="shared" si="18"/>
        <v>383.34126522999998</v>
      </c>
      <c r="AJ19" s="251">
        <f t="shared" si="18"/>
        <v>0</v>
      </c>
      <c r="AK19" s="251">
        <f t="shared" si="18"/>
        <v>0</v>
      </c>
      <c r="AL19" s="251">
        <f t="shared" si="18"/>
        <v>0.97848267</v>
      </c>
      <c r="AM19" s="251">
        <f t="shared" si="18"/>
        <v>0</v>
      </c>
      <c r="AN19" s="251">
        <f t="shared" si="18"/>
        <v>0</v>
      </c>
      <c r="AO19" s="251">
        <f t="shared" si="18"/>
        <v>2.1082677599999999</v>
      </c>
      <c r="AP19" s="251">
        <f t="shared" si="18"/>
        <v>0</v>
      </c>
      <c r="AQ19" s="251">
        <f t="shared" si="18"/>
        <v>0</v>
      </c>
      <c r="AR19" s="251">
        <f t="shared" si="18"/>
        <v>0</v>
      </c>
      <c r="AS19" s="251">
        <f t="shared" si="5"/>
        <v>386.42801565999997</v>
      </c>
      <c r="AT19" s="251">
        <f t="shared" ref="AT19:BE19" si="19">SUM(AT20:AT22)</f>
        <v>0</v>
      </c>
      <c r="AU19" s="251">
        <f t="shared" si="19"/>
        <v>0</v>
      </c>
      <c r="AV19" s="251">
        <f t="shared" si="19"/>
        <v>0</v>
      </c>
      <c r="AW19" s="251">
        <f t="shared" si="19"/>
        <v>0</v>
      </c>
      <c r="AX19" s="251">
        <f t="shared" si="19"/>
        <v>0</v>
      </c>
      <c r="AY19" s="251">
        <f t="shared" si="19"/>
        <v>0</v>
      </c>
      <c r="AZ19" s="251">
        <f t="shared" si="19"/>
        <v>0</v>
      </c>
      <c r="BA19" s="251">
        <f t="shared" si="19"/>
        <v>0</v>
      </c>
      <c r="BB19" s="251">
        <f t="shared" si="19"/>
        <v>0</v>
      </c>
      <c r="BC19" s="251">
        <f t="shared" si="19"/>
        <v>0</v>
      </c>
      <c r="BD19" s="251">
        <f t="shared" si="19"/>
        <v>0</v>
      </c>
      <c r="BE19" s="251">
        <f t="shared" si="19"/>
        <v>0</v>
      </c>
      <c r="BF19" s="251">
        <f t="shared" si="7"/>
        <v>0</v>
      </c>
      <c r="BG19" s="251">
        <f t="shared" si="8"/>
        <v>-386.42801565999997</v>
      </c>
      <c r="BH19" s="251">
        <f t="shared" si="9"/>
        <v>407.20370722000001</v>
      </c>
    </row>
    <row r="20" spans="2:60" ht="24.75" customHeight="1">
      <c r="B20" s="345" t="s">
        <v>458</v>
      </c>
      <c r="C20" s="346" t="str">
        <f>IF(Indice_index!$Z$1=1,"Transferências correntes","Current transfers")</f>
        <v>Transferências correntes</v>
      </c>
      <c r="D20" s="346" t="str">
        <f>IF(Indice_index!$Z$1=1,"Outros subsídios à produção","Other subsidies on production")</f>
        <v>Outros subsídios à produção</v>
      </c>
      <c r="E20" s="346" t="str">
        <f>IF(Indice_index!$Z$1=1,"Redução das tarifas de acesso às redes na eletricidade","Reduction of electricity tariffs")</f>
        <v>Redução das tarifas de acesso às redes na eletricidade</v>
      </c>
      <c r="F20" s="347">
        <v>0</v>
      </c>
      <c r="G20" s="347">
        <v>0</v>
      </c>
      <c r="H20" s="347">
        <v>566</v>
      </c>
      <c r="I20" s="347">
        <v>0</v>
      </c>
      <c r="J20" s="347">
        <v>0</v>
      </c>
      <c r="K20" s="347">
        <v>0</v>
      </c>
      <c r="L20" s="347">
        <v>0</v>
      </c>
      <c r="M20" s="347">
        <v>0</v>
      </c>
      <c r="N20" s="347">
        <v>0</v>
      </c>
      <c r="O20" s="347"/>
      <c r="P20" s="347"/>
      <c r="Q20" s="347"/>
      <c r="R20" s="347">
        <f t="shared" si="1"/>
        <v>566</v>
      </c>
      <c r="S20" s="347">
        <v>0</v>
      </c>
      <c r="T20" s="347">
        <v>0</v>
      </c>
      <c r="U20" s="347">
        <v>0</v>
      </c>
      <c r="V20" s="347">
        <v>0</v>
      </c>
      <c r="W20" s="347">
        <v>0</v>
      </c>
      <c r="X20" s="347">
        <v>0</v>
      </c>
      <c r="Y20" s="347">
        <v>0</v>
      </c>
      <c r="Z20" s="347">
        <v>0</v>
      </c>
      <c r="AA20" s="347">
        <v>0</v>
      </c>
      <c r="AB20" s="347"/>
      <c r="AC20" s="347"/>
      <c r="AD20" s="347"/>
      <c r="AE20" s="347">
        <f t="shared" si="3"/>
        <v>0</v>
      </c>
      <c r="AF20" s="347">
        <f t="shared" ref="AF20:AF21" si="20">AE20-R20</f>
        <v>-566</v>
      </c>
      <c r="AG20" s="347">
        <v>0</v>
      </c>
      <c r="AH20" s="347">
        <v>0</v>
      </c>
      <c r="AI20" s="347">
        <v>366</v>
      </c>
      <c r="AJ20" s="347">
        <v>0</v>
      </c>
      <c r="AK20" s="347">
        <v>0</v>
      </c>
      <c r="AL20" s="347">
        <v>0</v>
      </c>
      <c r="AM20" s="347">
        <v>0</v>
      </c>
      <c r="AN20" s="347">
        <v>0</v>
      </c>
      <c r="AO20" s="347">
        <v>0</v>
      </c>
      <c r="AP20" s="347"/>
      <c r="AQ20" s="347"/>
      <c r="AR20" s="347"/>
      <c r="AS20" s="347">
        <f t="shared" si="5"/>
        <v>366</v>
      </c>
      <c r="AT20" s="347">
        <v>0</v>
      </c>
      <c r="AU20" s="347">
        <v>0</v>
      </c>
      <c r="AV20" s="347">
        <v>0</v>
      </c>
      <c r="AW20" s="347">
        <v>0</v>
      </c>
      <c r="AX20" s="347">
        <v>0</v>
      </c>
      <c r="AY20" s="347">
        <v>0</v>
      </c>
      <c r="AZ20" s="347">
        <v>0</v>
      </c>
      <c r="BA20" s="347">
        <v>0</v>
      </c>
      <c r="BB20" s="347">
        <v>0</v>
      </c>
      <c r="BC20" s="347"/>
      <c r="BD20" s="347"/>
      <c r="BE20" s="347"/>
      <c r="BF20" s="347">
        <f t="shared" si="7"/>
        <v>0</v>
      </c>
      <c r="BG20" s="347">
        <f t="shared" si="8"/>
        <v>-366</v>
      </c>
      <c r="BH20" s="347">
        <f t="shared" si="9"/>
        <v>200</v>
      </c>
    </row>
    <row r="21" spans="2:60" ht="24.75" customHeight="1">
      <c r="B21" s="345" t="s">
        <v>469</v>
      </c>
      <c r="C21" s="346" t="str">
        <f>IF(Indice_index!$Z$1=1,"Transferências correntes","Current transfers")</f>
        <v>Transferências correntes</v>
      </c>
      <c r="D21" s="348" t="s">
        <v>4</v>
      </c>
      <c r="E21" s="346" t="str">
        <f>IF(Indice_index!$Z$1=1,"Decisão judicial da Barragem do Fridão","Court decision regarding the Fridão Dam")</f>
        <v>Decisão judicial da Barragem do Fridão</v>
      </c>
      <c r="F21" s="347">
        <v>0</v>
      </c>
      <c r="G21" s="347">
        <v>0</v>
      </c>
      <c r="H21" s="347">
        <v>227.63172288000001</v>
      </c>
      <c r="I21" s="347">
        <v>0</v>
      </c>
      <c r="J21" s="347">
        <v>0</v>
      </c>
      <c r="K21" s="347">
        <v>0</v>
      </c>
      <c r="L21" s="347">
        <v>0</v>
      </c>
      <c r="M21" s="347">
        <v>0</v>
      </c>
      <c r="N21" s="347">
        <v>0</v>
      </c>
      <c r="O21" s="347"/>
      <c r="P21" s="347"/>
      <c r="Q21" s="347"/>
      <c r="R21" s="347">
        <f t="shared" si="1"/>
        <v>227.63172288000001</v>
      </c>
      <c r="S21" s="347">
        <v>0</v>
      </c>
      <c r="T21" s="347">
        <v>0</v>
      </c>
      <c r="U21" s="347">
        <v>0</v>
      </c>
      <c r="V21" s="347">
        <v>0</v>
      </c>
      <c r="W21" s="347">
        <v>0</v>
      </c>
      <c r="X21" s="347">
        <v>0</v>
      </c>
      <c r="Y21" s="347">
        <v>0</v>
      </c>
      <c r="Z21" s="347">
        <v>0</v>
      </c>
      <c r="AA21" s="347">
        <v>0</v>
      </c>
      <c r="AB21" s="347"/>
      <c r="AC21" s="347"/>
      <c r="AD21" s="347"/>
      <c r="AE21" s="347">
        <f t="shared" si="3"/>
        <v>0</v>
      </c>
      <c r="AF21" s="347">
        <f t="shared" si="20"/>
        <v>-227.63172288000001</v>
      </c>
      <c r="AG21" s="347">
        <v>0</v>
      </c>
      <c r="AH21" s="347">
        <v>0</v>
      </c>
      <c r="AI21" s="347">
        <v>0</v>
      </c>
      <c r="AJ21" s="347">
        <v>0</v>
      </c>
      <c r="AK21" s="347">
        <v>0</v>
      </c>
      <c r="AL21" s="347">
        <v>0</v>
      </c>
      <c r="AM21" s="347">
        <v>0</v>
      </c>
      <c r="AN21" s="347">
        <v>0</v>
      </c>
      <c r="AO21" s="347">
        <v>0</v>
      </c>
      <c r="AP21" s="347"/>
      <c r="AQ21" s="347"/>
      <c r="AR21" s="347"/>
      <c r="AS21" s="347">
        <f t="shared" si="5"/>
        <v>0</v>
      </c>
      <c r="AT21" s="347">
        <v>0</v>
      </c>
      <c r="AU21" s="347">
        <v>0</v>
      </c>
      <c r="AV21" s="347">
        <v>0</v>
      </c>
      <c r="AW21" s="347">
        <v>0</v>
      </c>
      <c r="AX21" s="347">
        <v>0</v>
      </c>
      <c r="AY21" s="347">
        <v>0</v>
      </c>
      <c r="AZ21" s="347">
        <v>0</v>
      </c>
      <c r="BA21" s="347">
        <v>0</v>
      </c>
      <c r="BB21" s="347">
        <v>0</v>
      </c>
      <c r="BC21" s="347"/>
      <c r="BD21" s="347"/>
      <c r="BE21" s="347"/>
      <c r="BF21" s="347">
        <f t="shared" si="7"/>
        <v>0</v>
      </c>
      <c r="BG21" s="347">
        <f t="shared" si="8"/>
        <v>0</v>
      </c>
      <c r="BH21" s="347">
        <f t="shared" si="9"/>
        <v>227.63172288000001</v>
      </c>
    </row>
    <row r="22" spans="2:60" ht="24.75" customHeight="1">
      <c r="B22" s="345" t="s">
        <v>470</v>
      </c>
      <c r="C22" s="346" t="str">
        <f>IF(Indice_index!$Z$1=1,"Reposições não abatidas aos pagamentos","Refunds not deducted from payments")</f>
        <v>Reposições não abatidas aos pagamentos</v>
      </c>
      <c r="D22" s="346" t="str">
        <f>IF(Indice_index!$Z$1=1,"Outros subsídios à produção","Other subsidies on production")</f>
        <v>Outros subsídios à produção</v>
      </c>
      <c r="E22" s="346" t="str">
        <f>IF(Indice_index!$Z$1=1,"Regime transitório de estabilização de preços do gás","Extraordinary support for natural gas prices")</f>
        <v>Regime transitório de estabilização de preços do gás</v>
      </c>
      <c r="F22" s="347">
        <v>0</v>
      </c>
      <c r="G22" s="347">
        <v>0</v>
      </c>
      <c r="H22" s="347">
        <v>0</v>
      </c>
      <c r="I22" s="347">
        <v>0</v>
      </c>
      <c r="J22" s="347">
        <v>0</v>
      </c>
      <c r="K22" s="347">
        <v>0</v>
      </c>
      <c r="L22" s="347">
        <v>0</v>
      </c>
      <c r="M22" s="347">
        <v>0</v>
      </c>
      <c r="N22" s="347">
        <v>0</v>
      </c>
      <c r="O22" s="347"/>
      <c r="P22" s="347"/>
      <c r="Q22" s="347"/>
      <c r="R22" s="347">
        <f t="shared" si="1"/>
        <v>0</v>
      </c>
      <c r="S22" s="347">
        <v>0</v>
      </c>
      <c r="T22" s="347">
        <v>0</v>
      </c>
      <c r="U22" s="347">
        <v>0</v>
      </c>
      <c r="V22" s="347">
        <v>0</v>
      </c>
      <c r="W22" s="347">
        <v>0</v>
      </c>
      <c r="X22" s="347">
        <v>0</v>
      </c>
      <c r="Y22" s="347">
        <v>0</v>
      </c>
      <c r="Z22" s="347">
        <v>0</v>
      </c>
      <c r="AA22" s="347">
        <v>0</v>
      </c>
      <c r="AB22" s="347"/>
      <c r="AC22" s="347"/>
      <c r="AD22" s="347"/>
      <c r="AE22" s="347">
        <f t="shared" ref="AE22" si="21">SUM(S22:AD22)</f>
        <v>0</v>
      </c>
      <c r="AF22" s="347">
        <f t="shared" ref="AF22" si="22">AE22-R22</f>
        <v>0</v>
      </c>
      <c r="AG22" s="347">
        <v>0</v>
      </c>
      <c r="AH22" s="347">
        <v>0</v>
      </c>
      <c r="AI22" s="347">
        <v>17.341265230000001</v>
      </c>
      <c r="AJ22" s="347">
        <v>0</v>
      </c>
      <c r="AK22" s="347">
        <v>0</v>
      </c>
      <c r="AL22" s="347">
        <v>0.97848267</v>
      </c>
      <c r="AM22" s="347">
        <v>0</v>
      </c>
      <c r="AN22" s="347">
        <v>0</v>
      </c>
      <c r="AO22" s="347">
        <v>2.1082677599999999</v>
      </c>
      <c r="AP22" s="347"/>
      <c r="AQ22" s="347"/>
      <c r="AR22" s="347"/>
      <c r="AS22" s="347">
        <f t="shared" si="5"/>
        <v>20.428015660000003</v>
      </c>
      <c r="AT22" s="347">
        <v>0</v>
      </c>
      <c r="AU22" s="347">
        <v>0</v>
      </c>
      <c r="AV22" s="347">
        <v>0</v>
      </c>
      <c r="AW22" s="347">
        <v>0</v>
      </c>
      <c r="AX22" s="347">
        <v>0</v>
      </c>
      <c r="AY22" s="347">
        <v>0</v>
      </c>
      <c r="AZ22" s="347">
        <v>0</v>
      </c>
      <c r="BA22" s="347">
        <v>0</v>
      </c>
      <c r="BB22" s="347">
        <v>0</v>
      </c>
      <c r="BC22" s="347"/>
      <c r="BD22" s="347"/>
      <c r="BE22" s="347"/>
      <c r="BF22" s="347">
        <f t="shared" ref="BF22" si="23">SUM(AT22:BE22)</f>
        <v>0</v>
      </c>
      <c r="BG22" s="347">
        <f t="shared" ref="BG22" si="24">BF22-AS22</f>
        <v>-20.428015660000003</v>
      </c>
      <c r="BH22" s="347">
        <f t="shared" ref="BH22" si="25">BG22-AF22</f>
        <v>-20.428015660000003</v>
      </c>
    </row>
    <row r="23" spans="2:60" ht="24.75" customHeight="1">
      <c r="B23" s="242" t="str">
        <f>IF(Indice_index!$Z$1=1,"Impacto no Saldo","Balance Impact")</f>
        <v>Impacto no Saldo</v>
      </c>
      <c r="C23" s="243"/>
      <c r="D23" s="243"/>
      <c r="E23" s="243"/>
      <c r="F23" s="252">
        <f>F13-F19</f>
        <v>49.004178000000003</v>
      </c>
      <c r="G23" s="252">
        <f t="shared" ref="G23:BE23" si="26">G13-G19</f>
        <v>0</v>
      </c>
      <c r="H23" s="252">
        <f t="shared" si="26"/>
        <v>-910.6069205</v>
      </c>
      <c r="I23" s="252">
        <f t="shared" si="26"/>
        <v>0</v>
      </c>
      <c r="J23" s="252">
        <f t="shared" si="26"/>
        <v>0</v>
      </c>
      <c r="K23" s="252">
        <f t="shared" si="26"/>
        <v>32.982836149999997</v>
      </c>
      <c r="L23" s="252">
        <f t="shared" si="26"/>
        <v>200</v>
      </c>
      <c r="M23" s="252">
        <f t="shared" si="26"/>
        <v>8.3006661299999998</v>
      </c>
      <c r="N23" s="252">
        <f t="shared" si="26"/>
        <v>0</v>
      </c>
      <c r="O23" s="252">
        <f t="shared" si="26"/>
        <v>0</v>
      </c>
      <c r="P23" s="252">
        <f t="shared" si="26"/>
        <v>0</v>
      </c>
      <c r="Q23" s="252">
        <f t="shared" si="26"/>
        <v>0</v>
      </c>
      <c r="R23" s="252">
        <f t="shared" si="1"/>
        <v>-620.31924021999998</v>
      </c>
      <c r="S23" s="252">
        <f t="shared" si="26"/>
        <v>0</v>
      </c>
      <c r="T23" s="252">
        <f t="shared" si="26"/>
        <v>65</v>
      </c>
      <c r="U23" s="252">
        <f t="shared" si="26"/>
        <v>0</v>
      </c>
      <c r="V23" s="252">
        <f t="shared" si="26"/>
        <v>0</v>
      </c>
      <c r="W23" s="252">
        <f t="shared" si="26"/>
        <v>0</v>
      </c>
      <c r="X23" s="252">
        <f t="shared" si="26"/>
        <v>22.705269949999998</v>
      </c>
      <c r="Y23" s="252">
        <f t="shared" si="26"/>
        <v>0</v>
      </c>
      <c r="Z23" s="252">
        <f t="shared" si="26"/>
        <v>165.58857262000001</v>
      </c>
      <c r="AA23" s="252">
        <f t="shared" si="26"/>
        <v>0</v>
      </c>
      <c r="AB23" s="252">
        <f t="shared" si="26"/>
        <v>0</v>
      </c>
      <c r="AC23" s="252">
        <f t="shared" si="26"/>
        <v>0</v>
      </c>
      <c r="AD23" s="252">
        <f t="shared" si="26"/>
        <v>0</v>
      </c>
      <c r="AE23" s="252">
        <f t="shared" si="3"/>
        <v>253.29384257000001</v>
      </c>
      <c r="AF23" s="252">
        <f t="shared" si="10"/>
        <v>873.61308279000002</v>
      </c>
      <c r="AG23" s="252">
        <f t="shared" si="26"/>
        <v>145.97784211999999</v>
      </c>
      <c r="AH23" s="252">
        <f t="shared" si="26"/>
        <v>356.26226238999999</v>
      </c>
      <c r="AI23" s="252">
        <f t="shared" si="26"/>
        <v>-542.05330058000004</v>
      </c>
      <c r="AJ23" s="252">
        <f t="shared" si="26"/>
        <v>-137.58254255</v>
      </c>
      <c r="AK23" s="252">
        <f t="shared" si="26"/>
        <v>183.36949898000009</v>
      </c>
      <c r="AL23" s="252">
        <f t="shared" si="26"/>
        <v>-82.987462820000076</v>
      </c>
      <c r="AM23" s="252">
        <f t="shared" si="26"/>
        <v>-77.422807389999974</v>
      </c>
      <c r="AN23" s="252">
        <f t="shared" si="26"/>
        <v>377.07670323999992</v>
      </c>
      <c r="AO23" s="252">
        <f t="shared" si="26"/>
        <v>-88.869569499999912</v>
      </c>
      <c r="AP23" s="252">
        <f t="shared" si="26"/>
        <v>0</v>
      </c>
      <c r="AQ23" s="252">
        <f t="shared" si="26"/>
        <v>0</v>
      </c>
      <c r="AR23" s="252">
        <f t="shared" si="26"/>
        <v>0</v>
      </c>
      <c r="AS23" s="252">
        <f t="shared" si="5"/>
        <v>133.77062388999997</v>
      </c>
      <c r="AT23" s="252">
        <f t="shared" si="26"/>
        <v>157.66350491</v>
      </c>
      <c r="AU23" s="252">
        <f t="shared" si="26"/>
        <v>421.61882452333339</v>
      </c>
      <c r="AV23" s="252">
        <f t="shared" si="26"/>
        <v>-163.61743789000008</v>
      </c>
      <c r="AW23" s="252">
        <f t="shared" si="26"/>
        <v>-152.28502104166665</v>
      </c>
      <c r="AX23" s="252">
        <f t="shared" si="26"/>
        <v>173.44416979333334</v>
      </c>
      <c r="AY23" s="252">
        <f t="shared" si="26"/>
        <v>-92.38601029833336</v>
      </c>
      <c r="AZ23" s="252">
        <f t="shared" si="26"/>
        <v>-79.948004026666695</v>
      </c>
      <c r="BA23" s="252">
        <f t="shared" si="26"/>
        <v>430.16292463000008</v>
      </c>
      <c r="BB23" s="252">
        <f t="shared" si="26"/>
        <v>-82.111273008333342</v>
      </c>
      <c r="BC23" s="252">
        <f t="shared" si="26"/>
        <v>0</v>
      </c>
      <c r="BD23" s="252">
        <f t="shared" si="26"/>
        <v>0</v>
      </c>
      <c r="BE23" s="252">
        <f t="shared" si="26"/>
        <v>0</v>
      </c>
      <c r="BF23" s="252">
        <f t="shared" si="7"/>
        <v>612.54167759166671</v>
      </c>
      <c r="BG23" s="252">
        <f t="shared" si="8"/>
        <v>478.77105370166674</v>
      </c>
      <c r="BH23" s="252">
        <f t="shared" si="9"/>
        <v>-394.84202908833328</v>
      </c>
    </row>
    <row r="24" spans="2:60" s="3" customFormat="1" ht="15" customHeight="1">
      <c r="B24" s="9" t="str">
        <f>IF(Indice_index!$Z$1=1,"Notas:","Notes:")</f>
        <v>Notas:</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row>
    <row r="25" spans="2:60" ht="13.5" customHeight="1">
      <c r="B25" s="445"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c r="BF25" s="445"/>
      <c r="BG25" s="445"/>
      <c r="BH25" s="445"/>
    </row>
    <row r="26" spans="2:60" ht="36.75" customHeight="1">
      <c r="B26" s="445" t="str">
        <f>IF(Indice_index!$Z$1=1,B99,B100)</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G26" s="445"/>
      <c r="BH26" s="445"/>
    </row>
    <row r="27" spans="2:60" ht="25.5" customHeight="1">
      <c r="B27" s="445"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c r="BH27" s="445"/>
    </row>
    <row r="28" spans="2:60" ht="15" customHeight="1">
      <c r="B28" s="487" t="str">
        <f>IF(Indice_index!$Z$1=1,"Fonte: Entidade Orçamental.","Source: Budgetary Entity.")</f>
        <v>Fonte: Entidade Orçamental.</v>
      </c>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87"/>
      <c r="AD28" s="487"/>
      <c r="AE28" s="487"/>
      <c r="AF28" s="487"/>
      <c r="AG28" s="487"/>
      <c r="AH28" s="487"/>
      <c r="AI28" s="487"/>
      <c r="AJ28" s="487"/>
      <c r="AK28" s="487"/>
      <c r="AL28" s="487"/>
      <c r="AM28" s="487"/>
      <c r="AN28" s="487"/>
      <c r="AO28" s="487"/>
      <c r="AP28" s="487"/>
      <c r="AQ28" s="487"/>
      <c r="AR28" s="487"/>
      <c r="AS28" s="487"/>
      <c r="AT28" s="487"/>
      <c r="AU28" s="487"/>
      <c r="AV28" s="487"/>
      <c r="AW28" s="487"/>
      <c r="AX28" s="487"/>
      <c r="AY28" s="487"/>
      <c r="AZ28" s="487"/>
      <c r="BA28" s="487"/>
      <c r="BB28" s="487"/>
      <c r="BC28" s="487"/>
      <c r="BD28" s="487"/>
      <c r="BE28" s="487"/>
      <c r="BF28" s="487"/>
      <c r="BG28" s="487"/>
      <c r="BH28" s="487"/>
    </row>
    <row r="29" spans="2:60" ht="14.1" customHeight="1">
      <c r="B29" s="239"/>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row>
    <row r="30" spans="2:60" ht="14.1" customHeight="1">
      <c r="B30" s="239"/>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row>
    <row r="31" spans="2:60" ht="14.1" hidden="1" customHeight="1">
      <c r="B31" s="239"/>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row>
    <row r="32" spans="2:60" ht="14.1" hidden="1" customHeight="1">
      <c r="B32" s="239"/>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row>
    <row r="33" spans="2:63" ht="14.1" hidden="1" customHeight="1">
      <c r="B33" s="239"/>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row>
    <row r="34" spans="2:63" ht="14.1" hidden="1" customHeight="1">
      <c r="B34" s="239"/>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row>
    <row r="35" spans="2:63" ht="14.1" hidden="1" customHeight="1">
      <c r="B35" s="239"/>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row>
    <row r="36" spans="2:63" ht="14.1" hidden="1" customHeight="1">
      <c r="B36" s="239"/>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row>
    <row r="37" spans="2:63" ht="24" hidden="1" customHeight="1">
      <c r="B37" s="245"/>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row>
    <row r="38" spans="2:63" ht="14.1" hidden="1" customHeight="1">
      <c r="B38" s="239"/>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row>
    <row r="39" spans="2:63" ht="14.1" hidden="1" customHeight="1">
      <c r="B39" s="244"/>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row>
    <row r="40" spans="2:63" ht="14.1" hidden="1" customHeight="1">
      <c r="B40" s="244"/>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row>
    <row r="41" spans="2:63" ht="15" hidden="1">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row>
    <row r="42" spans="2:63" ht="24.75" hidden="1" customHeight="1">
      <c r="BI42" s="238"/>
      <c r="BJ42" s="238"/>
      <c r="BK42" s="31"/>
    </row>
    <row r="43" spans="2:63" ht="15" hidden="1">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28"/>
      <c r="BJ43" s="28"/>
      <c r="BK43" s="153"/>
    </row>
    <row r="44" spans="2:63" ht="15" hidden="1">
      <c r="B44" s="39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398"/>
      <c r="AO44" s="398"/>
      <c r="AP44" s="398"/>
      <c r="AQ44" s="398"/>
      <c r="AR44" s="398"/>
      <c r="AS44" s="398"/>
      <c r="AT44" s="398"/>
      <c r="AU44" s="398"/>
      <c r="AV44" s="398"/>
      <c r="AW44" s="398"/>
      <c r="AX44" s="398"/>
      <c r="AY44" s="398"/>
      <c r="AZ44" s="398"/>
      <c r="BA44" s="398"/>
      <c r="BB44" s="398"/>
      <c r="BC44" s="398"/>
      <c r="BD44" s="398"/>
      <c r="BE44" s="398"/>
      <c r="BF44" s="398"/>
      <c r="BG44" s="398"/>
      <c r="BH44" s="398"/>
    </row>
    <row r="45" spans="2:63" ht="15" hidden="1">
      <c r="B45" s="397"/>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397"/>
      <c r="AN45" s="397"/>
      <c r="AO45" s="397"/>
      <c r="AP45" s="397"/>
      <c r="AQ45" s="397"/>
      <c r="AR45" s="397"/>
      <c r="AS45" s="397"/>
      <c r="AT45" s="397"/>
      <c r="AU45" s="397"/>
      <c r="AV45" s="397"/>
      <c r="AW45" s="397"/>
      <c r="AX45" s="397"/>
      <c r="AY45" s="397"/>
      <c r="AZ45" s="397"/>
      <c r="BA45" s="397"/>
      <c r="BB45" s="397"/>
      <c r="BC45" s="397"/>
      <c r="BD45" s="397"/>
      <c r="BE45" s="397"/>
      <c r="BF45" s="397"/>
      <c r="BG45" s="397"/>
      <c r="BH45" s="397"/>
    </row>
    <row r="46" spans="2:63" ht="15" hidden="1">
      <c r="B46" s="397"/>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c r="AP46" s="397"/>
      <c r="AQ46" s="397"/>
      <c r="AR46" s="397"/>
      <c r="AS46" s="397"/>
      <c r="AT46" s="397"/>
      <c r="AU46" s="397"/>
      <c r="AV46" s="397"/>
      <c r="AW46" s="397"/>
      <c r="AX46" s="397"/>
      <c r="AY46" s="397"/>
      <c r="AZ46" s="397"/>
      <c r="BA46" s="397"/>
      <c r="BB46" s="397"/>
      <c r="BC46" s="397"/>
      <c r="BD46" s="397"/>
      <c r="BE46" s="397"/>
      <c r="BF46" s="397"/>
      <c r="BG46" s="397"/>
      <c r="BH46" s="397"/>
    </row>
    <row r="47" spans="2:63" ht="15" hidden="1">
      <c r="B47" s="398"/>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8"/>
      <c r="AY47" s="398"/>
      <c r="AZ47" s="398"/>
      <c r="BA47" s="398"/>
      <c r="BB47" s="398"/>
      <c r="BC47" s="398"/>
      <c r="BD47" s="398"/>
      <c r="BE47" s="398"/>
      <c r="BF47" s="398"/>
      <c r="BG47" s="398"/>
      <c r="BH47" s="398"/>
    </row>
    <row r="51" ht="14.85" customHeight="1"/>
    <row r="67" ht="14.85" customHeight="1"/>
    <row r="83" ht="14.85" customHeight="1"/>
    <row r="84" ht="14.85" customHeight="1"/>
    <row r="87" ht="14.85" customHeight="1"/>
    <row r="97" spans="2:60" ht="14.85" customHeight="1"/>
    <row r="98" spans="2:60" ht="14.85" customHeight="1"/>
    <row r="99" spans="2:60" ht="34.35" hidden="1" customHeight="1">
      <c r="B99" s="445" t="s">
        <v>422</v>
      </c>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5"/>
      <c r="AB99" s="445"/>
      <c r="AC99" s="445"/>
      <c r="AD99" s="445"/>
      <c r="AE99" s="445"/>
      <c r="AF99" s="445"/>
      <c r="AG99" s="445"/>
      <c r="AH99" s="445"/>
      <c r="AI99" s="445"/>
      <c r="AJ99" s="445"/>
      <c r="AK99" s="445"/>
      <c r="AL99" s="445"/>
      <c r="AM99" s="445"/>
      <c r="AN99" s="445"/>
      <c r="AO99" s="445"/>
      <c r="AP99" s="445"/>
      <c r="AQ99" s="445"/>
      <c r="AR99" s="445"/>
      <c r="AS99" s="445"/>
      <c r="AT99" s="445"/>
      <c r="AU99" s="445"/>
      <c r="AV99" s="445"/>
      <c r="AW99" s="445"/>
      <c r="AX99" s="445"/>
      <c r="AY99" s="445"/>
      <c r="AZ99" s="445"/>
      <c r="BA99" s="445"/>
      <c r="BB99" s="445"/>
      <c r="BC99" s="445"/>
      <c r="BD99" s="445"/>
      <c r="BE99" s="445"/>
      <c r="BF99" s="445"/>
      <c r="BG99" s="445"/>
      <c r="BH99" s="445"/>
    </row>
    <row r="100" spans="2:60" ht="24.6" hidden="1" customHeight="1">
      <c r="B100" s="445" t="s">
        <v>448</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5"/>
      <c r="AB100" s="445"/>
      <c r="AC100" s="445"/>
      <c r="AD100" s="445"/>
      <c r="AE100" s="445"/>
      <c r="AF100" s="445"/>
      <c r="AG100" s="445"/>
      <c r="AH100" s="445"/>
      <c r="AI100" s="445"/>
      <c r="AJ100" s="445"/>
      <c r="AK100" s="445"/>
      <c r="AL100" s="445"/>
      <c r="AM100" s="445"/>
      <c r="AN100" s="445"/>
      <c r="AO100" s="445"/>
      <c r="AP100" s="445"/>
      <c r="AQ100" s="445"/>
      <c r="AR100" s="445"/>
      <c r="AS100" s="445"/>
      <c r="AT100" s="445"/>
      <c r="AU100" s="445"/>
      <c r="AV100" s="445"/>
      <c r="AW100" s="445"/>
      <c r="AX100" s="445"/>
      <c r="AY100" s="445"/>
      <c r="AZ100" s="445"/>
      <c r="BA100" s="445"/>
      <c r="BB100" s="445"/>
      <c r="BC100" s="445"/>
      <c r="BD100" s="445"/>
      <c r="BE100" s="445"/>
      <c r="BF100" s="445"/>
      <c r="BG100" s="445"/>
      <c r="BH100" s="445"/>
    </row>
    <row r="101" spans="2:60" ht="14.85" customHeight="1"/>
  </sheetData>
  <mergeCells count="23">
    <mergeCell ref="B99:BH99"/>
    <mergeCell ref="B100:BH100"/>
    <mergeCell ref="B47:BH47"/>
    <mergeCell ref="F11:R11"/>
    <mergeCell ref="S11:AE11"/>
    <mergeCell ref="AG11:AS11"/>
    <mergeCell ref="AT11:BF11"/>
    <mergeCell ref="F10:AF10"/>
    <mergeCell ref="AG10:BG10"/>
    <mergeCell ref="AF11:AF12"/>
    <mergeCell ref="BH11:BH12"/>
    <mergeCell ref="B46:BH46"/>
    <mergeCell ref="E10:E12"/>
    <mergeCell ref="D10:D12"/>
    <mergeCell ref="C10:C12"/>
    <mergeCell ref="B10:B12"/>
    <mergeCell ref="BG11:BG12"/>
    <mergeCell ref="B25:BH25"/>
    <mergeCell ref="B44:BH44"/>
    <mergeCell ref="B45:BH45"/>
    <mergeCell ref="B28:BH28"/>
    <mergeCell ref="B26:BH26"/>
    <mergeCell ref="B27:BH27"/>
  </mergeCells>
  <conditionalFormatting sqref="C10:E10 F12:BH12 C24:BH24 C29:BH38">
    <cfRule type="cellIs" dxfId="2" priority="27" operator="equal">
      <formula>0</formula>
    </cfRule>
  </conditionalFormatting>
  <conditionalFormatting sqref="C13:E23">
    <cfRule type="cellIs" dxfId="1" priority="1" operator="equal">
      <formula>0</formula>
    </cfRule>
  </conditionalFormatting>
  <conditionalFormatting sqref="F14:BH18 F20:BH22">
    <cfRule type="cellIs" dxfId="0" priority="8"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R13 AS13 AS19 AS23 R19 R23 C17 AE22"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71"/>
  <sheetViews>
    <sheetView showGridLines="0" zoomScaleNormal="100" workbookViewId="0"/>
  </sheetViews>
  <sheetFormatPr defaultColWidth="0" defaultRowHeight="15" zeroHeight="1"/>
  <cols>
    <col min="1" max="1" width="8.5703125" style="93" customWidth="1"/>
    <col min="2" max="2" width="94" customWidth="1"/>
    <col min="3" max="3" width="9.42578125" customWidth="1"/>
    <col min="4" max="33" width="0" hidden="1" customWidth="1"/>
    <col min="34" max="16384" width="9.42578125" hidden="1"/>
  </cols>
  <sheetData>
    <row r="1" spans="1:2"/>
    <row r="2" spans="1:2"/>
    <row r="3" spans="1:2"/>
    <row r="4" spans="1:2"/>
    <row r="5" spans="1:2" ht="18" customHeight="1">
      <c r="A5"/>
      <c r="B5" s="269" t="str">
        <f>IF(Indice_index!$Z$1=1,"ANEXOS ESTATÍSTICOS","STATISTICAL ANNEXES")</f>
        <v>ANEXOS ESTATÍSTICOS</v>
      </c>
    </row>
    <row r="6" spans="1:2" ht="18" customHeight="1">
      <c r="A6"/>
      <c r="B6" s="270" t="str">
        <f>IF(Indice_index!$Z$1=1,"Setembro de 2025","September 2025")</f>
        <v>Setembro de 2025</v>
      </c>
    </row>
    <row r="7" spans="1:2" ht="48.75" customHeight="1">
      <c r="B7" s="12"/>
    </row>
    <row r="8" spans="1:2" ht="15.75">
      <c r="B8" s="116" t="str">
        <f>IF(Indice_index!$Z$1=1,"Quadro 26 - Lista de entidades da Administração Central em 2025","26 - Central Administration's list of entities in 2025")</f>
        <v>Quadro 26 - Lista de entidades da Administração Central em 2025</v>
      </c>
    </row>
    <row r="9" spans="1:2">
      <c r="B9" s="3"/>
    </row>
    <row r="10" spans="1:2" s="123" customFormat="1" ht="18" customHeight="1">
      <c r="B10" s="207" t="s">
        <v>400</v>
      </c>
    </row>
    <row r="11" spans="1:2" ht="14.1" customHeight="1">
      <c r="B11" s="208" t="s">
        <v>56</v>
      </c>
    </row>
    <row r="12" spans="1:2" ht="14.1" customHeight="1">
      <c r="B12" s="208" t="s">
        <v>477</v>
      </c>
    </row>
    <row r="13" spans="1:2" ht="14.1" customHeight="1">
      <c r="B13" s="208" t="s">
        <v>478</v>
      </c>
    </row>
    <row r="14" spans="1:2" ht="14.1" customHeight="1">
      <c r="B14" s="208" t="s">
        <v>479</v>
      </c>
    </row>
    <row r="15" spans="1:2" ht="14.1" customHeight="1">
      <c r="B15" s="208" t="s">
        <v>57</v>
      </c>
    </row>
    <row r="16" spans="1:2" ht="14.1" customHeight="1">
      <c r="B16" s="208" t="s">
        <v>58</v>
      </c>
    </row>
    <row r="17" spans="2:2" ht="14.1" customHeight="1">
      <c r="B17" s="208" t="s">
        <v>59</v>
      </c>
    </row>
    <row r="18" spans="2:2" ht="14.1" customHeight="1">
      <c r="B18" s="208" t="s">
        <v>423</v>
      </c>
    </row>
    <row r="19" spans="2:2" ht="14.1" customHeight="1">
      <c r="B19" s="208" t="s">
        <v>60</v>
      </c>
    </row>
    <row r="20" spans="2:2" ht="14.1" customHeight="1">
      <c r="B20" s="208" t="s">
        <v>61</v>
      </c>
    </row>
    <row r="21" spans="2:2" ht="14.1" customHeight="1">
      <c r="B21" s="208" t="s">
        <v>62</v>
      </c>
    </row>
    <row r="22" spans="2:2" ht="14.1" customHeight="1">
      <c r="B22" s="208" t="s">
        <v>378</v>
      </c>
    </row>
    <row r="23" spans="2:2" ht="14.1" customHeight="1">
      <c r="B23" s="208" t="s">
        <v>63</v>
      </c>
    </row>
    <row r="24" spans="2:2" ht="14.1" customHeight="1">
      <c r="B24" s="208" t="s">
        <v>341</v>
      </c>
    </row>
    <row r="25" spans="2:2" ht="14.1" customHeight="1">
      <c r="B25" s="208" t="s">
        <v>64</v>
      </c>
    </row>
    <row r="26" spans="2:2" ht="14.1" customHeight="1">
      <c r="B26" s="208" t="s">
        <v>480</v>
      </c>
    </row>
    <row r="27" spans="2:2" ht="14.1" customHeight="1">
      <c r="B27" s="208" t="s">
        <v>481</v>
      </c>
    </row>
    <row r="28" spans="2:2" ht="14.1" customHeight="1">
      <c r="B28" s="208" t="s">
        <v>617</v>
      </c>
    </row>
    <row r="29" spans="2:2" ht="14.1" customHeight="1">
      <c r="B29" s="208" t="s">
        <v>65</v>
      </c>
    </row>
    <row r="30" spans="2:2" ht="14.1" customHeight="1">
      <c r="B30" s="208" t="s">
        <v>66</v>
      </c>
    </row>
    <row r="31" spans="2:2" ht="14.1" customHeight="1">
      <c r="B31" s="208" t="s">
        <v>401</v>
      </c>
    </row>
    <row r="32" spans="2:2" ht="14.1" customHeight="1">
      <c r="B32" s="208" t="s">
        <v>67</v>
      </c>
    </row>
    <row r="33" spans="2:2" ht="14.1" customHeight="1">
      <c r="B33" s="208" t="s">
        <v>68</v>
      </c>
    </row>
    <row r="34" spans="2:2" ht="14.1" customHeight="1">
      <c r="B34" s="208" t="s">
        <v>69</v>
      </c>
    </row>
    <row r="35" spans="2:2" ht="14.1" customHeight="1">
      <c r="B35" s="208" t="s">
        <v>70</v>
      </c>
    </row>
    <row r="36" spans="2:2" ht="14.1" customHeight="1">
      <c r="B36" s="208" t="s">
        <v>482</v>
      </c>
    </row>
    <row r="37" spans="2:2" ht="14.1" customHeight="1">
      <c r="B37" s="208" t="s">
        <v>483</v>
      </c>
    </row>
    <row r="38" spans="2:2" s="123" customFormat="1" ht="13.5" customHeight="1">
      <c r="B38" s="208" t="s">
        <v>484</v>
      </c>
    </row>
    <row r="39" spans="2:2" ht="18" customHeight="1">
      <c r="B39" s="207" t="s">
        <v>402</v>
      </c>
    </row>
    <row r="40" spans="2:2" ht="14.1" customHeight="1">
      <c r="B40" s="208" t="s">
        <v>338</v>
      </c>
    </row>
    <row r="41" spans="2:2" ht="14.1" customHeight="1">
      <c r="B41" s="208" t="s">
        <v>485</v>
      </c>
    </row>
    <row r="42" spans="2:2" ht="14.1" customHeight="1">
      <c r="B42" s="208" t="s">
        <v>82</v>
      </c>
    </row>
    <row r="43" spans="2:2" ht="14.1" customHeight="1">
      <c r="B43" s="208" t="s">
        <v>85</v>
      </c>
    </row>
    <row r="44" spans="2:2" ht="14.1" customHeight="1">
      <c r="B44" s="208" t="s">
        <v>86</v>
      </c>
    </row>
    <row r="45" spans="2:2" ht="14.1" customHeight="1">
      <c r="B45" s="208" t="s">
        <v>87</v>
      </c>
    </row>
    <row r="46" spans="2:2" ht="14.1" customHeight="1">
      <c r="B46" s="208" t="s">
        <v>90</v>
      </c>
    </row>
    <row r="47" spans="2:2" ht="14.1" customHeight="1">
      <c r="B47" s="208" t="s">
        <v>187</v>
      </c>
    </row>
    <row r="48" spans="2:2" ht="14.1" customHeight="1">
      <c r="B48" s="208" t="s">
        <v>92</v>
      </c>
    </row>
    <row r="49" spans="2:2" ht="14.1" customHeight="1">
      <c r="B49" s="208" t="s">
        <v>93</v>
      </c>
    </row>
    <row r="50" spans="2:2" ht="18" customHeight="1">
      <c r="B50" s="207" t="s">
        <v>403</v>
      </c>
    </row>
    <row r="51" spans="2:2" ht="14.1" customHeight="1">
      <c r="B51" s="208" t="s">
        <v>486</v>
      </c>
    </row>
    <row r="52" spans="2:2" s="123" customFormat="1" ht="13.5" customHeight="1">
      <c r="B52" s="208" t="s">
        <v>487</v>
      </c>
    </row>
    <row r="53" spans="2:2" ht="14.1" customHeight="1">
      <c r="B53" s="208" t="s">
        <v>96</v>
      </c>
    </row>
    <row r="54" spans="2:2" ht="13.5" customHeight="1">
      <c r="B54" s="208" t="s">
        <v>97</v>
      </c>
    </row>
    <row r="55" spans="2:2" ht="14.1" customHeight="1">
      <c r="B55" s="208" t="s">
        <v>98</v>
      </c>
    </row>
    <row r="56" spans="2:2" ht="18" customHeight="1">
      <c r="B56" s="207" t="s">
        <v>425</v>
      </c>
    </row>
    <row r="57" spans="2:2" ht="13.5" customHeight="1">
      <c r="B57" s="208" t="s">
        <v>488</v>
      </c>
    </row>
    <row r="58" spans="2:2" ht="13.5" customHeight="1">
      <c r="B58" s="208" t="s">
        <v>342</v>
      </c>
    </row>
    <row r="59" spans="2:2" ht="13.5" customHeight="1">
      <c r="B59" s="208" t="s">
        <v>489</v>
      </c>
    </row>
    <row r="60" spans="2:2" ht="13.5" customHeight="1">
      <c r="B60" s="208" t="s">
        <v>140</v>
      </c>
    </row>
    <row r="61" spans="2:2" ht="13.5" customHeight="1">
      <c r="B61" s="208" t="s">
        <v>141</v>
      </c>
    </row>
    <row r="62" spans="2:2" ht="13.5" customHeight="1">
      <c r="B62" s="208" t="s">
        <v>142</v>
      </c>
    </row>
    <row r="63" spans="2:2" ht="13.5" customHeight="1">
      <c r="B63" s="208" t="s">
        <v>143</v>
      </c>
    </row>
    <row r="64" spans="2:2" ht="13.5" customHeight="1">
      <c r="B64" s="208" t="s">
        <v>144</v>
      </c>
    </row>
    <row r="65" spans="2:2" ht="13.5" customHeight="1">
      <c r="B65" s="208" t="s">
        <v>145</v>
      </c>
    </row>
    <row r="66" spans="2:2" ht="13.5" customHeight="1">
      <c r="B66" s="208" t="s">
        <v>490</v>
      </c>
    </row>
    <row r="67" spans="2:2" ht="13.5" customHeight="1">
      <c r="B67" s="208" t="s">
        <v>426</v>
      </c>
    </row>
    <row r="68" spans="2:2" ht="13.5" customHeight="1">
      <c r="B68" s="208" t="s">
        <v>604</v>
      </c>
    </row>
    <row r="69" spans="2:2" ht="13.5" customHeight="1">
      <c r="B69" s="208" t="s">
        <v>605</v>
      </c>
    </row>
    <row r="70" spans="2:2" ht="13.5" customHeight="1">
      <c r="B70" s="208" t="s">
        <v>80</v>
      </c>
    </row>
    <row r="71" spans="2:2" ht="13.5" customHeight="1">
      <c r="B71" s="208" t="s">
        <v>491</v>
      </c>
    </row>
    <row r="72" spans="2:2" ht="13.5" customHeight="1">
      <c r="B72" s="208" t="s">
        <v>492</v>
      </c>
    </row>
    <row r="73" spans="2:2" ht="13.5" customHeight="1">
      <c r="B73" s="208" t="s">
        <v>146</v>
      </c>
    </row>
    <row r="74" spans="2:2" ht="13.5" customHeight="1">
      <c r="B74" s="208" t="s">
        <v>147</v>
      </c>
    </row>
    <row r="75" spans="2:2" ht="13.5" customHeight="1">
      <c r="B75" s="208" t="s">
        <v>148</v>
      </c>
    </row>
    <row r="76" spans="2:2" ht="13.5" customHeight="1">
      <c r="B76" s="208" t="s">
        <v>149</v>
      </c>
    </row>
    <row r="77" spans="2:2" ht="13.5" customHeight="1">
      <c r="B77" s="208" t="s">
        <v>150</v>
      </c>
    </row>
    <row r="78" spans="2:2" s="123" customFormat="1" ht="13.5" customHeight="1">
      <c r="B78" s="208" t="s">
        <v>151</v>
      </c>
    </row>
    <row r="79" spans="2:2" ht="13.5" customHeight="1">
      <c r="B79" s="208" t="s">
        <v>152</v>
      </c>
    </row>
    <row r="80" spans="2:2" ht="13.5" customHeight="1">
      <c r="B80" s="208" t="s">
        <v>153</v>
      </c>
    </row>
    <row r="81" spans="2:2" ht="13.5" customHeight="1">
      <c r="B81" s="208" t="s">
        <v>88</v>
      </c>
    </row>
    <row r="82" spans="2:2" ht="13.5" customHeight="1">
      <c r="B82" s="208" t="s">
        <v>154</v>
      </c>
    </row>
    <row r="83" spans="2:2" ht="14.1" customHeight="1">
      <c r="B83" s="208" t="s">
        <v>493</v>
      </c>
    </row>
    <row r="84" spans="2:2" ht="14.1" customHeight="1">
      <c r="B84" s="208" t="s">
        <v>155</v>
      </c>
    </row>
    <row r="85" spans="2:2" ht="14.1" customHeight="1">
      <c r="B85" s="208" t="s">
        <v>494</v>
      </c>
    </row>
    <row r="86" spans="2:2" ht="14.1" customHeight="1">
      <c r="B86" s="208" t="s">
        <v>156</v>
      </c>
    </row>
    <row r="87" spans="2:2" ht="14.1" customHeight="1">
      <c r="B87" s="208" t="s">
        <v>94</v>
      </c>
    </row>
    <row r="88" spans="2:2" ht="14.1" customHeight="1">
      <c r="B88" s="208" t="s">
        <v>157</v>
      </c>
    </row>
    <row r="89" spans="2:2" ht="14.1" customHeight="1">
      <c r="B89" s="208" t="s">
        <v>606</v>
      </c>
    </row>
    <row r="90" spans="2:2" ht="14.1" customHeight="1">
      <c r="B90" s="208" t="s">
        <v>607</v>
      </c>
    </row>
    <row r="91" spans="2:2" ht="13.5" customHeight="1">
      <c r="B91" s="208" t="s">
        <v>495</v>
      </c>
    </row>
    <row r="92" spans="2:2" ht="18" customHeight="1">
      <c r="B92" s="207" t="s">
        <v>427</v>
      </c>
    </row>
    <row r="93" spans="2:2" ht="14.1" customHeight="1">
      <c r="B93" s="208" t="s">
        <v>158</v>
      </c>
    </row>
    <row r="94" spans="2:2" ht="18" customHeight="1">
      <c r="B94" s="207" t="s">
        <v>428</v>
      </c>
    </row>
    <row r="95" spans="2:2" ht="14.1" customHeight="1">
      <c r="B95" s="208" t="s">
        <v>99</v>
      </c>
    </row>
    <row r="96" spans="2:2" ht="14.1" customHeight="1">
      <c r="B96" s="208" t="s">
        <v>404</v>
      </c>
    </row>
    <row r="97" spans="2:2" ht="13.5" customHeight="1">
      <c r="B97" s="208" t="s">
        <v>100</v>
      </c>
    </row>
    <row r="98" spans="2:2" s="123" customFormat="1" ht="13.5" customHeight="1">
      <c r="B98" s="208" t="s">
        <v>101</v>
      </c>
    </row>
    <row r="99" spans="2:2" ht="14.1" customHeight="1">
      <c r="B99" s="208" t="s">
        <v>102</v>
      </c>
    </row>
    <row r="100" spans="2:2" ht="14.1" customHeight="1">
      <c r="B100" s="208" t="s">
        <v>496</v>
      </c>
    </row>
    <row r="101" spans="2:2" ht="14.1" customHeight="1">
      <c r="B101" s="208" t="s">
        <v>103</v>
      </c>
    </row>
    <row r="102" spans="2:2" ht="14.1" customHeight="1">
      <c r="B102" s="208" t="s">
        <v>104</v>
      </c>
    </row>
    <row r="103" spans="2:2" ht="14.1" customHeight="1">
      <c r="B103" s="208" t="s">
        <v>497</v>
      </c>
    </row>
    <row r="104" spans="2:2" ht="14.1" customHeight="1">
      <c r="B104" s="208" t="s">
        <v>498</v>
      </c>
    </row>
    <row r="105" spans="2:2" ht="14.1" customHeight="1">
      <c r="B105" s="208" t="s">
        <v>105</v>
      </c>
    </row>
    <row r="106" spans="2:2" ht="14.1" customHeight="1">
      <c r="B106" s="208" t="s">
        <v>106</v>
      </c>
    </row>
    <row r="107" spans="2:2" ht="14.1" customHeight="1">
      <c r="B107" s="208" t="s">
        <v>107</v>
      </c>
    </row>
    <row r="108" spans="2:2" ht="14.1" customHeight="1">
      <c r="B108" s="208" t="s">
        <v>108</v>
      </c>
    </row>
    <row r="109" spans="2:2" ht="14.1" customHeight="1">
      <c r="B109" s="208" t="s">
        <v>109</v>
      </c>
    </row>
    <row r="110" spans="2:2" ht="14.1" customHeight="1">
      <c r="B110" s="208" t="s">
        <v>110</v>
      </c>
    </row>
    <row r="111" spans="2:2" ht="14.1" customHeight="1">
      <c r="B111" s="208" t="s">
        <v>429</v>
      </c>
    </row>
    <row r="112" spans="2:2" ht="18" customHeight="1">
      <c r="B112" s="207" t="s">
        <v>430</v>
      </c>
    </row>
    <row r="113" spans="2:2" ht="14.1" customHeight="1">
      <c r="B113" s="208" t="s">
        <v>121</v>
      </c>
    </row>
    <row r="114" spans="2:2" ht="14.1" customHeight="1">
      <c r="B114" s="208" t="s">
        <v>122</v>
      </c>
    </row>
    <row r="115" spans="2:2" s="123" customFormat="1" ht="13.5" customHeight="1">
      <c r="B115" s="208" t="s">
        <v>123</v>
      </c>
    </row>
    <row r="116" spans="2:2" ht="14.1" customHeight="1">
      <c r="B116" s="208" t="s">
        <v>124</v>
      </c>
    </row>
    <row r="117" spans="2:2" ht="14.1" customHeight="1">
      <c r="B117" s="208" t="s">
        <v>125</v>
      </c>
    </row>
    <row r="118" spans="2:2" ht="14.1" customHeight="1">
      <c r="B118" s="208" t="s">
        <v>126</v>
      </c>
    </row>
    <row r="119" spans="2:2" ht="14.1" customHeight="1">
      <c r="B119" s="208" t="s">
        <v>499</v>
      </c>
    </row>
    <row r="120" spans="2:2" ht="14.1" customHeight="1">
      <c r="B120" s="208" t="s">
        <v>127</v>
      </c>
    </row>
    <row r="121" spans="2:2" ht="14.1" customHeight="1">
      <c r="B121" s="208" t="s">
        <v>128</v>
      </c>
    </row>
    <row r="122" spans="2:2" ht="14.1" customHeight="1">
      <c r="B122" s="208" t="s">
        <v>129</v>
      </c>
    </row>
    <row r="123" spans="2:2" ht="14.1" customHeight="1">
      <c r="B123" s="208" t="s">
        <v>130</v>
      </c>
    </row>
    <row r="124" spans="2:2" ht="14.1" customHeight="1">
      <c r="B124" s="208" t="s">
        <v>131</v>
      </c>
    </row>
    <row r="125" spans="2:2" ht="14.1" customHeight="1">
      <c r="B125" s="208" t="s">
        <v>132</v>
      </c>
    </row>
    <row r="126" spans="2:2" ht="14.1" customHeight="1">
      <c r="B126" s="208" t="s">
        <v>133</v>
      </c>
    </row>
    <row r="127" spans="2:2" ht="14.1" customHeight="1">
      <c r="B127" s="208" t="s">
        <v>134</v>
      </c>
    </row>
    <row r="128" spans="2:2" ht="14.1" customHeight="1">
      <c r="B128" s="208" t="s">
        <v>500</v>
      </c>
    </row>
    <row r="129" spans="2:2" ht="14.1" customHeight="1">
      <c r="B129" s="208" t="s">
        <v>501</v>
      </c>
    </row>
    <row r="130" spans="2:2" ht="14.1" customHeight="1">
      <c r="B130" s="208" t="s">
        <v>502</v>
      </c>
    </row>
    <row r="131" spans="2:2" ht="14.1" customHeight="1">
      <c r="B131" s="208" t="s">
        <v>135</v>
      </c>
    </row>
    <row r="132" spans="2:2" ht="14.1" customHeight="1">
      <c r="B132" s="208" t="s">
        <v>136</v>
      </c>
    </row>
    <row r="133" spans="2:2" ht="14.1" customHeight="1">
      <c r="B133" s="208" t="s">
        <v>137</v>
      </c>
    </row>
    <row r="134" spans="2:2" ht="14.1" customHeight="1">
      <c r="B134" s="208" t="s">
        <v>138</v>
      </c>
    </row>
    <row r="135" spans="2:2" ht="14.1" customHeight="1">
      <c r="B135" s="208" t="s">
        <v>139</v>
      </c>
    </row>
    <row r="136" spans="2:2" ht="18" customHeight="1">
      <c r="B136" s="207" t="s">
        <v>431</v>
      </c>
    </row>
    <row r="137" spans="2:2" ht="14.1" customHeight="1">
      <c r="B137" s="208" t="s">
        <v>503</v>
      </c>
    </row>
    <row r="138" spans="2:2" ht="14.1" customHeight="1">
      <c r="B138" s="208" t="s">
        <v>111</v>
      </c>
    </row>
    <row r="139" spans="2:2" ht="14.1" customHeight="1">
      <c r="B139" s="208" t="s">
        <v>112</v>
      </c>
    </row>
    <row r="140" spans="2:2" ht="14.1" customHeight="1">
      <c r="B140" s="208" t="s">
        <v>113</v>
      </c>
    </row>
    <row r="141" spans="2:2" ht="14.1" customHeight="1">
      <c r="B141" s="208" t="s">
        <v>114</v>
      </c>
    </row>
    <row r="142" spans="2:2" ht="14.1" customHeight="1">
      <c r="B142" s="208" t="s">
        <v>115</v>
      </c>
    </row>
    <row r="143" spans="2:2" ht="14.1" customHeight="1">
      <c r="B143" s="208" t="s">
        <v>116</v>
      </c>
    </row>
    <row r="144" spans="2:2" ht="14.1" customHeight="1">
      <c r="B144" s="208" t="s">
        <v>117</v>
      </c>
    </row>
    <row r="145" spans="2:2" ht="14.1" customHeight="1">
      <c r="B145" s="208" t="s">
        <v>118</v>
      </c>
    </row>
    <row r="146" spans="2:2" ht="14.1" customHeight="1">
      <c r="B146" s="208" t="s">
        <v>119</v>
      </c>
    </row>
    <row r="147" spans="2:2" ht="14.1" customHeight="1">
      <c r="B147" s="208" t="s">
        <v>120</v>
      </c>
    </row>
    <row r="148" spans="2:2" ht="14.1" customHeight="1">
      <c r="B148" s="208" t="s">
        <v>504</v>
      </c>
    </row>
    <row r="149" spans="2:2" ht="18" customHeight="1">
      <c r="B149" s="207" t="s">
        <v>432</v>
      </c>
    </row>
    <row r="150" spans="2:2" ht="14.1" customHeight="1">
      <c r="B150" s="208" t="s">
        <v>225</v>
      </c>
    </row>
    <row r="151" spans="2:2" ht="14.1" customHeight="1">
      <c r="B151" s="208" t="s">
        <v>226</v>
      </c>
    </row>
    <row r="152" spans="2:2" ht="14.1" customHeight="1">
      <c r="B152" s="208" t="s">
        <v>227</v>
      </c>
    </row>
    <row r="153" spans="2:2" ht="14.1" customHeight="1">
      <c r="B153" s="208" t="s">
        <v>228</v>
      </c>
    </row>
    <row r="154" spans="2:2" ht="14.1" customHeight="1">
      <c r="B154" s="208" t="s">
        <v>229</v>
      </c>
    </row>
    <row r="155" spans="2:2" ht="14.1" customHeight="1">
      <c r="B155" s="208" t="s">
        <v>230</v>
      </c>
    </row>
    <row r="156" spans="2:2" ht="14.1" customHeight="1">
      <c r="B156" s="208" t="s">
        <v>231</v>
      </c>
    </row>
    <row r="157" spans="2:2" ht="14.1" customHeight="1">
      <c r="B157" s="208" t="s">
        <v>505</v>
      </c>
    </row>
    <row r="158" spans="2:2" ht="14.1" customHeight="1">
      <c r="B158" s="208" t="s">
        <v>506</v>
      </c>
    </row>
    <row r="159" spans="2:2" ht="14.1" customHeight="1">
      <c r="B159" s="208" t="s">
        <v>507</v>
      </c>
    </row>
    <row r="160" spans="2:2" ht="14.1" customHeight="1">
      <c r="B160" s="208" t="s">
        <v>232</v>
      </c>
    </row>
    <row r="161" spans="2:2" ht="14.1" customHeight="1">
      <c r="B161" s="208" t="s">
        <v>508</v>
      </c>
    </row>
    <row r="162" spans="2:2" ht="13.5" customHeight="1">
      <c r="B162" s="208" t="s">
        <v>233</v>
      </c>
    </row>
    <row r="163" spans="2:2" ht="13.5" customHeight="1">
      <c r="B163" s="208" t="s">
        <v>234</v>
      </c>
    </row>
    <row r="164" spans="2:2" ht="13.5" customHeight="1">
      <c r="B164" s="208" t="s">
        <v>235</v>
      </c>
    </row>
    <row r="165" spans="2:2" s="123" customFormat="1" ht="13.5" customHeight="1">
      <c r="B165" s="208" t="s">
        <v>236</v>
      </c>
    </row>
    <row r="166" spans="2:2" ht="14.1" customHeight="1">
      <c r="B166" s="208" t="s">
        <v>237</v>
      </c>
    </row>
    <row r="167" spans="2:2" ht="18" customHeight="1">
      <c r="B167" s="207" t="s">
        <v>509</v>
      </c>
    </row>
    <row r="168" spans="2:2" ht="14.1" customHeight="1">
      <c r="B168" s="208" t="s">
        <v>189</v>
      </c>
    </row>
    <row r="169" spans="2:2" ht="14.1" customHeight="1">
      <c r="B169" s="208" t="s">
        <v>510</v>
      </c>
    </row>
    <row r="170" spans="2:2" ht="14.1" customHeight="1">
      <c r="B170" s="208" t="s">
        <v>511</v>
      </c>
    </row>
    <row r="171" spans="2:2" ht="14.1" customHeight="1">
      <c r="B171" s="208" t="s">
        <v>190</v>
      </c>
    </row>
    <row r="172" spans="2:2" ht="14.1" customHeight="1">
      <c r="B172" s="208" t="s">
        <v>512</v>
      </c>
    </row>
    <row r="173" spans="2:2" ht="14.1" customHeight="1">
      <c r="B173" s="208" t="s">
        <v>191</v>
      </c>
    </row>
    <row r="174" spans="2:2" ht="14.1" customHeight="1">
      <c r="B174" s="208" t="s">
        <v>192</v>
      </c>
    </row>
    <row r="175" spans="2:2" ht="14.1" customHeight="1">
      <c r="B175" s="208" t="s">
        <v>193</v>
      </c>
    </row>
    <row r="176" spans="2:2" ht="14.1" customHeight="1">
      <c r="B176" s="208" t="s">
        <v>194</v>
      </c>
    </row>
    <row r="177" spans="2:2" ht="14.1" customHeight="1">
      <c r="B177" s="208" t="s">
        <v>195</v>
      </c>
    </row>
    <row r="178" spans="2:2" ht="14.1" customHeight="1">
      <c r="B178" s="208" t="s">
        <v>196</v>
      </c>
    </row>
    <row r="179" spans="2:2" ht="14.1" customHeight="1">
      <c r="B179" s="208" t="s">
        <v>197</v>
      </c>
    </row>
    <row r="180" spans="2:2" ht="14.1" customHeight="1">
      <c r="B180" s="208" t="s">
        <v>198</v>
      </c>
    </row>
    <row r="181" spans="2:2" ht="14.1" customHeight="1">
      <c r="B181" s="208" t="s">
        <v>199</v>
      </c>
    </row>
    <row r="182" spans="2:2" ht="14.1" customHeight="1">
      <c r="B182" s="208" t="s">
        <v>200</v>
      </c>
    </row>
    <row r="183" spans="2:2" ht="14.1" customHeight="1">
      <c r="B183" s="208" t="s">
        <v>513</v>
      </c>
    </row>
    <row r="184" spans="2:2" ht="14.1" customHeight="1">
      <c r="B184" s="208" t="s">
        <v>346</v>
      </c>
    </row>
    <row r="185" spans="2:2" ht="14.1" customHeight="1">
      <c r="B185" s="208" t="s">
        <v>201</v>
      </c>
    </row>
    <row r="186" spans="2:2" ht="14.1" customHeight="1">
      <c r="B186" s="208" t="s">
        <v>202</v>
      </c>
    </row>
    <row r="187" spans="2:2" ht="14.1" customHeight="1">
      <c r="B187" s="208" t="s">
        <v>203</v>
      </c>
    </row>
    <row r="188" spans="2:2" ht="14.1" customHeight="1">
      <c r="B188" s="208" t="s">
        <v>204</v>
      </c>
    </row>
    <row r="189" spans="2:2" ht="14.1" customHeight="1">
      <c r="B189" s="208" t="s">
        <v>205</v>
      </c>
    </row>
    <row r="190" spans="2:2" ht="14.1" customHeight="1">
      <c r="B190" s="208" t="s">
        <v>206</v>
      </c>
    </row>
    <row r="191" spans="2:2" ht="14.1" customHeight="1">
      <c r="B191" s="208" t="s">
        <v>207</v>
      </c>
    </row>
    <row r="192" spans="2:2" ht="14.1" customHeight="1">
      <c r="B192" s="208" t="s">
        <v>208</v>
      </c>
    </row>
    <row r="193" spans="2:2" ht="14.1" customHeight="1">
      <c r="B193" s="208" t="s">
        <v>209</v>
      </c>
    </row>
    <row r="194" spans="2:2" ht="14.1" customHeight="1">
      <c r="B194" s="208" t="s">
        <v>210</v>
      </c>
    </row>
    <row r="195" spans="2:2" ht="14.1" customHeight="1">
      <c r="B195" s="208" t="s">
        <v>211</v>
      </c>
    </row>
    <row r="196" spans="2:2" ht="14.1" customHeight="1">
      <c r="B196" s="208" t="s">
        <v>212</v>
      </c>
    </row>
    <row r="197" spans="2:2" ht="14.1" customHeight="1">
      <c r="B197" s="208" t="s">
        <v>213</v>
      </c>
    </row>
    <row r="198" spans="2:2" ht="14.1" customHeight="1">
      <c r="B198" s="208" t="s">
        <v>514</v>
      </c>
    </row>
    <row r="199" spans="2:2" ht="14.1" customHeight="1">
      <c r="B199" s="208" t="s">
        <v>214</v>
      </c>
    </row>
    <row r="200" spans="2:2" ht="14.1" customHeight="1">
      <c r="B200" s="208" t="s">
        <v>215</v>
      </c>
    </row>
    <row r="201" spans="2:2" ht="14.1" customHeight="1">
      <c r="B201" s="208" t="s">
        <v>216</v>
      </c>
    </row>
    <row r="202" spans="2:2" ht="14.1" customHeight="1">
      <c r="B202" s="208" t="s">
        <v>515</v>
      </c>
    </row>
    <row r="203" spans="2:2" ht="14.1" customHeight="1">
      <c r="B203" s="208" t="s">
        <v>516</v>
      </c>
    </row>
    <row r="204" spans="2:2" ht="14.1" customHeight="1">
      <c r="B204" s="208" t="s">
        <v>517</v>
      </c>
    </row>
    <row r="205" spans="2:2" ht="14.1" customHeight="1">
      <c r="B205" s="208" t="s">
        <v>518</v>
      </c>
    </row>
    <row r="206" spans="2:2" ht="14.1" customHeight="1">
      <c r="B206" s="208" t="s">
        <v>519</v>
      </c>
    </row>
    <row r="207" spans="2:2" ht="14.1" customHeight="1">
      <c r="B207" s="208" t="s">
        <v>520</v>
      </c>
    </row>
    <row r="208" spans="2:2" ht="14.1" customHeight="1">
      <c r="B208" s="208" t="s">
        <v>521</v>
      </c>
    </row>
    <row r="209" spans="2:2" ht="14.1" customHeight="1">
      <c r="B209" s="208" t="s">
        <v>522</v>
      </c>
    </row>
    <row r="210" spans="2:2" ht="14.1" customHeight="1">
      <c r="B210" s="208" t="s">
        <v>523</v>
      </c>
    </row>
    <row r="211" spans="2:2" ht="14.1" customHeight="1">
      <c r="B211" s="208" t="s">
        <v>524</v>
      </c>
    </row>
    <row r="212" spans="2:2" ht="14.1" customHeight="1">
      <c r="B212" s="208" t="s">
        <v>525</v>
      </c>
    </row>
    <row r="213" spans="2:2" ht="14.1" customHeight="1">
      <c r="B213" s="208" t="s">
        <v>526</v>
      </c>
    </row>
    <row r="214" spans="2:2" ht="14.1" customHeight="1">
      <c r="B214" s="208" t="s">
        <v>527</v>
      </c>
    </row>
    <row r="215" spans="2:2" ht="14.1" customHeight="1">
      <c r="B215" s="208" t="s">
        <v>528</v>
      </c>
    </row>
    <row r="216" spans="2:2" ht="14.1" customHeight="1">
      <c r="B216" s="208" t="s">
        <v>529</v>
      </c>
    </row>
    <row r="217" spans="2:2" ht="14.1" customHeight="1">
      <c r="B217" s="208" t="s">
        <v>530</v>
      </c>
    </row>
    <row r="218" spans="2:2" ht="14.1" customHeight="1">
      <c r="B218" s="208" t="s">
        <v>531</v>
      </c>
    </row>
    <row r="219" spans="2:2" ht="14.1" customHeight="1">
      <c r="B219" s="208" t="s">
        <v>532</v>
      </c>
    </row>
    <row r="220" spans="2:2" ht="14.1" customHeight="1">
      <c r="B220" s="208" t="s">
        <v>533</v>
      </c>
    </row>
    <row r="221" spans="2:2" ht="14.1" customHeight="1">
      <c r="B221" s="208" t="s">
        <v>534</v>
      </c>
    </row>
    <row r="222" spans="2:2" ht="14.1" customHeight="1">
      <c r="B222" s="208" t="s">
        <v>535</v>
      </c>
    </row>
    <row r="223" spans="2:2" ht="14.1" customHeight="1">
      <c r="B223" s="208" t="s">
        <v>536</v>
      </c>
    </row>
    <row r="224" spans="2:2" ht="14.1" customHeight="1">
      <c r="B224" s="208" t="s">
        <v>537</v>
      </c>
    </row>
    <row r="225" spans="2:2" ht="14.1" customHeight="1">
      <c r="B225" s="208" t="s">
        <v>538</v>
      </c>
    </row>
    <row r="226" spans="2:2" ht="14.1" customHeight="1">
      <c r="B226" s="208" t="s">
        <v>539</v>
      </c>
    </row>
    <row r="227" spans="2:2" ht="14.1" customHeight="1">
      <c r="B227" s="208" t="s">
        <v>540</v>
      </c>
    </row>
    <row r="228" spans="2:2" ht="14.1" customHeight="1">
      <c r="B228" s="208" t="s">
        <v>541</v>
      </c>
    </row>
    <row r="229" spans="2:2" ht="14.1" customHeight="1">
      <c r="B229" s="208" t="s">
        <v>542</v>
      </c>
    </row>
    <row r="230" spans="2:2" ht="14.1" customHeight="1">
      <c r="B230" s="208" t="s">
        <v>543</v>
      </c>
    </row>
    <row r="231" spans="2:2" ht="14.1" customHeight="1">
      <c r="B231" s="208" t="s">
        <v>544</v>
      </c>
    </row>
    <row r="232" spans="2:2" ht="14.1" customHeight="1">
      <c r="B232" s="208" t="s">
        <v>545</v>
      </c>
    </row>
    <row r="233" spans="2:2" ht="14.1" customHeight="1">
      <c r="B233" s="208" t="s">
        <v>546</v>
      </c>
    </row>
    <row r="234" spans="2:2" ht="14.1" customHeight="1">
      <c r="B234" s="208" t="s">
        <v>547</v>
      </c>
    </row>
    <row r="235" spans="2:2" ht="14.1" customHeight="1">
      <c r="B235" s="208" t="s">
        <v>548</v>
      </c>
    </row>
    <row r="236" spans="2:2" ht="14.1" customHeight="1">
      <c r="B236" s="208" t="s">
        <v>549</v>
      </c>
    </row>
    <row r="237" spans="2:2" ht="14.1" customHeight="1">
      <c r="B237" s="208" t="s">
        <v>550</v>
      </c>
    </row>
    <row r="238" spans="2:2" ht="14.1" customHeight="1">
      <c r="B238" s="208" t="s">
        <v>551</v>
      </c>
    </row>
    <row r="239" spans="2:2" ht="14.1" customHeight="1">
      <c r="B239" s="208" t="s">
        <v>552</v>
      </c>
    </row>
    <row r="240" spans="2:2" ht="14.1" customHeight="1">
      <c r="B240" s="208" t="s">
        <v>553</v>
      </c>
    </row>
    <row r="241" spans="2:2" ht="14.1" customHeight="1">
      <c r="B241" s="208" t="s">
        <v>554</v>
      </c>
    </row>
    <row r="242" spans="2:2" ht="14.1" customHeight="1">
      <c r="B242" s="208" t="s">
        <v>555</v>
      </c>
    </row>
    <row r="243" spans="2:2" ht="14.1" customHeight="1">
      <c r="B243" s="208" t="s">
        <v>556</v>
      </c>
    </row>
    <row r="244" spans="2:2" ht="14.1" customHeight="1">
      <c r="B244" s="208" t="s">
        <v>557</v>
      </c>
    </row>
    <row r="245" spans="2:2" ht="14.1" customHeight="1">
      <c r="B245" s="208" t="s">
        <v>217</v>
      </c>
    </row>
    <row r="246" spans="2:2" ht="14.1" customHeight="1">
      <c r="B246" s="208" t="s">
        <v>218</v>
      </c>
    </row>
    <row r="247" spans="2:2" ht="14.1" customHeight="1">
      <c r="B247" s="208" t="s">
        <v>219</v>
      </c>
    </row>
    <row r="248" spans="2:2" ht="14.1" customHeight="1">
      <c r="B248" s="208" t="s">
        <v>558</v>
      </c>
    </row>
    <row r="249" spans="2:2" ht="14.1" customHeight="1">
      <c r="B249" s="208" t="s">
        <v>220</v>
      </c>
    </row>
    <row r="250" spans="2:2" ht="14.1" customHeight="1">
      <c r="B250" s="208" t="s">
        <v>221</v>
      </c>
    </row>
    <row r="251" spans="2:2" ht="14.1" customHeight="1">
      <c r="B251" s="208" t="s">
        <v>559</v>
      </c>
    </row>
    <row r="252" spans="2:2" ht="14.1" customHeight="1">
      <c r="B252" s="208" t="s">
        <v>222</v>
      </c>
    </row>
    <row r="253" spans="2:2" ht="14.1" customHeight="1">
      <c r="B253" s="208" t="s">
        <v>223</v>
      </c>
    </row>
    <row r="254" spans="2:2" ht="14.1" customHeight="1">
      <c r="B254" s="208" t="s">
        <v>560</v>
      </c>
    </row>
    <row r="255" spans="2:2" ht="14.1" customHeight="1">
      <c r="B255" s="208" t="s">
        <v>561</v>
      </c>
    </row>
    <row r="256" spans="2:2" ht="13.5" customHeight="1">
      <c r="B256" s="208" t="s">
        <v>224</v>
      </c>
    </row>
    <row r="257" spans="2:2" ht="13.5" customHeight="1">
      <c r="B257" s="208" t="s">
        <v>562</v>
      </c>
    </row>
    <row r="258" spans="2:2" s="123" customFormat="1" ht="18" customHeight="1">
      <c r="B258" s="207" t="s">
        <v>433</v>
      </c>
    </row>
    <row r="259" spans="2:2" ht="14.1" customHeight="1">
      <c r="B259" s="208" t="s">
        <v>563</v>
      </c>
    </row>
    <row r="260" spans="2:2" ht="14.1" customHeight="1">
      <c r="B260" s="208" t="s">
        <v>278</v>
      </c>
    </row>
    <row r="261" spans="2:2" ht="14.1" customHeight="1">
      <c r="B261" s="208" t="s">
        <v>608</v>
      </c>
    </row>
    <row r="262" spans="2:2" ht="14.1" customHeight="1">
      <c r="B262" s="208" t="s">
        <v>609</v>
      </c>
    </row>
    <row r="263" spans="2:2" ht="14.1" customHeight="1">
      <c r="B263" s="208" t="s">
        <v>610</v>
      </c>
    </row>
    <row r="264" spans="2:2" ht="14.1" customHeight="1">
      <c r="B264" s="208" t="s">
        <v>611</v>
      </c>
    </row>
    <row r="265" spans="2:2" ht="14.1" customHeight="1">
      <c r="B265" s="208" t="s">
        <v>612</v>
      </c>
    </row>
    <row r="266" spans="2:2" ht="14.1" customHeight="1">
      <c r="B266" s="208" t="s">
        <v>279</v>
      </c>
    </row>
    <row r="267" spans="2:2" ht="14.1" customHeight="1">
      <c r="B267" s="208" t="s">
        <v>280</v>
      </c>
    </row>
    <row r="268" spans="2:2" ht="14.1" customHeight="1">
      <c r="B268" s="208" t="s">
        <v>564</v>
      </c>
    </row>
    <row r="269" spans="2:2" ht="14.1" customHeight="1">
      <c r="B269" s="208" t="s">
        <v>281</v>
      </c>
    </row>
    <row r="270" spans="2:2" ht="14.1" customHeight="1">
      <c r="B270" s="208" t="s">
        <v>565</v>
      </c>
    </row>
    <row r="271" spans="2:2" ht="14.1" customHeight="1">
      <c r="B271" s="208" t="s">
        <v>282</v>
      </c>
    </row>
    <row r="272" spans="2:2" ht="14.1" customHeight="1">
      <c r="B272" s="208" t="s">
        <v>283</v>
      </c>
    </row>
    <row r="273" spans="2:2" ht="14.1" customHeight="1">
      <c r="B273" s="208" t="s">
        <v>284</v>
      </c>
    </row>
    <row r="274" spans="2:2" ht="14.1" customHeight="1">
      <c r="B274" s="208" t="s">
        <v>434</v>
      </c>
    </row>
    <row r="275" spans="2:2" ht="14.1" customHeight="1">
      <c r="B275" s="208" t="s">
        <v>566</v>
      </c>
    </row>
    <row r="276" spans="2:2" ht="14.1" customHeight="1">
      <c r="B276" s="208" t="s">
        <v>567</v>
      </c>
    </row>
    <row r="277" spans="2:2" ht="14.1" customHeight="1">
      <c r="B277" s="208" t="s">
        <v>568</v>
      </c>
    </row>
    <row r="278" spans="2:2" ht="14.1" customHeight="1">
      <c r="B278" s="208" t="s">
        <v>285</v>
      </c>
    </row>
    <row r="279" spans="2:2" ht="14.1" customHeight="1">
      <c r="B279" s="208" t="s">
        <v>286</v>
      </c>
    </row>
    <row r="280" spans="2:2" ht="13.5" customHeight="1">
      <c r="B280" s="208" t="s">
        <v>287</v>
      </c>
    </row>
    <row r="281" spans="2:2" ht="14.1" customHeight="1">
      <c r="B281" s="208" t="s">
        <v>569</v>
      </c>
    </row>
    <row r="282" spans="2:2" ht="13.5" customHeight="1">
      <c r="B282" s="208" t="s">
        <v>347</v>
      </c>
    </row>
    <row r="283" spans="2:2" s="123" customFormat="1" ht="13.5" customHeight="1">
      <c r="B283" s="208" t="s">
        <v>348</v>
      </c>
    </row>
    <row r="284" spans="2:2" ht="14.1" customHeight="1">
      <c r="B284" s="208" t="s">
        <v>332</v>
      </c>
    </row>
    <row r="285" spans="2:2" ht="14.1" customHeight="1">
      <c r="B285" s="208" t="s">
        <v>349</v>
      </c>
    </row>
    <row r="286" spans="2:2" ht="14.1" customHeight="1">
      <c r="B286" s="208" t="s">
        <v>350</v>
      </c>
    </row>
    <row r="287" spans="2:2" ht="14.1" customHeight="1">
      <c r="B287" s="208" t="s">
        <v>570</v>
      </c>
    </row>
    <row r="288" spans="2:2" ht="14.1" customHeight="1">
      <c r="B288" s="208" t="s">
        <v>571</v>
      </c>
    </row>
    <row r="289" spans="2:2" ht="14.1" customHeight="1">
      <c r="B289" s="208" t="s">
        <v>351</v>
      </c>
    </row>
    <row r="290" spans="2:2" ht="14.1" customHeight="1">
      <c r="B290" s="208" t="s">
        <v>352</v>
      </c>
    </row>
    <row r="291" spans="2:2" ht="14.1" customHeight="1">
      <c r="B291" s="208" t="s">
        <v>353</v>
      </c>
    </row>
    <row r="292" spans="2:2" ht="14.1" customHeight="1">
      <c r="B292" s="208" t="s">
        <v>354</v>
      </c>
    </row>
    <row r="293" spans="2:2" ht="14.1" customHeight="1">
      <c r="B293" s="208" t="s">
        <v>333</v>
      </c>
    </row>
    <row r="294" spans="2:2" ht="14.1" customHeight="1">
      <c r="B294" s="208" t="s">
        <v>355</v>
      </c>
    </row>
    <row r="295" spans="2:2" ht="14.1" customHeight="1">
      <c r="B295" s="208" t="s">
        <v>356</v>
      </c>
    </row>
    <row r="296" spans="2:2" ht="14.1" customHeight="1">
      <c r="B296" s="208" t="s">
        <v>357</v>
      </c>
    </row>
    <row r="297" spans="2:2" ht="14.1" customHeight="1">
      <c r="B297" s="208" t="s">
        <v>358</v>
      </c>
    </row>
    <row r="298" spans="2:2" ht="14.1" customHeight="1">
      <c r="B298" s="208" t="s">
        <v>288</v>
      </c>
    </row>
    <row r="299" spans="2:2" ht="14.1" customHeight="1">
      <c r="B299" s="208" t="s">
        <v>359</v>
      </c>
    </row>
    <row r="300" spans="2:2" ht="14.1" customHeight="1">
      <c r="B300" s="208" t="s">
        <v>360</v>
      </c>
    </row>
    <row r="301" spans="2:2" ht="14.1" customHeight="1">
      <c r="B301" s="208" t="s">
        <v>361</v>
      </c>
    </row>
    <row r="302" spans="2:2" ht="14.1" customHeight="1">
      <c r="B302" s="208" t="s">
        <v>362</v>
      </c>
    </row>
    <row r="303" spans="2:2" ht="14.1" customHeight="1">
      <c r="B303" s="208" t="s">
        <v>363</v>
      </c>
    </row>
    <row r="304" spans="2:2" ht="14.1" customHeight="1">
      <c r="B304" s="208" t="s">
        <v>364</v>
      </c>
    </row>
    <row r="305" spans="2:2" ht="14.1" customHeight="1">
      <c r="B305" s="208" t="s">
        <v>365</v>
      </c>
    </row>
    <row r="306" spans="2:2" ht="14.1" customHeight="1">
      <c r="B306" s="208" t="s">
        <v>366</v>
      </c>
    </row>
    <row r="307" spans="2:2" ht="14.1" customHeight="1">
      <c r="B307" s="208" t="s">
        <v>367</v>
      </c>
    </row>
    <row r="308" spans="2:2" ht="14.1" customHeight="1">
      <c r="B308" s="208" t="s">
        <v>368</v>
      </c>
    </row>
    <row r="309" spans="2:2" ht="14.1" customHeight="1">
      <c r="B309" s="208" t="s">
        <v>369</v>
      </c>
    </row>
    <row r="310" spans="2:2" ht="14.1" customHeight="1">
      <c r="B310" s="208" t="s">
        <v>334</v>
      </c>
    </row>
    <row r="311" spans="2:2" ht="14.1" customHeight="1">
      <c r="B311" s="208" t="s">
        <v>370</v>
      </c>
    </row>
    <row r="312" spans="2:2" ht="14.1" customHeight="1">
      <c r="B312" s="208" t="s">
        <v>335</v>
      </c>
    </row>
    <row r="313" spans="2:2" ht="14.1" customHeight="1">
      <c r="B313" s="208" t="s">
        <v>371</v>
      </c>
    </row>
    <row r="314" spans="2:2" ht="14.1" customHeight="1">
      <c r="B314" s="208" t="s">
        <v>372</v>
      </c>
    </row>
    <row r="315" spans="2:2" ht="14.1" customHeight="1">
      <c r="B315" s="208" t="s">
        <v>336</v>
      </c>
    </row>
    <row r="316" spans="2:2" ht="14.1" customHeight="1">
      <c r="B316" s="208" t="s">
        <v>373</v>
      </c>
    </row>
    <row r="317" spans="2:2" ht="14.1" customHeight="1">
      <c r="B317" s="208" t="s">
        <v>374</v>
      </c>
    </row>
    <row r="318" spans="2:2" ht="14.1" customHeight="1">
      <c r="B318" s="208" t="s">
        <v>337</v>
      </c>
    </row>
    <row r="319" spans="2:2" ht="14.1" customHeight="1">
      <c r="B319" s="208" t="s">
        <v>375</v>
      </c>
    </row>
    <row r="320" spans="2:2" ht="14.1" customHeight="1">
      <c r="B320" s="208" t="s">
        <v>405</v>
      </c>
    </row>
    <row r="321" spans="2:2" ht="18" customHeight="1">
      <c r="B321" s="207" t="s">
        <v>435</v>
      </c>
    </row>
    <row r="322" spans="2:2" ht="14.1" customHeight="1">
      <c r="B322" s="208" t="s">
        <v>52</v>
      </c>
    </row>
    <row r="323" spans="2:2" ht="14.1" customHeight="1">
      <c r="B323" s="208" t="s">
        <v>376</v>
      </c>
    </row>
    <row r="324" spans="2:2" ht="14.1" customHeight="1">
      <c r="B324" s="208" t="s">
        <v>304</v>
      </c>
    </row>
    <row r="325" spans="2:2" s="123" customFormat="1" ht="13.5" customHeight="1">
      <c r="B325" s="208" t="s">
        <v>305</v>
      </c>
    </row>
    <row r="326" spans="2:2" ht="14.1" customHeight="1">
      <c r="B326" s="208" t="s">
        <v>455</v>
      </c>
    </row>
    <row r="327" spans="2:2" ht="14.1" customHeight="1">
      <c r="B327" s="208" t="s">
        <v>306</v>
      </c>
    </row>
    <row r="328" spans="2:2" ht="14.1" customHeight="1">
      <c r="B328" s="208" t="s">
        <v>339</v>
      </c>
    </row>
    <row r="329" spans="2:2" ht="14.1" customHeight="1">
      <c r="B329" s="208" t="s">
        <v>572</v>
      </c>
    </row>
    <row r="330" spans="2:2" ht="14.1" customHeight="1">
      <c r="B330" s="208" t="s">
        <v>307</v>
      </c>
    </row>
    <row r="331" spans="2:2" ht="14.1" customHeight="1">
      <c r="B331" s="208" t="s">
        <v>340</v>
      </c>
    </row>
    <row r="332" spans="2:2" ht="14.1" customHeight="1">
      <c r="B332" s="208" t="s">
        <v>308</v>
      </c>
    </row>
    <row r="333" spans="2:2" ht="14.1" customHeight="1">
      <c r="B333" s="208" t="s">
        <v>309</v>
      </c>
    </row>
    <row r="334" spans="2:2" ht="14.1" customHeight="1">
      <c r="B334" s="208" t="s">
        <v>436</v>
      </c>
    </row>
    <row r="335" spans="2:2" ht="14.1" customHeight="1">
      <c r="B335" s="208" t="s">
        <v>0</v>
      </c>
    </row>
    <row r="336" spans="2:2" ht="14.1" customHeight="1">
      <c r="B336" s="208" t="s">
        <v>573</v>
      </c>
    </row>
    <row r="337" spans="2:2" ht="14.1" customHeight="1">
      <c r="B337" s="208" t="s">
        <v>310</v>
      </c>
    </row>
    <row r="338" spans="2:2" ht="14.1" customHeight="1">
      <c r="B338" s="208" t="s">
        <v>574</v>
      </c>
    </row>
    <row r="339" spans="2:2" ht="14.1" customHeight="1">
      <c r="B339" s="208" t="s">
        <v>311</v>
      </c>
    </row>
    <row r="340" spans="2:2" ht="14.1" customHeight="1">
      <c r="B340" s="208" t="s">
        <v>575</v>
      </c>
    </row>
    <row r="341" spans="2:2" ht="14.1" customHeight="1">
      <c r="B341" s="208" t="s">
        <v>1</v>
      </c>
    </row>
    <row r="342" spans="2:2" ht="14.1" customHeight="1">
      <c r="B342" s="208" t="s">
        <v>300</v>
      </c>
    </row>
    <row r="343" spans="2:2" ht="14.1" customHeight="1">
      <c r="B343" s="208" t="s">
        <v>576</v>
      </c>
    </row>
    <row r="344" spans="2:2" ht="14.1" customHeight="1">
      <c r="B344" s="208" t="s">
        <v>577</v>
      </c>
    </row>
    <row r="345" spans="2:2" ht="14.1" customHeight="1">
      <c r="B345" s="208" t="s">
        <v>578</v>
      </c>
    </row>
    <row r="346" spans="2:2" ht="18" customHeight="1">
      <c r="B346" s="207" t="s">
        <v>437</v>
      </c>
    </row>
    <row r="347" spans="2:2" ht="14.1" customHeight="1">
      <c r="B347" s="208" t="s">
        <v>579</v>
      </c>
    </row>
    <row r="348" spans="2:2" ht="14.1" customHeight="1">
      <c r="B348" s="208" t="s">
        <v>159</v>
      </c>
    </row>
    <row r="349" spans="2:2" ht="14.1" customHeight="1">
      <c r="B349" s="208" t="s">
        <v>580</v>
      </c>
    </row>
    <row r="350" spans="2:2" ht="14.1" customHeight="1">
      <c r="B350" s="208" t="s">
        <v>438</v>
      </c>
    </row>
    <row r="351" spans="2:2" ht="14.1" customHeight="1">
      <c r="B351" s="208" t="s">
        <v>581</v>
      </c>
    </row>
    <row r="352" spans="2:2" ht="14.1" customHeight="1">
      <c r="B352" s="208" t="s">
        <v>161</v>
      </c>
    </row>
    <row r="353" spans="2:2" ht="14.1" customHeight="1">
      <c r="B353" s="208" t="s">
        <v>582</v>
      </c>
    </row>
    <row r="354" spans="2:2" ht="14.1" customHeight="1">
      <c r="B354" s="208" t="s">
        <v>164</v>
      </c>
    </row>
    <row r="355" spans="2:2" ht="14.1" customHeight="1">
      <c r="B355" s="208" t="s">
        <v>165</v>
      </c>
    </row>
    <row r="356" spans="2:2" ht="14.1" customHeight="1">
      <c r="B356" s="208" t="s">
        <v>166</v>
      </c>
    </row>
    <row r="357" spans="2:2" ht="14.1" customHeight="1">
      <c r="B357" s="208" t="s">
        <v>167</v>
      </c>
    </row>
    <row r="358" spans="2:2" ht="14.1" customHeight="1">
      <c r="B358" s="208" t="s">
        <v>168</v>
      </c>
    </row>
    <row r="359" spans="2:2" ht="14.1" customHeight="1">
      <c r="B359" s="208" t="s">
        <v>449</v>
      </c>
    </row>
    <row r="360" spans="2:2" ht="14.1" customHeight="1">
      <c r="B360" s="208" t="s">
        <v>169</v>
      </c>
    </row>
    <row r="361" spans="2:2" ht="14.1" customHeight="1">
      <c r="B361" s="208" t="s">
        <v>170</v>
      </c>
    </row>
    <row r="362" spans="2:2" ht="14.1" customHeight="1">
      <c r="B362" s="208" t="s">
        <v>171</v>
      </c>
    </row>
    <row r="363" spans="2:2" ht="14.1" customHeight="1">
      <c r="B363" s="208" t="s">
        <v>172</v>
      </c>
    </row>
    <row r="364" spans="2:2" ht="14.1" customHeight="1">
      <c r="B364" s="208" t="s">
        <v>173</v>
      </c>
    </row>
    <row r="365" spans="2:2" ht="14.1" customHeight="1">
      <c r="B365" s="208" t="s">
        <v>174</v>
      </c>
    </row>
    <row r="366" spans="2:2" ht="14.1" customHeight="1">
      <c r="B366" s="208" t="s">
        <v>440</v>
      </c>
    </row>
    <row r="367" spans="2:2" ht="14.1" customHeight="1">
      <c r="B367" s="208" t="s">
        <v>583</v>
      </c>
    </row>
    <row r="368" spans="2:2" ht="14.1" customHeight="1">
      <c r="B368" s="208" t="s">
        <v>175</v>
      </c>
    </row>
    <row r="369" spans="2:2" ht="14.1" customHeight="1">
      <c r="B369" s="208" t="s">
        <v>176</v>
      </c>
    </row>
    <row r="370" spans="2:2" ht="14.1" customHeight="1">
      <c r="B370" s="208" t="s">
        <v>177</v>
      </c>
    </row>
    <row r="371" spans="2:2" ht="14.1" customHeight="1">
      <c r="B371" s="208" t="s">
        <v>178</v>
      </c>
    </row>
    <row r="372" spans="2:2" ht="14.1" customHeight="1">
      <c r="B372" s="208" t="s">
        <v>179</v>
      </c>
    </row>
    <row r="373" spans="2:2" ht="14.1" customHeight="1">
      <c r="B373" s="208" t="s">
        <v>180</v>
      </c>
    </row>
    <row r="374" spans="2:2" ht="14.1" customHeight="1">
      <c r="B374" s="208" t="s">
        <v>441</v>
      </c>
    </row>
    <row r="375" spans="2:2" ht="18" customHeight="1">
      <c r="B375" s="207" t="s">
        <v>442</v>
      </c>
    </row>
    <row r="376" spans="2:2" ht="14.1" customHeight="1">
      <c r="B376" s="208" t="s">
        <v>584</v>
      </c>
    </row>
    <row r="377" spans="2:2" ht="14.1" customHeight="1">
      <c r="B377" s="208" t="s">
        <v>238</v>
      </c>
    </row>
    <row r="378" spans="2:2" ht="14.1" customHeight="1">
      <c r="B378" s="208" t="s">
        <v>239</v>
      </c>
    </row>
    <row r="379" spans="2:2" ht="14.1" customHeight="1">
      <c r="B379" s="208" t="s">
        <v>240</v>
      </c>
    </row>
    <row r="380" spans="2:2" ht="13.5" customHeight="1">
      <c r="B380" s="208" t="s">
        <v>613</v>
      </c>
    </row>
    <row r="381" spans="2:2" ht="13.5" customHeight="1">
      <c r="B381" s="208" t="s">
        <v>614</v>
      </c>
    </row>
    <row r="382" spans="2:2" ht="13.5" customHeight="1">
      <c r="B382" s="208" t="s">
        <v>241</v>
      </c>
    </row>
    <row r="383" spans="2:2" ht="13.5" customHeight="1">
      <c r="B383" s="208" t="s">
        <v>242</v>
      </c>
    </row>
    <row r="384" spans="2:2" ht="14.1" customHeight="1">
      <c r="B384" s="208" t="s">
        <v>243</v>
      </c>
    </row>
    <row r="385" spans="2:2" ht="14.1" customHeight="1">
      <c r="B385" s="208" t="s">
        <v>244</v>
      </c>
    </row>
    <row r="386" spans="2:2" ht="14.1" customHeight="1">
      <c r="B386" s="208" t="s">
        <v>245</v>
      </c>
    </row>
    <row r="387" spans="2:2" ht="14.1" customHeight="1">
      <c r="B387" s="208" t="s">
        <v>246</v>
      </c>
    </row>
    <row r="388" spans="2:2" ht="14.1" customHeight="1">
      <c r="B388" s="208" t="s">
        <v>247</v>
      </c>
    </row>
    <row r="389" spans="2:2" ht="14.1" customHeight="1">
      <c r="B389" s="208" t="s">
        <v>248</v>
      </c>
    </row>
    <row r="390" spans="2:2" ht="14.1" customHeight="1">
      <c r="B390" s="208" t="s">
        <v>249</v>
      </c>
    </row>
    <row r="391" spans="2:2" ht="14.1" customHeight="1">
      <c r="B391" s="208" t="s">
        <v>250</v>
      </c>
    </row>
    <row r="392" spans="2:2" ht="14.1" customHeight="1">
      <c r="B392" s="208" t="s">
        <v>251</v>
      </c>
    </row>
    <row r="393" spans="2:2" ht="14.1" customHeight="1">
      <c r="B393" s="208" t="s">
        <v>252</v>
      </c>
    </row>
    <row r="394" spans="2:2" s="123" customFormat="1" ht="13.5" customHeight="1">
      <c r="B394" s="208" t="s">
        <v>253</v>
      </c>
    </row>
    <row r="395" spans="2:2" ht="14.1" customHeight="1">
      <c r="B395" s="208" t="s">
        <v>254</v>
      </c>
    </row>
    <row r="396" spans="2:2" ht="14.1" customHeight="1">
      <c r="B396" s="208" t="s">
        <v>255</v>
      </c>
    </row>
    <row r="397" spans="2:2" ht="14.1" customHeight="1">
      <c r="B397" s="208" t="s">
        <v>256</v>
      </c>
    </row>
    <row r="398" spans="2:2" ht="14.1" customHeight="1">
      <c r="B398" s="208" t="s">
        <v>257</v>
      </c>
    </row>
    <row r="399" spans="2:2" ht="14.1" customHeight="1">
      <c r="B399" s="208" t="s">
        <v>258</v>
      </c>
    </row>
    <row r="400" spans="2:2" ht="13.5" customHeight="1">
      <c r="B400" s="208" t="s">
        <v>259</v>
      </c>
    </row>
    <row r="401" spans="2:2" ht="14.1" customHeight="1">
      <c r="B401" s="208" t="s">
        <v>260</v>
      </c>
    </row>
    <row r="402" spans="2:2" ht="13.5" customHeight="1">
      <c r="B402" s="208" t="s">
        <v>261</v>
      </c>
    </row>
    <row r="403" spans="2:2" ht="14.1" customHeight="1">
      <c r="B403" s="208" t="s">
        <v>262</v>
      </c>
    </row>
    <row r="404" spans="2:2" ht="14.1" customHeight="1">
      <c r="B404" s="208" t="s">
        <v>263</v>
      </c>
    </row>
    <row r="405" spans="2:2" ht="14.1" customHeight="1">
      <c r="B405" s="208" t="s">
        <v>615</v>
      </c>
    </row>
    <row r="406" spans="2:2" ht="14.1" customHeight="1">
      <c r="B406" s="208" t="s">
        <v>264</v>
      </c>
    </row>
    <row r="407" spans="2:2" ht="14.1" customHeight="1">
      <c r="B407" s="208" t="s">
        <v>265</v>
      </c>
    </row>
    <row r="408" spans="2:2" ht="14.1" customHeight="1">
      <c r="B408" s="208" t="s">
        <v>266</v>
      </c>
    </row>
    <row r="409" spans="2:2" ht="14.1" customHeight="1">
      <c r="B409" s="208" t="s">
        <v>267</v>
      </c>
    </row>
    <row r="410" spans="2:2" ht="14.1" customHeight="1">
      <c r="B410" s="208" t="s">
        <v>268</v>
      </c>
    </row>
    <row r="411" spans="2:2" ht="14.1" customHeight="1">
      <c r="B411" s="208" t="s">
        <v>269</v>
      </c>
    </row>
    <row r="412" spans="2:2" ht="13.5" customHeight="1">
      <c r="B412" s="208" t="s">
        <v>270</v>
      </c>
    </row>
    <row r="413" spans="2:2" ht="13.5" customHeight="1">
      <c r="B413" s="208" t="s">
        <v>271</v>
      </c>
    </row>
    <row r="414" spans="2:2" ht="14.1" customHeight="1">
      <c r="B414" s="208" t="s">
        <v>51</v>
      </c>
    </row>
    <row r="415" spans="2:2" ht="14.1" customHeight="1">
      <c r="B415" s="208" t="s">
        <v>272</v>
      </c>
    </row>
    <row r="416" spans="2:2" ht="14.1" customHeight="1">
      <c r="B416" s="208" t="s">
        <v>273</v>
      </c>
    </row>
    <row r="417" spans="2:2" ht="14.1" customHeight="1">
      <c r="B417" s="208" t="s">
        <v>274</v>
      </c>
    </row>
    <row r="418" spans="2:2" ht="14.1" customHeight="1">
      <c r="B418" s="208" t="s">
        <v>275</v>
      </c>
    </row>
    <row r="419" spans="2:2" ht="14.1" customHeight="1">
      <c r="B419" s="208" t="s">
        <v>276</v>
      </c>
    </row>
    <row r="420" spans="2:2" ht="14.1" customHeight="1">
      <c r="B420" s="208" t="s">
        <v>277</v>
      </c>
    </row>
    <row r="421" spans="2:2" ht="18" customHeight="1">
      <c r="B421" s="207" t="s">
        <v>406</v>
      </c>
    </row>
    <row r="422" spans="2:2" ht="14.1" customHeight="1">
      <c r="B422" s="208" t="s">
        <v>585</v>
      </c>
    </row>
    <row r="423" spans="2:2" ht="14.1" customHeight="1">
      <c r="B423" s="208" t="s">
        <v>289</v>
      </c>
    </row>
    <row r="424" spans="2:2" ht="14.1" customHeight="1">
      <c r="B424" s="208" t="s">
        <v>616</v>
      </c>
    </row>
    <row r="425" spans="2:2" ht="14.1" customHeight="1">
      <c r="B425" s="208" t="s">
        <v>290</v>
      </c>
    </row>
    <row r="426" spans="2:2" s="123" customFormat="1" ht="13.5" customHeight="1">
      <c r="B426" s="208" t="s">
        <v>586</v>
      </c>
    </row>
    <row r="427" spans="2:2" ht="14.1" customHeight="1">
      <c r="B427" s="208" t="s">
        <v>291</v>
      </c>
    </row>
    <row r="428" spans="2:2" ht="14.1" customHeight="1">
      <c r="B428" s="208" t="s">
        <v>292</v>
      </c>
    </row>
    <row r="429" spans="2:2" ht="13.5" customHeight="1">
      <c r="B429" s="208" t="s">
        <v>587</v>
      </c>
    </row>
    <row r="430" spans="2:2" ht="13.5" customHeight="1">
      <c r="B430" s="208" t="s">
        <v>293</v>
      </c>
    </row>
    <row r="431" spans="2:2" ht="14.1" customHeight="1">
      <c r="B431" s="208" t="s">
        <v>294</v>
      </c>
    </row>
    <row r="432" spans="2:2" ht="13.5" customHeight="1">
      <c r="B432" s="208" t="s">
        <v>295</v>
      </c>
    </row>
    <row r="433" spans="2:2" ht="14.1" customHeight="1">
      <c r="B433" s="208" t="s">
        <v>296</v>
      </c>
    </row>
    <row r="434" spans="2:2" ht="13.5" customHeight="1">
      <c r="B434" s="208" t="s">
        <v>443</v>
      </c>
    </row>
    <row r="435" spans="2:2" ht="13.5" customHeight="1">
      <c r="B435" s="208" t="s">
        <v>3</v>
      </c>
    </row>
    <row r="436" spans="2:2" ht="14.1" customHeight="1">
      <c r="B436" s="208" t="s">
        <v>163</v>
      </c>
    </row>
    <row r="437" spans="2:2" ht="14.1" customHeight="1">
      <c r="B437" s="208" t="s">
        <v>297</v>
      </c>
    </row>
    <row r="438" spans="2:2" ht="14.1" customHeight="1">
      <c r="B438" s="208" t="s">
        <v>299</v>
      </c>
    </row>
    <row r="439" spans="2:2" ht="14.1" customHeight="1">
      <c r="B439" s="208" t="s">
        <v>301</v>
      </c>
    </row>
    <row r="440" spans="2:2" ht="14.1" customHeight="1">
      <c r="B440" s="208" t="s">
        <v>302</v>
      </c>
    </row>
    <row r="441" spans="2:2" ht="14.1" customHeight="1">
      <c r="B441" s="208" t="s">
        <v>303</v>
      </c>
    </row>
    <row r="442" spans="2:2" ht="18" customHeight="1">
      <c r="B442" s="207" t="s">
        <v>588</v>
      </c>
    </row>
    <row r="443" spans="2:2" ht="14.1" customHeight="1">
      <c r="B443" s="208" t="s">
        <v>71</v>
      </c>
    </row>
    <row r="444" spans="2:2" ht="14.1" customHeight="1">
      <c r="B444" s="208" t="s">
        <v>73</v>
      </c>
    </row>
    <row r="445" spans="2:2" s="123" customFormat="1" ht="13.5" customHeight="1">
      <c r="B445" s="208" t="s">
        <v>589</v>
      </c>
    </row>
    <row r="446" spans="2:2" ht="14.1" customHeight="1">
      <c r="B446" s="208" t="s">
        <v>444</v>
      </c>
    </row>
    <row r="447" spans="2:2" ht="14.1" customHeight="1">
      <c r="B447" s="208" t="s">
        <v>81</v>
      </c>
    </row>
    <row r="448" spans="2:2" s="123" customFormat="1" ht="13.5" customHeight="1">
      <c r="B448" s="208" t="s">
        <v>590</v>
      </c>
    </row>
    <row r="449" spans="2:2" ht="14.1" customHeight="1">
      <c r="B449" s="208" t="s">
        <v>91</v>
      </c>
    </row>
    <row r="450" spans="2:2" ht="18" customHeight="1">
      <c r="B450" s="207" t="s">
        <v>591</v>
      </c>
    </row>
    <row r="451" spans="2:2" ht="14.1" customHeight="1">
      <c r="B451" s="208" t="s">
        <v>592</v>
      </c>
    </row>
    <row r="452" spans="2:2" ht="14.1" customHeight="1">
      <c r="B452" s="208" t="s">
        <v>407</v>
      </c>
    </row>
    <row r="453" spans="2:2" ht="14.1" customHeight="1">
      <c r="B453" s="208" t="s">
        <v>377</v>
      </c>
    </row>
    <row r="454" spans="2:2" ht="14.1" customHeight="1">
      <c r="B454" s="208" t="s">
        <v>312</v>
      </c>
    </row>
    <row r="455" spans="2:2" ht="14.1" customHeight="1">
      <c r="B455" s="208" t="s">
        <v>313</v>
      </c>
    </row>
    <row r="456" spans="2:2" ht="14.1" customHeight="1">
      <c r="B456" s="208" t="s">
        <v>160</v>
      </c>
    </row>
    <row r="457" spans="2:2" ht="14.1" customHeight="1">
      <c r="B457" s="208" t="s">
        <v>314</v>
      </c>
    </row>
    <row r="458" spans="2:2" ht="14.1" customHeight="1">
      <c r="B458" s="208" t="s">
        <v>593</v>
      </c>
    </row>
    <row r="459" spans="2:2" ht="14.1" customHeight="1">
      <c r="B459" s="208" t="s">
        <v>594</v>
      </c>
    </row>
    <row r="460" spans="2:2" ht="14.1" customHeight="1">
      <c r="B460" s="208" t="s">
        <v>162</v>
      </c>
    </row>
    <row r="461" spans="2:2" ht="14.1" customHeight="1">
      <c r="B461" s="208" t="s">
        <v>315</v>
      </c>
    </row>
    <row r="462" spans="2:2" ht="14.1" customHeight="1">
      <c r="B462" s="208" t="s">
        <v>316</v>
      </c>
    </row>
    <row r="463" spans="2:2" ht="14.1" customHeight="1">
      <c r="B463" s="208" t="s">
        <v>439</v>
      </c>
    </row>
    <row r="464" spans="2:2" ht="14.1" customHeight="1">
      <c r="B464" s="208" t="s">
        <v>595</v>
      </c>
    </row>
    <row r="465" spans="2:2" ht="14.1" customHeight="1">
      <c r="B465" s="208" t="s">
        <v>298</v>
      </c>
    </row>
    <row r="466" spans="2:2" ht="14.1" customHeight="1">
      <c r="B466" s="208" t="s">
        <v>317</v>
      </c>
    </row>
    <row r="467" spans="2:2" ht="14.1" customHeight="1">
      <c r="B467" s="208" t="s">
        <v>318</v>
      </c>
    </row>
    <row r="468" spans="2:2" ht="14.1" customHeight="1">
      <c r="B468" s="208" t="s">
        <v>319</v>
      </c>
    </row>
    <row r="469" spans="2:2" ht="14.1" customHeight="1">
      <c r="B469" s="208" t="s">
        <v>320</v>
      </c>
    </row>
    <row r="470" spans="2:2" ht="14.1" customHeight="1">
      <c r="B470" s="208" t="s">
        <v>321</v>
      </c>
    </row>
    <row r="471" spans="2:2" ht="18" customHeight="1">
      <c r="B471" s="207" t="s">
        <v>445</v>
      </c>
    </row>
    <row r="472" spans="2:2" ht="14.1" customHeight="1">
      <c r="B472" s="208" t="s">
        <v>596</v>
      </c>
    </row>
    <row r="473" spans="2:2" ht="14.1" customHeight="1">
      <c r="B473" s="208" t="s">
        <v>597</v>
      </c>
    </row>
    <row r="474" spans="2:2" ht="14.1" customHeight="1">
      <c r="B474" s="208" t="s">
        <v>343</v>
      </c>
    </row>
    <row r="475" spans="2:2" ht="14.1" customHeight="1">
      <c r="B475" s="208" t="s">
        <v>181</v>
      </c>
    </row>
    <row r="476" spans="2:2" ht="14.1" customHeight="1">
      <c r="B476" s="208" t="s">
        <v>182</v>
      </c>
    </row>
    <row r="477" spans="2:2" ht="14.1" customHeight="1">
      <c r="B477" s="208" t="s">
        <v>183</v>
      </c>
    </row>
    <row r="478" spans="2:2" ht="14.1" customHeight="1">
      <c r="B478" s="208" t="s">
        <v>446</v>
      </c>
    </row>
    <row r="479" spans="2:2" ht="14.1" customHeight="1">
      <c r="B479" s="208" t="s">
        <v>184</v>
      </c>
    </row>
    <row r="480" spans="2:2" ht="14.1" customHeight="1">
      <c r="B480" s="208" t="s">
        <v>185</v>
      </c>
    </row>
    <row r="481" spans="2:2" ht="14.1" customHeight="1">
      <c r="B481" s="208" t="s">
        <v>186</v>
      </c>
    </row>
    <row r="482" spans="2:2" ht="14.1" customHeight="1">
      <c r="B482" s="208" t="s">
        <v>344</v>
      </c>
    </row>
    <row r="483" spans="2:2" ht="14.1" customHeight="1">
      <c r="B483" s="208" t="s">
        <v>598</v>
      </c>
    </row>
    <row r="484" spans="2:2" ht="14.1" customHeight="1">
      <c r="B484" s="208" t="s">
        <v>345</v>
      </c>
    </row>
    <row r="485" spans="2:2" ht="13.5" customHeight="1">
      <c r="B485" s="208" t="s">
        <v>188</v>
      </c>
    </row>
    <row r="486" spans="2:2" ht="13.5" customHeight="1">
      <c r="B486" s="208" t="s">
        <v>331</v>
      </c>
    </row>
    <row r="487" spans="2:2" ht="18" customHeight="1">
      <c r="B487" s="207" t="s">
        <v>599</v>
      </c>
    </row>
    <row r="488" spans="2:2" ht="14.1" customHeight="1">
      <c r="B488" s="208" t="s">
        <v>72</v>
      </c>
    </row>
    <row r="489" spans="2:2" ht="14.1" customHeight="1">
      <c r="B489" s="208" t="s">
        <v>74</v>
      </c>
    </row>
    <row r="490" spans="2:2" ht="14.1" customHeight="1">
      <c r="B490" s="208" t="s">
        <v>75</v>
      </c>
    </row>
    <row r="491" spans="2:2" ht="14.1" customHeight="1">
      <c r="B491" s="208" t="s">
        <v>76</v>
      </c>
    </row>
    <row r="492" spans="2:2" ht="14.1" customHeight="1">
      <c r="B492" s="208" t="s">
        <v>77</v>
      </c>
    </row>
    <row r="493" spans="2:2" ht="14.1" customHeight="1">
      <c r="B493" s="208" t="s">
        <v>78</v>
      </c>
    </row>
    <row r="494" spans="2:2" ht="14.1" customHeight="1">
      <c r="B494" s="208" t="s">
        <v>600</v>
      </c>
    </row>
    <row r="495" spans="2:2" ht="14.1" customHeight="1">
      <c r="B495" s="208" t="s">
        <v>79</v>
      </c>
    </row>
    <row r="496" spans="2:2" ht="14.1" customHeight="1">
      <c r="B496" s="208" t="s">
        <v>424</v>
      </c>
    </row>
    <row r="497" spans="2:2" ht="14.1" customHeight="1">
      <c r="B497" s="208" t="s">
        <v>408</v>
      </c>
    </row>
    <row r="498" spans="2:2" ht="14.1" customHeight="1">
      <c r="B498" s="208" t="s">
        <v>83</v>
      </c>
    </row>
    <row r="499" spans="2:2" ht="14.1" customHeight="1">
      <c r="B499" s="208" t="s">
        <v>84</v>
      </c>
    </row>
    <row r="500" spans="2:2" ht="14.1" customHeight="1">
      <c r="B500" s="208" t="s">
        <v>601</v>
      </c>
    </row>
    <row r="501" spans="2:2" ht="13.5" customHeight="1">
      <c r="B501" s="208" t="s">
        <v>95</v>
      </c>
    </row>
    <row r="502" spans="2:2" ht="18" customHeight="1">
      <c r="B502" s="207" t="s">
        <v>602</v>
      </c>
    </row>
    <row r="503" spans="2:2" ht="14.1" customHeight="1">
      <c r="B503" s="208" t="s">
        <v>603</v>
      </c>
    </row>
    <row r="504" spans="2:2" ht="14.1" customHeight="1">
      <c r="B504" s="208" t="s">
        <v>2</v>
      </c>
    </row>
    <row r="505" spans="2:2" ht="14.1" customHeight="1">
      <c r="B505" s="208" t="s">
        <v>89</v>
      </c>
    </row>
    <row r="506" spans="2:2" ht="15" customHeight="1">
      <c r="B506" s="209"/>
    </row>
    <row r="507" spans="2:2" ht="15" customHeight="1"/>
    <row r="508" spans="2:2">
      <c r="B508" s="145" t="str">
        <f>IF(Indice_index!$Z$1=1,"Notas:","Notes:")</f>
        <v>Notas:</v>
      </c>
    </row>
    <row r="509" spans="2:2" ht="24.75" customHeight="1">
      <c r="B509" s="145" t="str">
        <f>IF(Indice_index!$Z$1=1,"A presente listagem, apresenta as entidades da Administração Central que integram o XXV Governo Constitucional, aprovado no Decreto-Lei n.º 87-A/2025, de 25 de julho, para o Orçamento do Estado para 2025.","This list presents the Central Administration entities that are part of XXV Constitucional Government, approved by Decree-Law No. 87-A/2025, of July 25, for the State Budget for 2025.")</f>
        <v>A presente listagem, apresenta as entidades da Administração Central que integram o XXV Governo Constitucional, aprovado no Decreto-Lei n.º 87-A/2025, de 25 de julho, para o Orçamento do Estado para 2025.</v>
      </c>
    </row>
    <row r="510" spans="2:2" ht="20.65" customHeight="1">
      <c r="B510" s="83" t="str">
        <f>IF(Indice_index!$Z$1=1,"Alterações:","Changes:")</f>
        <v>Alterações:</v>
      </c>
    </row>
    <row r="511" spans="2:2" ht="25.15" customHeight="1">
      <c r="B511" s="342" t="str">
        <f>IF(Indice_index!$Z$1=1,"a) Reinscriação das Administrações Regionais de Saúde ao abrigo Despacho n.º 2141/2025, tendo prorrogado o prazo de extinção até 31 de março de 2025.","a) Re-registration of Regional Health Administrations under Order No. 2141/2025, of February 17, which extended the deadline for their extinction until March 31, 2025.")</f>
        <v>a) Reinscriação das Administrações Regionais de Saúde ao abrigo Despacho n.º 2141/2025, tendo prorrogado o prazo de extinção até 31 de março de 2025.</v>
      </c>
    </row>
    <row r="512" spans="2:2" ht="36" customHeight="1">
      <c r="B512" s="342" t="str">
        <f>IF(Indice_index!$Z$1=1,"b) Criação do Centro de Competências para a Economia Social (CCES), por fusão do Centro de Formação "&amp;"Profissional de Competências de Envelhecimento Ativo (CCEA) com o Centro para a Economia e Inovação Social (CEIS), ao abrigo da Portaria n.º 303-A/2024/1, de 26 de novembro.","b) Creation of the Competence Center for the Social Economy (CCES), through the merger of the Professional "&amp;"Training Center for Active Ageing Skills (CCEA) with the Center for Economy and Social Innovation (CEIS), under the terms of Order No. 303-A/2024/1, of November 26.")</f>
        <v>b) Criação do Centro de Competências para a Economia Social (CCES), por fusão do Centro de Formação Profissional de Competências de Envelhecimento Ativo (CCEA) com o Centro para a Economia e Inovação Social (CEIS), ao abrigo da Portaria n.º 303-A/2024/1, de 26 de novembro.</v>
      </c>
    </row>
    <row r="513" spans="1:2" ht="13.5" customHeight="1">
      <c r="B513" s="342" t="str">
        <f>IF(Indice_index!$Z$1=1,"c) Agência para o Clima, I.P. – Criação pelo Decreto-Lei n.º 122/2024, de 31 de dezembro.","c) Climate Agency, I.P. – Created by Decree-Law No. 122/2024, of December 31.")</f>
        <v>c) Agência para o Clima, I.P. – Criação pelo Decreto-Lei n.º 122/2024, de 31 de dezembro.</v>
      </c>
    </row>
    <row r="514" spans="1:2" ht="24.75" customHeight="1">
      <c r="B514" s="342" t="str">
        <f>IF(Indice_index!$Z$1=1,"d) Unidade Técnica de Acompanhamento de Projetos e Unidade Técnica de Acompanhamento e Monitorização do Setor Público Empresarial –  Fusão na Entidade do Tesouro e Finanças, nos termos do artigo 1.º do Decreto-Lei n.º 56/2025, de 31 de março.","d) Technical Unit for Project Monitoring and Technical Unit for Monitoring and Evaluation of the Public Business Sector – Merger into the Treasury and Finance Entity, pursuant to Article 1 of Decree-Law No. 56/2025, of March 31.")</f>
        <v>d) Unidade Técnica de Acompanhamento de Projetos e Unidade Técnica de Acompanhamento e Monitorização do Setor Público Empresarial –  Fusão na Entidade do Tesouro e Finanças, nos termos do artigo 1.º do Decreto-Lei n.º 56/2025, de 31 de março.</v>
      </c>
    </row>
    <row r="515" spans="1:2" ht="24.75" customHeight="1">
      <c r="B515" s="342" t="str">
        <f>IF(Indice_index!$Z$1=1,"e) Alteração da designação da Direção Geral do Orçamento para Entidade Orçamental, nos temos do Decreto-Lei n.º 53/2025, de 28 de março.","e) Change of the name of the General Directorate of the Budget to Budgetary Entity, in accordance with Decree-Law No. 53/2025, of March 28.")</f>
        <v>e) Alteração da designação da Direção Geral do Orçamento para Entidade Orçamental, nos temos do Decreto-Lei n.º 53/2025, de 28 de março.</v>
      </c>
    </row>
    <row r="516" spans="1:2" ht="24.75" customHeight="1">
      <c r="B516" s="342" t="str">
        <f>IF(Indice_index!$Z$1=1,"f) Alteração da designação da Direção Geral do Tesouro e Finanças para Entidade do Tesouro e Finanças, nos termos do Decreto-Lei n.º 56/2025, de 31 de março.","f) Change of the name of the Directorate-General of the Treasury and Finance to Treasury and Finance Entity, in accordance with Decree-Law No. 56/2025, of March 31.")</f>
        <v>f) Alteração da designação da Direção Geral do Tesouro e Finanças para Entidade do Tesouro e Finanças, nos termos do Decreto-Lei n.º 56/2025, de 31 de março.</v>
      </c>
    </row>
    <row r="517" spans="1:2" ht="13.5" customHeight="1">
      <c r="B517" s="206"/>
    </row>
    <row r="518" spans="1:2" ht="13.5" customHeight="1">
      <c r="A518" s="113"/>
      <c r="B518" s="206"/>
    </row>
    <row r="519" spans="1:2" ht="13.5" customHeight="1">
      <c r="A519" s="113"/>
      <c r="B519" s="206"/>
    </row>
    <row r="520" spans="1:2" ht="13.5" customHeight="1"/>
    <row r="521" spans="1:2"/>
    <row r="522" spans="1:2"/>
    <row r="523" spans="1:2"/>
    <row r="524" spans="1:2"/>
    <row r="525" spans="1:2"/>
    <row r="526" spans="1:2"/>
    <row r="527" spans="1:2"/>
    <row r="528" spans="1:2"/>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sheetData>
  <pageMargins left="0.70866141732283472" right="0.70866141732283472" top="0.74803149606299213" bottom="0.74803149606299213" header="0.31496062992125984" footer="0.31496062992125984"/>
  <pageSetup paperSize="9" scale="72" fitToHeight="7" orientation="portrait" r:id="rId1"/>
  <rowBreaks count="6" manualBreakCount="6">
    <brk id="53" min="1" max="1" man="1"/>
    <brk id="116" min="1" max="1" man="1"/>
    <brk id="148" min="1" max="1" man="1"/>
    <brk id="217" min="1" max="1" man="1"/>
    <brk id="283" min="1" max="1" man="1"/>
    <brk id="414"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36"/>
  <sheetViews>
    <sheetView showGridLines="0" zoomScaleNormal="100" workbookViewId="0"/>
  </sheetViews>
  <sheetFormatPr defaultColWidth="0" defaultRowHeight="14.85" customHeight="1" zeroHeight="1"/>
  <cols>
    <col min="1" max="1" width="8.5703125" customWidth="1"/>
    <col min="2" max="2" width="45.28515625" customWidth="1"/>
    <col min="3" max="10" width="9.28515625" customWidth="1"/>
    <col min="11" max="11" width="9.42578125" customWidth="1"/>
    <col min="12" max="16384" width="9.42578125" hidden="1"/>
  </cols>
  <sheetData>
    <row r="1" spans="2:11" ht="14.85" customHeight="1"/>
    <row r="2" spans="2:11" ht="15"/>
    <row r="3" spans="2:11" ht="15"/>
    <row r="4" spans="2:11" ht="15"/>
    <row r="5" spans="2:11" ht="18" customHeight="1">
      <c r="B5" s="269" t="str">
        <f>IF(Indice_index!$Z$1=1,"ANEXOS ESTATÍSTICOS","STATISTICAL ANNEXES")</f>
        <v>ANEXOS ESTATÍSTICOS</v>
      </c>
    </row>
    <row r="6" spans="2:11" ht="18" customHeight="1">
      <c r="B6" s="270" t="str">
        <f>IF(Indice_index!$Z$1=1,"Setembro de 2025","September 2025")</f>
        <v>Setembro de 2025</v>
      </c>
    </row>
    <row r="7" spans="2:11" ht="50.1" customHeight="1"/>
    <row r="8" spans="2:11"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1" ht="15">
      <c r="B9" s="355" t="str">
        <f>+'3 - Conta AC + SS'!B9</f>
        <v>Período: janeiro a setembro</v>
      </c>
      <c r="C9" s="355"/>
      <c r="D9" s="3"/>
      <c r="E9" s="3"/>
      <c r="F9" s="3"/>
      <c r="G9" s="3"/>
      <c r="H9" s="3"/>
      <c r="I9" s="3"/>
      <c r="J9" s="3" t="str">
        <f>IF(Indice_index!$Z$1=1,"€ Milhões","€ Millions")</f>
        <v>€ Milhões</v>
      </c>
    </row>
    <row r="10" spans="2:11" ht="26.85" customHeight="1">
      <c r="B10" s="356" t="str">
        <f>IF(Indice_index!$Z$1=1,"Subsetor e principais destaques","Subsector and main highlights")</f>
        <v>Subsetor e principais destaques</v>
      </c>
      <c r="C10" s="356" t="str">
        <f>IF(Indice_index!$Z$1=1,"Saldo","Balance")</f>
        <v>Saldo</v>
      </c>
      <c r="D10" s="356"/>
      <c r="E10" s="356" t="str">
        <f>IF(Indice_index!$Z$1=1,"Receita","Revenue")</f>
        <v>Receita</v>
      </c>
      <c r="F10" s="356"/>
      <c r="G10" s="356" t="str">
        <f>IF(Indice_index!$Z$1=1,"Despesa","Expense")</f>
        <v>Despesa</v>
      </c>
      <c r="H10" s="356"/>
      <c r="I10" s="356" t="str">
        <f>IF(Indice_index!$Z$1=1,"Variação Homóloga Acumulada (%)","YOY Change Rate
%")</f>
        <v>Variação Homóloga Acumulada (%)</v>
      </c>
      <c r="J10" s="356"/>
    </row>
    <row r="11" spans="2:11" ht="16.350000000000001" customHeight="1">
      <c r="B11" s="356"/>
      <c r="C11" s="22">
        <v>2024</v>
      </c>
      <c r="D11" s="22">
        <v>2025</v>
      </c>
      <c r="E11" s="22">
        <v>2024</v>
      </c>
      <c r="F11" s="22">
        <v>2025</v>
      </c>
      <c r="G11" s="22">
        <v>2024</v>
      </c>
      <c r="H11" s="22">
        <v>2025</v>
      </c>
      <c r="I11" s="124" t="str">
        <f>IF(Indice_index!$Z$1=1,"Receita","Revenue")</f>
        <v>Receita</v>
      </c>
      <c r="J11" s="124" t="str">
        <f>IF(Indice_index!$Z$1=1,"Despesa","Expense")</f>
        <v>Despesa</v>
      </c>
    </row>
    <row r="12" spans="2:11" ht="13.5" customHeight="1">
      <c r="B12" s="329" t="str">
        <f>IF(Indice_index!$Z$1=1,"Administração Central e Segurança Social","Central Administration and Social Security")</f>
        <v>Administração Central e Segurança Social</v>
      </c>
      <c r="C12" s="4">
        <f>'3 - Conta AC + SS'!$E$51</f>
        <v>4727.5696453899582</v>
      </c>
      <c r="D12" s="4">
        <f>'3 - Conta AC + SS'!$F$51</f>
        <v>4978.1483012600074</v>
      </c>
      <c r="E12" s="4">
        <f>'3 - Conta AC + SS'!$E$29</f>
        <v>81792.069244339975</v>
      </c>
      <c r="F12" s="4">
        <f>'3 - Conta AC + SS'!$F$29</f>
        <v>86585.279122690015</v>
      </c>
      <c r="G12" s="4">
        <f>'3 - Conta AC + SS'!$E$50</f>
        <v>77064.499598950017</v>
      </c>
      <c r="H12" s="4">
        <f>'3 - Conta AC + SS'!$F$50</f>
        <v>81607.130821430008</v>
      </c>
      <c r="I12" s="4">
        <f>+IF(IFERROR((F12-E12)/E12*100,"-")&gt;500,"-",IFERROR((F12-E12)/E12*100,"-"))</f>
        <v>5.8602379456022033</v>
      </c>
      <c r="J12" s="4">
        <f>+IF(IFERROR((H12-G12)/G12*100,"-")&gt;500,"-",IFERROR((H12-G12)/G12*100,"-"))</f>
        <v>5.8945834283233101</v>
      </c>
    </row>
    <row r="13" spans="2:11" ht="13.5" customHeight="1">
      <c r="B13" s="125" t="str">
        <f>IF(Indice_index!$Z$1=1,"Administração Central","Central Administration")</f>
        <v>Administração Central</v>
      </c>
      <c r="C13" s="4">
        <f>'4 - Conta AC'!$E$51</f>
        <v>419.23408789001405</v>
      </c>
      <c r="D13" s="4">
        <f>'4 - Conta AC'!$F$51</f>
        <v>232.72120401001303</v>
      </c>
      <c r="E13" s="4">
        <f>'4 - Conta AC'!$E$29</f>
        <v>61664.72408248001</v>
      </c>
      <c r="F13" s="4">
        <f>'4 - Conta AC'!$F$29</f>
        <v>64036.242682020013</v>
      </c>
      <c r="G13" s="4">
        <f>'4 - Conta AC'!$E$50</f>
        <v>61245.489994589996</v>
      </c>
      <c r="H13" s="4">
        <f>'4 - Conta AC'!$F$50</f>
        <v>63803.52147801</v>
      </c>
      <c r="I13" s="4">
        <f>+IF(IFERROR((F13-E13)/E13*100,"-")&gt;500,"-",IFERROR((F13-E13)/E13*100,"-"))</f>
        <v>3.8458269858922325</v>
      </c>
      <c r="J13" s="4">
        <f>+IF(IFERROR((H13-G13)/G13*100,"-")&gt;500,"-",IFERROR((H13-G13)/G13*100,"-"))</f>
        <v>4.1766854729155769</v>
      </c>
    </row>
    <row r="14" spans="2:11" ht="13.5" customHeight="1">
      <c r="B14" s="287" t="str">
        <f>IF(Indice_index!$Z$1=1,"da qual:","Of which:")</f>
        <v>da qual:</v>
      </c>
      <c r="C14" s="4"/>
      <c r="D14" s="4"/>
      <c r="E14" s="4"/>
      <c r="F14" s="4"/>
      <c r="G14" s="4"/>
      <c r="H14" s="4"/>
      <c r="I14" s="4"/>
      <c r="J14" s="4"/>
    </row>
    <row r="15" spans="2:11" ht="13.5" customHeight="1">
      <c r="B15" s="325" t="s">
        <v>330</v>
      </c>
      <c r="C15" s="4">
        <f>'5 - Estado'!$E$60</f>
        <v>-1463.9997491299873</v>
      </c>
      <c r="D15" s="4">
        <f>'5 - Estado'!$F$60</f>
        <v>-1328.0469898699739</v>
      </c>
      <c r="E15" s="4">
        <f>'5 - Estado'!$E$34</f>
        <v>49616.559368210001</v>
      </c>
      <c r="F15" s="4">
        <f>'5 - Estado'!$F$34</f>
        <v>51962.317904610005</v>
      </c>
      <c r="G15" s="4">
        <f>'5 - Estado'!$E$59</f>
        <v>51080.559117339988</v>
      </c>
      <c r="H15" s="4">
        <f>'5 - Estado'!$F$59</f>
        <v>53290.364894479979</v>
      </c>
      <c r="I15" s="4">
        <f t="shared" ref="I15:I24" si="0">+IF(IFERROR((F15-E15)/E15*100,"-")&gt;500,"-",IFERROR((F15-E15)/E15*100,"-"))</f>
        <v>4.7277734818165635</v>
      </c>
      <c r="J15" s="4">
        <f t="shared" ref="J15:J24" si="1">+IF(IFERROR((H15-G15)/G15*100,"-")&gt;500,"-",IFERROR((H15-G15)/G15*100,"-"))</f>
        <v>4.3261190075537801</v>
      </c>
    </row>
    <row r="16" spans="2:11" ht="13.5" customHeight="1">
      <c r="B16" s="340" t="s">
        <v>466</v>
      </c>
      <c r="C16" s="4">
        <v>367.79878252841036</v>
      </c>
      <c r="D16" s="4">
        <v>154.63513499498384</v>
      </c>
      <c r="E16" s="4">
        <v>20533.239334568803</v>
      </c>
      <c r="F16" s="4">
        <v>21240.953221311978</v>
      </c>
      <c r="G16" s="4">
        <v>20165.440552040389</v>
      </c>
      <c r="H16" s="4">
        <v>21086.318086316998</v>
      </c>
      <c r="I16" s="4">
        <f t="shared" si="0"/>
        <v>3.4466743177327159</v>
      </c>
      <c r="J16" s="4">
        <f t="shared" si="1"/>
        <v>4.5666125265159794</v>
      </c>
      <c r="K16" s="5"/>
    </row>
    <row r="17" spans="2:11" ht="13.5" customHeight="1">
      <c r="B17" s="340" t="s">
        <v>465</v>
      </c>
      <c r="C17" s="4">
        <v>217.31276575000012</v>
      </c>
      <c r="D17" s="4">
        <v>39.36139342999958</v>
      </c>
      <c r="E17" s="4">
        <v>2053.9981557899996</v>
      </c>
      <c r="F17" s="4">
        <v>2060.37777418</v>
      </c>
      <c r="G17" s="4">
        <v>1836.6853900399997</v>
      </c>
      <c r="H17" s="4">
        <v>2021.0163807500007</v>
      </c>
      <c r="I17" s="4">
        <f t="shared" si="0"/>
        <v>0.3105951371970273</v>
      </c>
      <c r="J17" s="4">
        <f t="shared" si="1"/>
        <v>10.03606778327924</v>
      </c>
      <c r="K17" s="5"/>
    </row>
    <row r="18" spans="2:11" ht="13.5" customHeight="1">
      <c r="B18" s="325" t="s">
        <v>461</v>
      </c>
      <c r="C18" s="4">
        <v>-5.7870498500000833</v>
      </c>
      <c r="D18" s="4">
        <v>-168.13823490999985</v>
      </c>
      <c r="E18" s="4">
        <v>477.99229579999997</v>
      </c>
      <c r="F18" s="4">
        <v>548.6831119200001</v>
      </c>
      <c r="G18" s="4">
        <v>483.77934565000004</v>
      </c>
      <c r="H18" s="4">
        <v>716.82134682999992</v>
      </c>
      <c r="I18" s="4">
        <f t="shared" si="0"/>
        <v>14.789112029868024</v>
      </c>
      <c r="J18" s="4">
        <f t="shared" si="1"/>
        <v>48.171134893509659</v>
      </c>
      <c r="K18" s="5"/>
    </row>
    <row r="19" spans="2:11" ht="13.5" customHeight="1">
      <c r="B19" s="340" t="s">
        <v>475</v>
      </c>
      <c r="C19" s="4">
        <v>-71.499666349998478</v>
      </c>
      <c r="D19" s="4">
        <v>-196.08872995000075</v>
      </c>
      <c r="E19" s="4">
        <v>8706.3658505700005</v>
      </c>
      <c r="F19" s="4">
        <v>9211.9646531599992</v>
      </c>
      <c r="G19" s="4">
        <v>8777.8655169199974</v>
      </c>
      <c r="H19" s="4">
        <v>9408.0533831100001</v>
      </c>
      <c r="I19" s="4">
        <f t="shared" ref="I19" si="2">+IF(IFERROR((F19-E19)/E19*100,"-")&gt;500,"-",IFERROR((F19-E19)/E19*100,"-"))</f>
        <v>5.8072312979691461</v>
      </c>
      <c r="J19" s="4">
        <f t="shared" ref="J19" si="3">+IF(IFERROR((H19-G19)/G19*100,"-")&gt;500,"-",IFERROR((H19-G19)/G19*100,"-"))</f>
        <v>7.179283676370618</v>
      </c>
      <c r="K19" s="5"/>
    </row>
    <row r="20" spans="2:11" ht="13.5" customHeight="1">
      <c r="B20" s="340" t="s">
        <v>476</v>
      </c>
      <c r="C20" s="4">
        <v>200.53299002999998</v>
      </c>
      <c r="D20" s="4">
        <v>300.51809286000025</v>
      </c>
      <c r="E20" s="4">
        <v>912.87685714999986</v>
      </c>
      <c r="F20" s="4">
        <v>979.20262432000004</v>
      </c>
      <c r="G20" s="4">
        <v>712.34386711999991</v>
      </c>
      <c r="H20" s="4">
        <v>678.68453145999979</v>
      </c>
      <c r="I20" s="4">
        <f t="shared" si="0"/>
        <v>7.265576583578766</v>
      </c>
      <c r="J20" s="4">
        <f t="shared" si="1"/>
        <v>-4.7251527266016238</v>
      </c>
      <c r="K20" s="5"/>
    </row>
    <row r="21" spans="2:11" ht="13.5" customHeight="1">
      <c r="B21" s="340" t="s">
        <v>0</v>
      </c>
      <c r="C21" s="4">
        <v>-743.61874147999981</v>
      </c>
      <c r="D21" s="4">
        <v>-432.98426415999961</v>
      </c>
      <c r="E21" s="4">
        <v>1103.5986692200004</v>
      </c>
      <c r="F21" s="4">
        <v>1282.5520153900002</v>
      </c>
      <c r="G21" s="4">
        <v>1847.2174107000001</v>
      </c>
      <c r="H21" s="4">
        <v>1715.5362795499998</v>
      </c>
      <c r="I21" s="4">
        <f t="shared" si="0"/>
        <v>16.215436930209435</v>
      </c>
      <c r="J21" s="4">
        <f t="shared" si="1"/>
        <v>-7.1286211567321649</v>
      </c>
      <c r="K21" s="5"/>
    </row>
    <row r="22" spans="2:11" ht="13.5" customHeight="1">
      <c r="B22" s="125" t="str">
        <f>IF(Indice_index!$Z$1=1,"Segurança Social","Social Security")</f>
        <v>Segurança Social</v>
      </c>
      <c r="C22" s="4">
        <f>'10 - SS'!$E$69</f>
        <v>4308.3355574999987</v>
      </c>
      <c r="D22" s="4">
        <f>'10 - SS'!$F$69</f>
        <v>4745.4270972500053</v>
      </c>
      <c r="E22" s="4">
        <f>'10 - SS'!$E$34</f>
        <v>30476.132796329999</v>
      </c>
      <c r="F22" s="4">
        <f>'10 - SS'!$F$34</f>
        <v>33434.545740560003</v>
      </c>
      <c r="G22" s="4">
        <f>'10 - SS'!$E$68</f>
        <v>26167.79723883</v>
      </c>
      <c r="H22" s="4">
        <f>'10 - SS'!$F$68</f>
        <v>28689.118643309997</v>
      </c>
      <c r="I22" s="4">
        <f t="shared" si="0"/>
        <v>9.707310845509447</v>
      </c>
      <c r="J22" s="4">
        <f t="shared" si="1"/>
        <v>9.6352068975016589</v>
      </c>
    </row>
    <row r="23" spans="2:11" ht="14.1" customHeight="1">
      <c r="B23" s="329" t="str">
        <f>IF(Indice_index!$Z$1=1,"Administração Regional","Regional Administration")</f>
        <v>Administração Regional</v>
      </c>
      <c r="C23" s="4">
        <f>+E23-G23</f>
        <v>27.941527949999454</v>
      </c>
      <c r="D23" s="4">
        <f>+F23-H23</f>
        <v>-76.058840649999638</v>
      </c>
      <c r="E23" s="4">
        <f>'12 - Adm R'!$I$43</f>
        <v>2455.1833600699997</v>
      </c>
      <c r="F23" s="4">
        <f>'12 - Adm R'!$J$43</f>
        <v>2583.3984378700002</v>
      </c>
      <c r="G23" s="4">
        <f>'12 - Adm R'!$I$64</f>
        <v>2427.2418321200003</v>
      </c>
      <c r="H23" s="4">
        <f>'12 - Adm R'!$J$64</f>
        <v>2659.4572785199998</v>
      </c>
      <c r="I23" s="4">
        <f t="shared" si="0"/>
        <v>5.2222200543239641</v>
      </c>
      <c r="J23" s="4">
        <f t="shared" si="1"/>
        <v>9.5670502760401934</v>
      </c>
    </row>
    <row r="24" spans="2:11" ht="14.1" customHeight="1">
      <c r="B24" s="329" t="str">
        <f>IF(Indice_index!$Z$1=1,"Administração Local","Local Administration")</f>
        <v>Administração Local</v>
      </c>
      <c r="C24" s="4">
        <f>+E24-G24</f>
        <v>937.80179999852044</v>
      </c>
      <c r="D24" s="4">
        <f>+F24-H24</f>
        <v>1402.0230949182842</v>
      </c>
      <c r="E24" s="4">
        <v>9982.8091694484174</v>
      </c>
      <c r="F24" s="4">
        <v>11820.129487648826</v>
      </c>
      <c r="G24" s="4">
        <v>9045.0073694498969</v>
      </c>
      <c r="H24" s="4">
        <v>10418.106392730542</v>
      </c>
      <c r="I24" s="4">
        <f t="shared" si="0"/>
        <v>18.404842635110963</v>
      </c>
      <c r="J24" s="4">
        <f t="shared" si="1"/>
        <v>15.180739685391268</v>
      </c>
    </row>
    <row r="25" spans="2:11" ht="14.1" customHeight="1">
      <c r="B25" s="6" t="str">
        <f>IF(Indice_index!$Z$1=1,"Administrações Públicas","Public Administrations")</f>
        <v>Administrações Públicas</v>
      </c>
      <c r="C25" s="7">
        <f>'2 - Conta Consol AP'!$H$52</f>
        <v>5693.312973338514</v>
      </c>
      <c r="D25" s="8">
        <f>'2 - Conta Consol AP'!$M$52</f>
        <v>6304.112555528307</v>
      </c>
      <c r="E25" s="7">
        <f>'2 - Conta Consol AP'!$H$30</f>
        <v>88901.186340348417</v>
      </c>
      <c r="F25" s="7">
        <f>'2 - Conta Consol AP'!$M$30</f>
        <v>94792.788472618835</v>
      </c>
      <c r="G25" s="7">
        <f>'2 - Conta Consol AP'!$H$51</f>
        <v>83207.873367009903</v>
      </c>
      <c r="H25" s="7">
        <f>'2 - Conta Consol AP'!$M$51</f>
        <v>88488.675917090528</v>
      </c>
      <c r="I25" s="8">
        <f>+IFERROR((F25-E25)/E25*100,"-")</f>
        <v>6.6271355589283889</v>
      </c>
      <c r="J25" s="8">
        <f>+IFERROR((H25-G25)/G25*100,"-")</f>
        <v>6.346517867111297</v>
      </c>
    </row>
    <row r="26" spans="2:11" ht="25.5" customHeight="1">
      <c r="B26" s="354"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54"/>
      <c r="D26" s="354"/>
      <c r="E26" s="354"/>
      <c r="F26" s="354"/>
      <c r="G26" s="354"/>
      <c r="H26" s="354"/>
      <c r="I26" s="354"/>
      <c r="J26" s="354"/>
    </row>
    <row r="27" spans="2:11" ht="15.6" customHeight="1">
      <c r="B27" s="145" t="str">
        <f>IF(Indice_index!$Z$1=1,"Fonte: Entidade Orçamental.","Source: Budgetary Entity")</f>
        <v>Fonte: Entidade Orçamental.</v>
      </c>
      <c r="C27" s="9"/>
      <c r="D27" s="9"/>
      <c r="E27" s="5"/>
      <c r="F27" s="5"/>
      <c r="G27" s="154"/>
      <c r="H27" s="154"/>
      <c r="I27" s="154"/>
      <c r="J27" s="9"/>
    </row>
    <row r="28" spans="2:11" ht="14.85" customHeight="1"/>
    <row r="29" spans="2:11" ht="14.85" customHeight="1"/>
    <row r="30" spans="2:11" ht="14.85" customHeight="1"/>
    <row r="33" customFormat="1" ht="14.85" hidden="1" customHeight="1"/>
    <row r="34" customFormat="1" ht="14.85" hidden="1" customHeight="1"/>
    <row r="35" customFormat="1" ht="14.85" hidden="1" customHeight="1"/>
    <row r="36" customFormat="1" ht="14.85" hidden="1"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8.5703125" style="20" customWidth="1"/>
    <col min="2" max="2" width="32.5703125" style="20" customWidth="1"/>
    <col min="3" max="14" width="9.5703125" style="20" customWidth="1"/>
    <col min="15" max="15" width="9.42578125" style="20" customWidth="1"/>
    <col min="16" max="16384" width="9.42578125" hidden="1"/>
  </cols>
  <sheetData>
    <row r="1" spans="1:15" ht="14.85" customHeight="1"/>
    <row r="2" spans="1:15" ht="15">
      <c r="A2" s="11"/>
      <c r="B2" s="12"/>
      <c r="C2" s="13"/>
      <c r="D2" s="11"/>
      <c r="E2" s="11"/>
      <c r="F2" s="11"/>
      <c r="G2" s="11"/>
      <c r="H2" s="11"/>
      <c r="I2" s="11"/>
      <c r="J2" s="11"/>
      <c r="K2" s="11"/>
      <c r="L2" s="10"/>
      <c r="M2" s="10"/>
      <c r="N2" s="10"/>
      <c r="O2" s="10"/>
    </row>
    <row r="3" spans="1:15" ht="15">
      <c r="A3" s="11"/>
      <c r="B3" s="12"/>
      <c r="C3" s="13"/>
      <c r="D3" s="11"/>
      <c r="E3" s="11"/>
      <c r="F3" s="11"/>
      <c r="G3" s="11"/>
      <c r="H3" s="11"/>
      <c r="I3" s="11"/>
      <c r="J3" s="11"/>
      <c r="K3" s="11"/>
      <c r="L3" s="10"/>
      <c r="M3" s="10"/>
      <c r="N3" s="10"/>
      <c r="O3" s="10"/>
    </row>
    <row r="4" spans="1:15" ht="15">
      <c r="A4" s="11"/>
      <c r="B4" s="12"/>
      <c r="C4" s="13"/>
      <c r="D4" s="11"/>
      <c r="E4" s="11"/>
      <c r="F4" s="11"/>
      <c r="G4" s="11"/>
      <c r="H4" s="11"/>
      <c r="I4" s="11"/>
      <c r="J4" s="11"/>
      <c r="K4" s="11"/>
      <c r="L4" s="10"/>
      <c r="M4" s="10"/>
      <c r="N4" s="10"/>
      <c r="O4" s="10"/>
    </row>
    <row r="5" spans="1:15" ht="18" customHeight="1">
      <c r="A5"/>
      <c r="B5" s="269" t="str">
        <f>IF(Indice_index!$Z$1=1,"ANEXOS ESTATÍSTICOS","STATISTICAL ANNEXES")</f>
        <v>ANEXOS ESTATÍSTICOS</v>
      </c>
      <c r="C5"/>
      <c r="D5"/>
      <c r="E5"/>
      <c r="F5"/>
      <c r="G5"/>
      <c r="H5"/>
      <c r="I5"/>
      <c r="J5"/>
      <c r="K5"/>
      <c r="L5"/>
      <c r="M5"/>
      <c r="N5"/>
      <c r="O5"/>
    </row>
    <row r="6" spans="1:15" ht="18" customHeight="1">
      <c r="A6"/>
      <c r="B6" s="270" t="str">
        <f>IF(Indice_index!$Z$1=1,"Setembro de 2025","September 2025")</f>
        <v>Setembro de 2025</v>
      </c>
      <c r="C6"/>
      <c r="D6"/>
      <c r="E6"/>
      <c r="F6"/>
      <c r="G6"/>
      <c r="H6"/>
      <c r="I6"/>
      <c r="J6"/>
      <c r="K6"/>
      <c r="L6"/>
      <c r="M6"/>
      <c r="N6"/>
      <c r="O6"/>
    </row>
    <row r="7" spans="1:15" ht="50.1" customHeight="1">
      <c r="A7" s="11"/>
      <c r="B7" s="12"/>
      <c r="C7" s="13"/>
      <c r="D7" s="11"/>
      <c r="E7" s="11"/>
      <c r="F7" s="11"/>
      <c r="G7" s="11"/>
      <c r="H7" s="11"/>
      <c r="I7" s="11"/>
      <c r="J7" s="11"/>
      <c r="K7" s="11"/>
      <c r="L7" s="10"/>
      <c r="M7" s="10"/>
      <c r="N7" s="10"/>
      <c r="O7" s="10"/>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55" t="str">
        <f>+'3 - Conta AC + SS'!B9</f>
        <v>Período: janeiro a setembro</v>
      </c>
      <c r="C9" s="355"/>
      <c r="D9" s="3"/>
      <c r="E9" s="3"/>
      <c r="F9" s="3"/>
      <c r="G9" s="3"/>
      <c r="H9" s="3"/>
      <c r="I9" s="3"/>
      <c r="J9" s="3"/>
      <c r="K9" s="3"/>
      <c r="L9" s="3"/>
      <c r="M9" s="3"/>
      <c r="N9" s="3" t="str">
        <f>IF(Indice_index!$Z$1=1,"€ Milhões","€ Millions")</f>
        <v>€ Milhões</v>
      </c>
      <c r="O9" s="3"/>
    </row>
    <row r="10" spans="1:15" ht="26.85" customHeight="1">
      <c r="A10" s="14"/>
      <c r="B10" s="375"/>
      <c r="C10" s="22" t="str">
        <f>IF(Indice_index!$Z$1=1,"CGE","Final execution")</f>
        <v>CGE</v>
      </c>
      <c r="D10" s="378" t="str">
        <f>IF(Indice_index!$Z$1=1,"Execução Acumulada","Accumulated Execution")</f>
        <v>Execução Acumulada</v>
      </c>
      <c r="E10" s="379"/>
      <c r="F10" s="379"/>
      <c r="G10" s="379"/>
      <c r="H10" s="379"/>
      <c r="I10" s="379"/>
      <c r="J10" s="379"/>
      <c r="K10" s="379"/>
      <c r="L10" s="379"/>
      <c r="M10" s="379"/>
      <c r="N10" s="127" t="str">
        <f>IF(Indice_index!$Z$1=1,"Orçamento Inicial","Budget")</f>
        <v>Orçamento Inicial</v>
      </c>
      <c r="O10" s="14"/>
    </row>
    <row r="11" spans="1:15" ht="16.350000000000001" customHeight="1">
      <c r="A11" s="15"/>
      <c r="B11" s="376"/>
      <c r="C11" s="378">
        <v>2024</v>
      </c>
      <c r="D11" s="379"/>
      <c r="E11" s="379"/>
      <c r="F11" s="379"/>
      <c r="G11" s="379"/>
      <c r="H11" s="380"/>
      <c r="I11" s="378">
        <v>2025</v>
      </c>
      <c r="J11" s="379"/>
      <c r="K11" s="379"/>
      <c r="L11" s="379"/>
      <c r="M11" s="379"/>
      <c r="N11" s="380"/>
      <c r="O11" s="15"/>
    </row>
    <row r="12" spans="1:15" ht="36">
      <c r="A12" s="16"/>
      <c r="B12" s="377"/>
      <c r="C12" s="127" t="str">
        <f>IF(Indice_index!$Z$1=1,"Adm. Públicas","General Government")</f>
        <v>Adm. Públicas</v>
      </c>
      <c r="D12" s="127" t="str">
        <f>IF(Indice_index!$Z$1=1,"Estado","State")</f>
        <v>Estado</v>
      </c>
      <c r="E12" s="127" t="str">
        <f>IF(Indice_index!$Z$1=1,"Serviços e Fundos Autónomos","Autonomous Funds and Services")</f>
        <v>Serviços e Fundos Autónomos</v>
      </c>
      <c r="F12" s="127" t="str">
        <f>IF(Indice_index!$Z$1=1,"Adm. Local e Regional","Local and Regional Government")</f>
        <v>Adm. Local e Regional</v>
      </c>
      <c r="G12" s="127" t="str">
        <f>IF(Indice_index!$Z$1=1,"Segurança Social","Social Security")</f>
        <v>Segurança Social</v>
      </c>
      <c r="H12" s="127" t="str">
        <f>IF(Indice_index!$Z$1=1,"Adm. Públicas","General Government")</f>
        <v>Adm. Públicas</v>
      </c>
      <c r="I12" s="127" t="str">
        <f>IF(Indice_index!$Z$1=1,"Estado","State")</f>
        <v>Estado</v>
      </c>
      <c r="J12" s="127" t="str">
        <f>IF(Indice_index!$Z$1=1,"Serviços e Fundos Autónomos","Autonomous Funds and Services")</f>
        <v>Serviços e Fundos Autónomos</v>
      </c>
      <c r="K12" s="127" t="str">
        <f>IF(Indice_index!$Z$1=1,"Adm. Local e Regional","Local and Regional Government")</f>
        <v>Adm. Local e Regional</v>
      </c>
      <c r="L12" s="127" t="str">
        <f>IF(Indice_index!$Z$1=1,"Segurança Social","Social Security")</f>
        <v>Segurança Social</v>
      </c>
      <c r="M12" s="127" t="str">
        <f>IF(Indice_index!$Z$1=1,"Adm. Públicas","General Government")</f>
        <v>Adm. Públicas</v>
      </c>
      <c r="N12" s="127" t="str">
        <f>IF(Indice_index!$Z$1=1,"Adm. Públicas","General Government")</f>
        <v>Adm. Públicas</v>
      </c>
      <c r="O12" s="15"/>
    </row>
    <row r="13" spans="1:15" ht="14.1" customHeight="1">
      <c r="A13" s="134"/>
      <c r="B13" s="174" t="str">
        <f>IF(Indice_index!$Z$1=1,"Receita corrente","Current revenue")</f>
        <v>Receita corrente</v>
      </c>
      <c r="C13" s="134">
        <f t="shared" ref="C13:N13" si="0">C14+C17+C18+C21+C22</f>
        <v>117337.60814616577</v>
      </c>
      <c r="D13" s="134">
        <f t="shared" si="0"/>
        <v>49352.093948170004</v>
      </c>
      <c r="E13" s="134">
        <f t="shared" si="0"/>
        <v>29958.895564599999</v>
      </c>
      <c r="F13" s="134">
        <f t="shared" si="0"/>
        <v>10953.124135175281</v>
      </c>
      <c r="G13" s="134">
        <f t="shared" si="0"/>
        <v>30475.477298409998</v>
      </c>
      <c r="H13" s="134">
        <f t="shared" si="0"/>
        <v>86361.830373545279</v>
      </c>
      <c r="I13" s="134">
        <f t="shared" si="0"/>
        <v>51777.277543810007</v>
      </c>
      <c r="J13" s="134">
        <f t="shared" si="0"/>
        <v>30788.241824709992</v>
      </c>
      <c r="K13" s="134">
        <f t="shared" si="0"/>
        <v>12282.087231782425</v>
      </c>
      <c r="L13" s="134">
        <f t="shared" si="0"/>
        <v>33434.321105479998</v>
      </c>
      <c r="M13" s="134">
        <f t="shared" si="0"/>
        <v>92098.957339772431</v>
      </c>
      <c r="N13" s="134">
        <f t="shared" si="0"/>
        <v>125463.89815193915</v>
      </c>
      <c r="O13" s="157"/>
    </row>
    <row r="14" spans="1:15" ht="14.1" customHeight="1">
      <c r="A14" s="4"/>
      <c r="B14" s="125" t="str">
        <f>IF(Indice_index!$Z$1=1,"Receita fiscal","Tax")</f>
        <v>Receita fiscal</v>
      </c>
      <c r="C14" s="4">
        <f t="shared" ref="C14:N14" si="1">C15+C16</f>
        <v>67875.639581468189</v>
      </c>
      <c r="D14" s="4">
        <f t="shared" si="1"/>
        <v>45396.116251300002</v>
      </c>
      <c r="E14" s="4">
        <f t="shared" si="1"/>
        <v>584.33786442999997</v>
      </c>
      <c r="F14" s="4">
        <f t="shared" si="1"/>
        <v>4537.842832496437</v>
      </c>
      <c r="G14" s="4">
        <f t="shared" si="1"/>
        <v>169.91868922999998</v>
      </c>
      <c r="H14" s="4">
        <f t="shared" si="1"/>
        <v>50688.215637456437</v>
      </c>
      <c r="I14" s="4">
        <f t="shared" si="1"/>
        <v>48014.829193980004</v>
      </c>
      <c r="J14" s="4">
        <f t="shared" si="1"/>
        <v>577.08050389999994</v>
      </c>
      <c r="K14" s="4">
        <f t="shared" si="1"/>
        <v>5053.3189191052952</v>
      </c>
      <c r="L14" s="4">
        <f t="shared" si="1"/>
        <v>169.83279561999998</v>
      </c>
      <c r="M14" s="4">
        <f t="shared" si="1"/>
        <v>53815.061412605297</v>
      </c>
      <c r="N14" s="4">
        <f t="shared" si="1"/>
        <v>70663.474938276791</v>
      </c>
      <c r="O14" s="158"/>
    </row>
    <row r="15" spans="1:15" ht="14.1" customHeight="1">
      <c r="A15" s="4"/>
      <c r="B15" s="172" t="str">
        <f>IF(Indice_index!$Z$1=1,"Impostos diretos","Direct taxes")</f>
        <v>Impostos diretos</v>
      </c>
      <c r="C15" s="4">
        <v>32538.420329664816</v>
      </c>
      <c r="D15" s="4">
        <v>21409.548414920002</v>
      </c>
      <c r="E15" s="4">
        <v>0</v>
      </c>
      <c r="F15" s="4">
        <v>3521.0968573507143</v>
      </c>
      <c r="G15" s="4">
        <v>0</v>
      </c>
      <c r="H15" s="4">
        <v>24930.645272270718</v>
      </c>
      <c r="I15" s="4">
        <v>21997.651640730001</v>
      </c>
      <c r="J15" s="4">
        <v>0</v>
      </c>
      <c r="K15" s="4">
        <v>4008.381580147759</v>
      </c>
      <c r="L15" s="4">
        <v>0</v>
      </c>
      <c r="M15" s="4">
        <v>26006.033220877762</v>
      </c>
      <c r="N15" s="4">
        <v>32861.817263336787</v>
      </c>
      <c r="O15" s="158"/>
    </row>
    <row r="16" spans="1:15" ht="14.1" customHeight="1">
      <c r="A16" s="4"/>
      <c r="B16" s="172" t="str">
        <f>IF(Indice_index!$Z$1=1,"Impostos indiretos","Indirect taxes")</f>
        <v>Impostos indiretos</v>
      </c>
      <c r="C16" s="4">
        <v>35337.21925180337</v>
      </c>
      <c r="D16" s="4">
        <v>23986.567836380003</v>
      </c>
      <c r="E16" s="4">
        <v>584.33786442999997</v>
      </c>
      <c r="F16" s="4">
        <v>1016.7459751457222</v>
      </c>
      <c r="G16" s="4">
        <v>169.91868922999998</v>
      </c>
      <c r="H16" s="4">
        <v>25757.570365185722</v>
      </c>
      <c r="I16" s="4">
        <v>26017.177553250003</v>
      </c>
      <c r="J16" s="4">
        <v>577.08050389999994</v>
      </c>
      <c r="K16" s="4">
        <v>1044.937338957536</v>
      </c>
      <c r="L16" s="4">
        <v>169.83279561999998</v>
      </c>
      <c r="M16" s="4">
        <v>27809.028191727539</v>
      </c>
      <c r="N16" s="4">
        <v>37801.657674940005</v>
      </c>
      <c r="O16" s="158"/>
    </row>
    <row r="17" spans="2:14" ht="14.1" customHeight="1">
      <c r="B17" s="125" t="str">
        <f>IF(Indice_index!$Z$1=1,"Contribuições de Segurança Social","Social security contributions")</f>
        <v>Contribuições de Segurança Social</v>
      </c>
      <c r="C17" s="4">
        <v>32178.368385239999</v>
      </c>
      <c r="D17" s="4">
        <v>58.085472330000002</v>
      </c>
      <c r="E17" s="4">
        <v>3117.9758469500002</v>
      </c>
      <c r="F17" s="4">
        <v>0</v>
      </c>
      <c r="G17" s="4">
        <v>20177.280456740002</v>
      </c>
      <c r="H17" s="4">
        <v>23353.341776020003</v>
      </c>
      <c r="I17" s="4">
        <v>63.591528400000009</v>
      </c>
      <c r="J17" s="4">
        <v>3229.4034959700007</v>
      </c>
      <c r="K17" s="4">
        <v>0</v>
      </c>
      <c r="L17" s="4">
        <v>22000.79150721</v>
      </c>
      <c r="M17" s="4">
        <v>25293.786531580001</v>
      </c>
      <c r="N17" s="4">
        <v>33913.802474999997</v>
      </c>
    </row>
    <row r="18" spans="2:14" ht="14.1" customHeight="1">
      <c r="B18" s="125" t="str">
        <f>IF(Indice_index!$Z$1=1,"Transferências correntes","Current transfers")</f>
        <v>Transferências correntes</v>
      </c>
      <c r="C18" s="4">
        <v>2988.2814460303111</v>
      </c>
      <c r="D18" s="4">
        <f t="shared" ref="D18:N18" si="2">+D19+D20</f>
        <v>763.58917667999992</v>
      </c>
      <c r="E18" s="4">
        <f t="shared" si="2"/>
        <v>21367.067172769996</v>
      </c>
      <c r="F18" s="4">
        <f t="shared" si="2"/>
        <v>4543.9775162378992</v>
      </c>
      <c r="G18" s="4">
        <f t="shared" si="2"/>
        <v>9284.8373434999994</v>
      </c>
      <c r="H18" s="4">
        <f t="shared" si="2"/>
        <v>2039.2498335678977</v>
      </c>
      <c r="I18" s="4">
        <f t="shared" si="2"/>
        <v>761.48375955000006</v>
      </c>
      <c r="J18" s="4">
        <f t="shared" si="2"/>
        <v>22155.830396789992</v>
      </c>
      <c r="K18" s="4">
        <f t="shared" si="2"/>
        <v>5036.1470280326857</v>
      </c>
      <c r="L18" s="4">
        <f t="shared" si="2"/>
        <v>10148.58052926</v>
      </c>
      <c r="M18" s="4">
        <f t="shared" si="2"/>
        <v>2358.2503160826864</v>
      </c>
      <c r="N18" s="4">
        <f t="shared" si="2"/>
        <v>6071.2142366295302</v>
      </c>
    </row>
    <row r="19" spans="2:14" ht="14.1" customHeight="1">
      <c r="B19" s="172" t="str">
        <f>IF(Indice_index!$Z$1=1,"Administrações Públicas","General Government subsectors")</f>
        <v>Administrações Públicas</v>
      </c>
      <c r="C19" s="4">
        <v>0</v>
      </c>
      <c r="D19" s="4">
        <v>575.10716003000005</v>
      </c>
      <c r="E19" s="4">
        <v>20347.004029869997</v>
      </c>
      <c r="F19" s="4">
        <v>4373.7377140900007</v>
      </c>
      <c r="G19" s="4">
        <v>8624.3724716300003</v>
      </c>
      <c r="H19" s="4">
        <v>0</v>
      </c>
      <c r="I19" s="4">
        <v>595.64188448999994</v>
      </c>
      <c r="J19" s="4">
        <v>21161.645915219993</v>
      </c>
      <c r="K19" s="4">
        <v>4862.2318032899993</v>
      </c>
      <c r="L19" s="4">
        <v>9124.271794549999</v>
      </c>
      <c r="M19" s="4">
        <v>0</v>
      </c>
      <c r="N19" s="4">
        <v>0</v>
      </c>
    </row>
    <row r="20" spans="2:14" ht="14.1" customHeight="1">
      <c r="B20" s="172" t="str">
        <f>IF(Indice_index!$Z$1=1,"Outras","Others")</f>
        <v>Outras</v>
      </c>
      <c r="C20" s="4">
        <v>2988.2814460303111</v>
      </c>
      <c r="D20" s="4">
        <v>188.48201664999991</v>
      </c>
      <c r="E20" s="4">
        <v>1020.0631428999998</v>
      </c>
      <c r="F20" s="4">
        <v>170.2398021478981</v>
      </c>
      <c r="G20" s="4">
        <v>660.46487187000002</v>
      </c>
      <c r="H20" s="4">
        <v>2039.2498335678977</v>
      </c>
      <c r="I20" s="4">
        <v>165.84187506000006</v>
      </c>
      <c r="J20" s="4">
        <v>994.18448156999955</v>
      </c>
      <c r="K20" s="4">
        <v>173.91522474268649</v>
      </c>
      <c r="L20" s="4">
        <v>1024.3087347100002</v>
      </c>
      <c r="M20" s="4">
        <v>2358.2503160826864</v>
      </c>
      <c r="N20" s="4">
        <v>6071.2142366295302</v>
      </c>
    </row>
    <row r="21" spans="2:14" ht="14.1" customHeight="1">
      <c r="B21" s="125" t="str">
        <f>IF(Indice_index!$Z$1=1,"Outras receitas correntes","Other current revenue")</f>
        <v>Outras receitas correntes</v>
      </c>
      <c r="C21" s="4">
        <v>14093.219955967266</v>
      </c>
      <c r="D21" s="4">
        <v>2958.2760360799994</v>
      </c>
      <c r="E21" s="4">
        <v>4848.982042120002</v>
      </c>
      <c r="F21" s="4">
        <v>1845.1404430809453</v>
      </c>
      <c r="G21" s="4">
        <v>843.44080894000012</v>
      </c>
      <c r="H21" s="4">
        <v>10038.300133030945</v>
      </c>
      <c r="I21" s="4">
        <v>2902.0457433600004</v>
      </c>
      <c r="J21" s="4">
        <v>4798.1535795499904</v>
      </c>
      <c r="K21" s="4">
        <v>2188.1350116044428</v>
      </c>
      <c r="L21" s="4">
        <v>1115.1162733900001</v>
      </c>
      <c r="M21" s="4">
        <v>10564.271639444434</v>
      </c>
      <c r="N21" s="4">
        <v>14594.969599038914</v>
      </c>
    </row>
    <row r="22" spans="2:14" ht="14.1" customHeight="1">
      <c r="B22" s="125" t="str">
        <f>IF(Indice_index!$Z$1=1,"Diferenças de consolidação","Consolidation differences")</f>
        <v>Diferenças de consolidação</v>
      </c>
      <c r="C22" s="4">
        <v>202.09877746000464</v>
      </c>
      <c r="D22" s="4">
        <v>176.02701177999995</v>
      </c>
      <c r="E22" s="4">
        <v>40.532638330000218</v>
      </c>
      <c r="F22" s="4">
        <v>26.163343360000226</v>
      </c>
      <c r="G22" s="4">
        <v>0</v>
      </c>
      <c r="H22" s="4">
        <v>242.7229934700004</v>
      </c>
      <c r="I22" s="4">
        <v>35.327318519999892</v>
      </c>
      <c r="J22" s="4">
        <v>27.773848500009947</v>
      </c>
      <c r="K22" s="4">
        <v>4.486273039999956</v>
      </c>
      <c r="L22" s="4">
        <v>0</v>
      </c>
      <c r="M22" s="4">
        <v>67.587440060009797</v>
      </c>
      <c r="N22" s="4">
        <v>220.43690299392642</v>
      </c>
    </row>
    <row r="23" spans="2:14" ht="14.1" customHeight="1">
      <c r="B23" s="174" t="str">
        <f>IF(Indice_index!$Z$1=1,"Receita de capital","Capital revenue")</f>
        <v>Receita de capital</v>
      </c>
      <c r="C23" s="134">
        <f>C24+C25+C28+C29</f>
        <v>3649.6288053136154</v>
      </c>
      <c r="D23" s="134">
        <f>D24+D25+D28+D29</f>
        <v>264.46542004000003</v>
      </c>
      <c r="E23" s="134">
        <f>E24+E25+E28+E29</f>
        <v>2872.00899811</v>
      </c>
      <c r="F23" s="134">
        <f t="shared" ref="F23:M23" si="3">F24+F25+F28+F29</f>
        <v>1478.637536723136</v>
      </c>
      <c r="G23" s="134">
        <f t="shared" si="3"/>
        <v>0.65549792000000029</v>
      </c>
      <c r="H23" s="134">
        <f t="shared" si="3"/>
        <v>2539.3559668031362</v>
      </c>
      <c r="I23" s="134">
        <f t="shared" si="3"/>
        <v>185.04036080000003</v>
      </c>
      <c r="J23" s="134">
        <f t="shared" si="3"/>
        <v>3191.0014650100002</v>
      </c>
      <c r="K23" s="134">
        <f t="shared" si="3"/>
        <v>2107.0993199664008</v>
      </c>
      <c r="L23" s="134">
        <f t="shared" si="3"/>
        <v>0.22463508000000001</v>
      </c>
      <c r="M23" s="134">
        <f t="shared" si="3"/>
        <v>2693.8311328464006</v>
      </c>
      <c r="N23" s="134">
        <f>N24+N25+N28+N29</f>
        <v>7303.9157091521747</v>
      </c>
    </row>
    <row r="24" spans="2:14" ht="14.1" customHeight="1">
      <c r="B24" s="125" t="str">
        <f>IF(Indice_index!$Z$1=1,"Venda de bens de investimento","Sale of investment goods")</f>
        <v>Venda de bens de investimento</v>
      </c>
      <c r="C24" s="4">
        <v>192.02585902549259</v>
      </c>
      <c r="D24" s="4">
        <v>3.0555873899999995</v>
      </c>
      <c r="E24" s="4">
        <v>56.991796039999997</v>
      </c>
      <c r="F24" s="4">
        <v>70.228111086646635</v>
      </c>
      <c r="G24" s="4">
        <v>0.64746896000000032</v>
      </c>
      <c r="H24" s="4">
        <v>130.92296347664663</v>
      </c>
      <c r="I24" s="4">
        <v>9.5154319999999987E-2</v>
      </c>
      <c r="J24" s="4">
        <v>30.612305429999996</v>
      </c>
      <c r="K24" s="4">
        <v>75.503976648544082</v>
      </c>
      <c r="L24" s="4">
        <v>0.22136213000000002</v>
      </c>
      <c r="M24" s="4">
        <v>106.43279852854408</v>
      </c>
      <c r="N24" s="4">
        <v>979.93621157670486</v>
      </c>
    </row>
    <row r="25" spans="2:14" ht="14.1" customHeight="1">
      <c r="B25" s="125" t="str">
        <f>IF(Indice_index!$Z$1=1,"Transferências de capital","Capital transfers")</f>
        <v>Transferências de capital</v>
      </c>
      <c r="C25" s="4">
        <f>+C26+C27</f>
        <v>3259.8043280774459</v>
      </c>
      <c r="D25" s="4">
        <f t="shared" ref="D25:N25" si="4">+D26+D27</f>
        <v>119.88480408999999</v>
      </c>
      <c r="E25" s="4">
        <f t="shared" si="4"/>
        <v>2797.79735523</v>
      </c>
      <c r="F25" s="4">
        <f t="shared" si="4"/>
        <v>1390.1510443162952</v>
      </c>
      <c r="G25" s="4">
        <f t="shared" si="4"/>
        <v>0</v>
      </c>
      <c r="H25" s="4">
        <f t="shared" si="4"/>
        <v>2231.4217176462953</v>
      </c>
      <c r="I25" s="4">
        <f t="shared" si="4"/>
        <v>178.88136006000002</v>
      </c>
      <c r="J25" s="4">
        <f t="shared" si="4"/>
        <v>3041.4054003900001</v>
      </c>
      <c r="K25" s="4">
        <f t="shared" si="4"/>
        <v>2017.0267147341106</v>
      </c>
      <c r="L25" s="4">
        <f t="shared" si="4"/>
        <v>0</v>
      </c>
      <c r="M25" s="4">
        <f t="shared" si="4"/>
        <v>2447.7788271741106</v>
      </c>
      <c r="N25" s="4">
        <f t="shared" si="4"/>
        <v>6177.9270811509714</v>
      </c>
    </row>
    <row r="26" spans="2:14" ht="14.1" customHeight="1">
      <c r="B26" s="172" t="str">
        <f>IF(Indice_index!$Z$1=1,"Administrações Públicas","General Government subsectors")</f>
        <v>Administrações Públicas</v>
      </c>
      <c r="C26" s="4">
        <v>0</v>
      </c>
      <c r="D26" s="4">
        <v>21.033747090000002</v>
      </c>
      <c r="E26" s="4">
        <v>1273.5257047600003</v>
      </c>
      <c r="F26" s="4">
        <v>781.85203413999989</v>
      </c>
      <c r="G26" s="4">
        <v>0</v>
      </c>
      <c r="H26" s="4">
        <v>0</v>
      </c>
      <c r="I26" s="4">
        <v>85.200687349999995</v>
      </c>
      <c r="J26" s="4">
        <v>1524.7678960999999</v>
      </c>
      <c r="K26" s="4">
        <v>1179.5660645599999</v>
      </c>
      <c r="L26" s="4">
        <v>0</v>
      </c>
      <c r="M26" s="4">
        <v>0</v>
      </c>
      <c r="N26" s="4">
        <v>0</v>
      </c>
    </row>
    <row r="27" spans="2:14" ht="14.1" customHeight="1">
      <c r="B27" s="172" t="str">
        <f>IF(Indice_index!$Z$1=1,"Outras","Others")</f>
        <v>Outras</v>
      </c>
      <c r="C27" s="4">
        <v>3259.8043280774459</v>
      </c>
      <c r="D27" s="4">
        <v>98.851056999999983</v>
      </c>
      <c r="E27" s="4">
        <v>1524.2716504699999</v>
      </c>
      <c r="F27" s="4">
        <v>608.29901017629527</v>
      </c>
      <c r="G27" s="4">
        <v>0</v>
      </c>
      <c r="H27" s="4">
        <v>2231.4217176462953</v>
      </c>
      <c r="I27" s="4">
        <v>93.680672710000024</v>
      </c>
      <c r="J27" s="4">
        <v>1516.6375042900002</v>
      </c>
      <c r="K27" s="4">
        <v>837.46065017411058</v>
      </c>
      <c r="L27" s="4">
        <v>0</v>
      </c>
      <c r="M27" s="4">
        <v>2447.7788271741106</v>
      </c>
      <c r="N27" s="4">
        <v>6177.9270811509714</v>
      </c>
    </row>
    <row r="28" spans="2:14" ht="14.1" customHeight="1">
      <c r="B28" s="125" t="str">
        <f>IF(Indice_index!$Z$1=1,"Outras receitas de capital","Other capital revenue")</f>
        <v>Outras receitas de capital</v>
      </c>
      <c r="C28" s="4">
        <v>197.79861821067681</v>
      </c>
      <c r="D28" s="4">
        <v>141.52502856000001</v>
      </c>
      <c r="E28" s="4">
        <v>17.219846839999995</v>
      </c>
      <c r="F28" s="4">
        <v>17.123533590194349</v>
      </c>
      <c r="G28" s="4">
        <v>8.0289599999999999E-3</v>
      </c>
      <c r="H28" s="4">
        <v>175.87643795019434</v>
      </c>
      <c r="I28" s="4">
        <v>3.7891442999999998</v>
      </c>
      <c r="J28" s="4">
        <v>118.98375919000001</v>
      </c>
      <c r="K28" s="4">
        <v>10.709325563746122</v>
      </c>
      <c r="L28" s="4">
        <v>3.2729499999999997E-3</v>
      </c>
      <c r="M28" s="4">
        <v>133.48550200374612</v>
      </c>
      <c r="N28" s="4">
        <v>40.908909424498603</v>
      </c>
    </row>
    <row r="29" spans="2:14" ht="14.1" customHeight="1">
      <c r="B29" s="125" t="str">
        <f>IF(Indice_index!$Z$1=1,"Diferenças de consolidação","Consolidation differences")</f>
        <v>Diferenças de consolidação</v>
      </c>
      <c r="C29" s="4">
        <v>0</v>
      </c>
      <c r="D29" s="4">
        <v>0</v>
      </c>
      <c r="E29" s="4">
        <v>0</v>
      </c>
      <c r="F29" s="4">
        <v>1.1348477300000042</v>
      </c>
      <c r="G29" s="4">
        <v>0</v>
      </c>
      <c r="H29" s="4">
        <v>1.1348477300000042</v>
      </c>
      <c r="I29" s="4">
        <v>2.2747021200000006</v>
      </c>
      <c r="J29" s="4">
        <v>0</v>
      </c>
      <c r="K29" s="4">
        <v>3.8593030199999845</v>
      </c>
      <c r="L29" s="4">
        <v>0</v>
      </c>
      <c r="M29" s="4">
        <v>6.1340051399999851</v>
      </c>
      <c r="N29" s="4">
        <v>105.14350700000045</v>
      </c>
    </row>
    <row r="30" spans="2:14" ht="14.1" customHeight="1">
      <c r="B30" s="17" t="str">
        <f>IF(Indice_index!$Z$1=1,"Receita efetiva","Effective revenue")</f>
        <v>Receita efetiva</v>
      </c>
      <c r="C30" s="18">
        <f t="shared" ref="C30:N30" si="5">C13+C23</f>
        <v>120987.23695147938</v>
      </c>
      <c r="D30" s="18">
        <f t="shared" si="5"/>
        <v>49616.559368210001</v>
      </c>
      <c r="E30" s="18">
        <f t="shared" si="5"/>
        <v>32830.904562709999</v>
      </c>
      <c r="F30" s="18">
        <f t="shared" si="5"/>
        <v>12431.761671898417</v>
      </c>
      <c r="G30" s="18">
        <f t="shared" si="5"/>
        <v>30476.132796329999</v>
      </c>
      <c r="H30" s="18">
        <f t="shared" si="5"/>
        <v>88901.186340348417</v>
      </c>
      <c r="I30" s="18">
        <f t="shared" si="5"/>
        <v>51962.317904610005</v>
      </c>
      <c r="J30" s="18">
        <f t="shared" si="5"/>
        <v>33979.243289719991</v>
      </c>
      <c r="K30" s="18">
        <f t="shared" si="5"/>
        <v>14389.186551748826</v>
      </c>
      <c r="L30" s="18">
        <f t="shared" si="5"/>
        <v>33434.545740559995</v>
      </c>
      <c r="M30" s="18">
        <f t="shared" si="5"/>
        <v>94792.788472618835</v>
      </c>
      <c r="N30" s="18">
        <f t="shared" si="5"/>
        <v>132767.81386109133</v>
      </c>
    </row>
    <row r="31" spans="2:14" ht="14.1" customHeight="1">
      <c r="B31" s="174" t="str">
        <f>IF(Indice_index!$Z$1=1,"Despesa corrente","Current expenditure")</f>
        <v>Despesa corrente</v>
      </c>
      <c r="C31" s="134">
        <f t="shared" ref="C31:N31" si="6">C32+C36+C37+C38+C41+C42+C43</f>
        <v>110350.59166081203</v>
      </c>
      <c r="D31" s="134">
        <f t="shared" si="6"/>
        <v>48404.502808869991</v>
      </c>
      <c r="E31" s="134">
        <f t="shared" si="6"/>
        <v>27448.049710660001</v>
      </c>
      <c r="F31" s="134">
        <f t="shared" si="6"/>
        <v>9189.882750347102</v>
      </c>
      <c r="G31" s="134">
        <f t="shared" si="6"/>
        <v>26062.394221620008</v>
      </c>
      <c r="H31" s="134">
        <f t="shared" si="6"/>
        <v>76727.068918687117</v>
      </c>
      <c r="I31" s="134">
        <f t="shared" si="6"/>
        <v>50512.72026356998</v>
      </c>
      <c r="J31" s="134">
        <f t="shared" si="6"/>
        <v>28567.789168970001</v>
      </c>
      <c r="K31" s="134">
        <f t="shared" si="6"/>
        <v>10141.313592894501</v>
      </c>
      <c r="L31" s="134">
        <f t="shared" si="6"/>
        <v>28601.554585680002</v>
      </c>
      <c r="M31" s="134">
        <f t="shared" si="6"/>
        <v>81640.407245104492</v>
      </c>
      <c r="N31" s="134">
        <f t="shared" si="6"/>
        <v>118123.48490804846</v>
      </c>
    </row>
    <row r="32" spans="2:14" ht="14.1" customHeight="1">
      <c r="B32" s="125" t="str">
        <f>IF(Indice_index!$Z$1=1,"Despesas com o pessoal","Compensation of employees")</f>
        <v>Despesas com o pessoal</v>
      </c>
      <c r="C32" s="4">
        <f>C33+C34+C35</f>
        <v>28242.538317904186</v>
      </c>
      <c r="D32" s="4">
        <f t="shared" ref="D32:N32" si="7">D33+D34+D35</f>
        <v>8043.7860581900004</v>
      </c>
      <c r="E32" s="4">
        <f t="shared" si="7"/>
        <v>7559.659322890001</v>
      </c>
      <c r="F32" s="4">
        <f t="shared" si="7"/>
        <v>4283.3558859870955</v>
      </c>
      <c r="G32" s="4">
        <f t="shared" si="7"/>
        <v>247.94424283000006</v>
      </c>
      <c r="H32" s="4">
        <f t="shared" si="7"/>
        <v>20134.745509897097</v>
      </c>
      <c r="I32" s="4">
        <f t="shared" si="7"/>
        <v>8662.4629914800043</v>
      </c>
      <c r="J32" s="4">
        <f t="shared" si="7"/>
        <v>8348.4500309800005</v>
      </c>
      <c r="K32" s="4">
        <f t="shared" si="7"/>
        <v>4612.8945988758023</v>
      </c>
      <c r="L32" s="4">
        <f t="shared" si="7"/>
        <v>254.57627287000003</v>
      </c>
      <c r="M32" s="4">
        <f t="shared" si="7"/>
        <v>21878.383894205806</v>
      </c>
      <c r="N32" s="4">
        <f t="shared" si="7"/>
        <v>29731.954115004963</v>
      </c>
    </row>
    <row r="33" spans="2:14" ht="14.1" customHeight="1">
      <c r="B33" s="172" t="str">
        <f>IF(Indice_index!$Z$1=1,"Remunerações certas e permanentes","Certain and permanent wages")</f>
        <v>Remunerações certas e permanentes</v>
      </c>
      <c r="C33" s="4">
        <v>20341.372942420487</v>
      </c>
      <c r="D33" s="4">
        <v>5780.2008401500007</v>
      </c>
      <c r="E33" s="4">
        <v>5265.5516774300004</v>
      </c>
      <c r="F33" s="4">
        <v>3247.5292661447465</v>
      </c>
      <c r="G33" s="4">
        <v>198.83684093000005</v>
      </c>
      <c r="H33" s="4">
        <v>14492.118624654746</v>
      </c>
      <c r="I33" s="4">
        <v>6249.3357162100028</v>
      </c>
      <c r="J33" s="4">
        <v>5805.72651735</v>
      </c>
      <c r="K33" s="4">
        <v>3491.9790074284456</v>
      </c>
      <c r="L33" s="4">
        <v>203.66878133</v>
      </c>
      <c r="M33" s="4">
        <v>15750.710022318448</v>
      </c>
      <c r="N33" s="4">
        <v>21770.954569304264</v>
      </c>
    </row>
    <row r="34" spans="2:14" ht="14.1" customHeight="1">
      <c r="B34" s="172" t="str">
        <f>IF(Indice_index!$Z$1=1,"Abonos variáveis ou eventuais","Variable or contingent bonuses")</f>
        <v>Abonos variáveis ou eventuais</v>
      </c>
      <c r="C34" s="4">
        <v>2021.2944703754563</v>
      </c>
      <c r="D34" s="4">
        <v>341.96898301000004</v>
      </c>
      <c r="E34" s="4">
        <v>892.05609520999985</v>
      </c>
      <c r="F34" s="4">
        <v>249.33806648899122</v>
      </c>
      <c r="G34" s="4">
        <v>5.205014929999999</v>
      </c>
      <c r="H34" s="4">
        <v>1488.5681596389911</v>
      </c>
      <c r="I34" s="4">
        <v>367.72651027000001</v>
      </c>
      <c r="J34" s="4">
        <v>987.33509790000005</v>
      </c>
      <c r="K34" s="4">
        <v>281.71022571447583</v>
      </c>
      <c r="L34" s="4">
        <v>5.1580670200000007</v>
      </c>
      <c r="M34" s="4">
        <v>1641.929900904476</v>
      </c>
      <c r="N34" s="4">
        <v>2049.3718805448307</v>
      </c>
    </row>
    <row r="35" spans="2:14" ht="14.1" customHeight="1">
      <c r="B35" s="172" t="str">
        <f>IF(Indice_index!$Z$1=1,"Segurança Social","Social security")</f>
        <v>Segurança Social</v>
      </c>
      <c r="C35" s="4">
        <v>5879.8709051082442</v>
      </c>
      <c r="D35" s="4">
        <v>1921.6162350299996</v>
      </c>
      <c r="E35" s="4">
        <v>1402.0515502500009</v>
      </c>
      <c r="F35" s="4">
        <v>786.48855335335816</v>
      </c>
      <c r="G35" s="4">
        <v>43.902386969999995</v>
      </c>
      <c r="H35" s="4">
        <v>4154.0587256033587</v>
      </c>
      <c r="I35" s="4">
        <v>2045.4007650000005</v>
      </c>
      <c r="J35" s="4">
        <v>1555.3884157300008</v>
      </c>
      <c r="K35" s="4">
        <v>839.20536573288109</v>
      </c>
      <c r="L35" s="4">
        <v>45.749424520000012</v>
      </c>
      <c r="M35" s="4">
        <v>4485.7439709828823</v>
      </c>
      <c r="N35" s="4">
        <v>5911.6276651558701</v>
      </c>
    </row>
    <row r="36" spans="2:14" ht="14.1" customHeight="1">
      <c r="B36" s="125" t="str">
        <f>IF(Indice_index!$Z$1=1,"Aquisição de bens e serviços","Purchase of goods and services")</f>
        <v>Aquisição de bens e serviços</v>
      </c>
      <c r="C36" s="4">
        <v>18664.306365835215</v>
      </c>
      <c r="D36" s="4">
        <v>1155.3316225899998</v>
      </c>
      <c r="E36" s="4">
        <v>7512.6315743500018</v>
      </c>
      <c r="F36" s="4">
        <v>3134.5461812161652</v>
      </c>
      <c r="G36" s="4">
        <v>62.472549269999995</v>
      </c>
      <c r="H36" s="4">
        <v>11864.199507746169</v>
      </c>
      <c r="I36" s="4">
        <v>985.68267661999994</v>
      </c>
      <c r="J36" s="4">
        <v>7730.125713150006</v>
      </c>
      <c r="K36" s="4">
        <v>3469.6086408083888</v>
      </c>
      <c r="L36" s="4">
        <v>64.921356079999995</v>
      </c>
      <c r="M36" s="4">
        <v>12249.677298138393</v>
      </c>
      <c r="N36" s="4">
        <v>20512.73379689678</v>
      </c>
    </row>
    <row r="37" spans="2:14" ht="14.1" customHeight="1">
      <c r="B37" s="125" t="str">
        <f>IF(Indice_index!$Z$1=1,"Juros e outros encargos","Interests and other charges")</f>
        <v>Juros e outros encargos</v>
      </c>
      <c r="C37" s="4">
        <v>6971.3209985257045</v>
      </c>
      <c r="D37" s="4">
        <v>4986.1744089899994</v>
      </c>
      <c r="E37" s="4">
        <v>167.21858562</v>
      </c>
      <c r="F37" s="4">
        <v>225.93781156704239</v>
      </c>
      <c r="G37" s="4">
        <v>5.4025475500000004</v>
      </c>
      <c r="H37" s="4">
        <v>5050.2104157270423</v>
      </c>
      <c r="I37" s="4">
        <v>5009.5079232899998</v>
      </c>
      <c r="J37" s="4">
        <v>105.84841913</v>
      </c>
      <c r="K37" s="4">
        <v>212.69365802937472</v>
      </c>
      <c r="L37" s="4">
        <v>6.4889281599999995</v>
      </c>
      <c r="M37" s="4">
        <v>4994.3498001493754</v>
      </c>
      <c r="N37" s="4">
        <v>7171.7886568006325</v>
      </c>
    </row>
    <row r="38" spans="2:14" ht="14.1" customHeight="1">
      <c r="B38" s="125" t="str">
        <f>IF(Indice_index!$Z$1=1,"Transferências correntes","Current transfers")</f>
        <v>Transferências correntes</v>
      </c>
      <c r="C38" s="4">
        <f>+C39+C40</f>
        <v>53303.848470004203</v>
      </c>
      <c r="D38" s="4">
        <f t="shared" ref="D38:N38" si="8">+D39+D40</f>
        <v>33963.26217278</v>
      </c>
      <c r="E38" s="4">
        <f t="shared" si="8"/>
        <v>11352.450873319996</v>
      </c>
      <c r="F38" s="4">
        <f t="shared" si="8"/>
        <v>874.20302238722513</v>
      </c>
      <c r="G38" s="4">
        <f t="shared" si="8"/>
        <v>25334.080437450008</v>
      </c>
      <c r="H38" s="4">
        <f t="shared" si="8"/>
        <v>37535.207858777227</v>
      </c>
      <c r="I38" s="4">
        <f t="shared" si="8"/>
        <v>35532.656599159978</v>
      </c>
      <c r="J38" s="4">
        <f t="shared" si="8"/>
        <v>11663.672421799998</v>
      </c>
      <c r="K38" s="4">
        <f t="shared" si="8"/>
        <v>928.51567079862389</v>
      </c>
      <c r="L38" s="4">
        <f t="shared" si="8"/>
        <v>27596.962281049997</v>
      </c>
      <c r="M38" s="4">
        <f t="shared" si="8"/>
        <v>39867.970123408617</v>
      </c>
      <c r="N38" s="4">
        <f t="shared" si="8"/>
        <v>55448.707097570077</v>
      </c>
    </row>
    <row r="39" spans="2:14" ht="14.1" customHeight="1">
      <c r="B39" s="172" t="str">
        <f>IF(Indice_index!$Z$1=1,"Administrações Públicas","General Government subsectors")</f>
        <v>Administrações Públicas</v>
      </c>
      <c r="C39" s="4">
        <v>0</v>
      </c>
      <c r="D39" s="4">
        <v>31086.794265569995</v>
      </c>
      <c r="E39" s="4">
        <v>1201.5345704400002</v>
      </c>
      <c r="F39" s="4">
        <v>108.9048626</v>
      </c>
      <c r="G39" s="4">
        <v>1591.5549485500001</v>
      </c>
      <c r="H39" s="4">
        <v>0</v>
      </c>
      <c r="I39" s="4">
        <v>32812.937364929981</v>
      </c>
      <c r="J39" s="4">
        <v>1243.72648149</v>
      </c>
      <c r="K39" s="4">
        <v>96.614316529999982</v>
      </c>
      <c r="L39" s="4">
        <v>1700.5586864500001</v>
      </c>
      <c r="M39" s="4">
        <v>0</v>
      </c>
      <c r="N39" s="4">
        <v>0</v>
      </c>
    </row>
    <row r="40" spans="2:14" ht="14.1" customHeight="1">
      <c r="B40" s="172" t="str">
        <f>IF(Indice_index!$Z$1=1,"Outras","Others")</f>
        <v>Outras</v>
      </c>
      <c r="C40" s="4">
        <v>53303.848470004203</v>
      </c>
      <c r="D40" s="4">
        <v>2876.4679072100007</v>
      </c>
      <c r="E40" s="4">
        <v>10150.916302879996</v>
      </c>
      <c r="F40" s="4">
        <v>765.29815978722513</v>
      </c>
      <c r="G40" s="4">
        <v>23742.525488900006</v>
      </c>
      <c r="H40" s="4">
        <v>37535.207858777227</v>
      </c>
      <c r="I40" s="4">
        <v>2719.71923423</v>
      </c>
      <c r="J40" s="4">
        <v>10419.945940309999</v>
      </c>
      <c r="K40" s="4">
        <v>831.90135426862389</v>
      </c>
      <c r="L40" s="4">
        <v>25896.403594599997</v>
      </c>
      <c r="M40" s="4">
        <v>39867.970123408617</v>
      </c>
      <c r="N40" s="4">
        <v>55448.707097570077</v>
      </c>
    </row>
    <row r="41" spans="2:14" ht="14.1" customHeight="1">
      <c r="B41" s="125" t="str">
        <f>IF(Indice_index!$Z$1=1,"Subsídios","Subsidies")</f>
        <v>Subsídios</v>
      </c>
      <c r="C41" s="4">
        <v>2052.1373090053116</v>
      </c>
      <c r="D41" s="4">
        <v>170.52653848999998</v>
      </c>
      <c r="E41" s="4">
        <v>518.06512657999997</v>
      </c>
      <c r="F41" s="4">
        <v>530.65091052638638</v>
      </c>
      <c r="G41" s="4">
        <v>405.33850922000005</v>
      </c>
      <c r="H41" s="4">
        <v>1297.5225894463861</v>
      </c>
      <c r="I41" s="4">
        <v>248.82510465000001</v>
      </c>
      <c r="J41" s="4">
        <v>480.96979030999995</v>
      </c>
      <c r="K41" s="4">
        <v>773.85528755228472</v>
      </c>
      <c r="L41" s="4">
        <v>671.19330654999999</v>
      </c>
      <c r="M41" s="4">
        <v>1769.8715680222847</v>
      </c>
      <c r="N41" s="4">
        <v>2635.0903152532596</v>
      </c>
    </row>
    <row r="42" spans="2:14" ht="14.1" customHeight="1">
      <c r="B42" s="125" t="str">
        <f>IF(Indice_index!$Z$1=1,"Outras despesas correntes","Other current expenditures")</f>
        <v>Outras despesas correntes</v>
      </c>
      <c r="C42" s="4">
        <v>921.3750938273929</v>
      </c>
      <c r="D42" s="4">
        <v>85.334151759999955</v>
      </c>
      <c r="E42" s="4">
        <v>338.02422790000003</v>
      </c>
      <c r="F42" s="4">
        <v>141.18461570318888</v>
      </c>
      <c r="G42" s="4">
        <v>7.1559352999999994</v>
      </c>
      <c r="H42" s="4">
        <v>571.69893066318889</v>
      </c>
      <c r="I42" s="4">
        <v>73.55468178000001</v>
      </c>
      <c r="J42" s="4">
        <v>225.34544223999995</v>
      </c>
      <c r="K42" s="4">
        <v>143.72596446002575</v>
      </c>
      <c r="L42" s="4">
        <v>7.4124409699999987</v>
      </c>
      <c r="M42" s="4">
        <v>450.03852945002569</v>
      </c>
      <c r="N42" s="4">
        <v>2622.1722275227471</v>
      </c>
    </row>
    <row r="43" spans="2:14" ht="14.1" customHeight="1">
      <c r="B43" s="125" t="str">
        <f>IF(Indice_index!$Z$1=1,"Diferenças de consolidação","Consolidation differences")</f>
        <v>Diferenças de consolidação</v>
      </c>
      <c r="C43" s="4">
        <v>195.06510571001445</v>
      </c>
      <c r="D43" s="4">
        <v>8.7856070000000036E-2</v>
      </c>
      <c r="E43" s="4">
        <v>0</v>
      </c>
      <c r="F43" s="4">
        <v>4.3229599999999998E-3</v>
      </c>
      <c r="G43" s="4">
        <v>0</v>
      </c>
      <c r="H43" s="4">
        <v>273.48410643000727</v>
      </c>
      <c r="I43" s="4">
        <v>3.0286590000000002E-2</v>
      </c>
      <c r="J43" s="4">
        <v>13.377351359999855</v>
      </c>
      <c r="K43" s="4">
        <v>1.9772369999999997E-2</v>
      </c>
      <c r="L43" s="4">
        <v>0</v>
      </c>
      <c r="M43" s="4">
        <v>430.11603173000123</v>
      </c>
      <c r="N43" s="4">
        <v>1.0386989999985969</v>
      </c>
    </row>
    <row r="44" spans="2:14" ht="14.1" customHeight="1">
      <c r="B44" s="174" t="str">
        <f>IF(Indice_index!$Z$1=1,"Despesa de capital","Capital expenditure")</f>
        <v>Despesa de capital</v>
      </c>
      <c r="C44" s="134">
        <f t="shared" ref="C44:N44" si="9">C45+C46+C49+C50</f>
        <v>10231.467005180524</v>
      </c>
      <c r="D44" s="134">
        <f t="shared" si="9"/>
        <v>2676.0563084699997</v>
      </c>
      <c r="E44" s="134">
        <f t="shared" si="9"/>
        <v>3499.6210150299994</v>
      </c>
      <c r="F44" s="134">
        <f t="shared" si="9"/>
        <v>2276.1355936027935</v>
      </c>
      <c r="G44" s="134">
        <f t="shared" si="9"/>
        <v>105.40301720999997</v>
      </c>
      <c r="H44" s="134">
        <f t="shared" si="9"/>
        <v>6480.8044483227923</v>
      </c>
      <c r="I44" s="134">
        <f t="shared" si="9"/>
        <v>2777.6446309099997</v>
      </c>
      <c r="J44" s="134">
        <f t="shared" si="9"/>
        <v>3850.6859268699991</v>
      </c>
      <c r="K44" s="134">
        <f t="shared" si="9"/>
        <v>2921.908704586041</v>
      </c>
      <c r="L44" s="134">
        <f t="shared" si="9"/>
        <v>87.564057629999994</v>
      </c>
      <c r="M44" s="134">
        <f t="shared" si="9"/>
        <v>6848.2686719860394</v>
      </c>
      <c r="N44" s="134">
        <f t="shared" si="9"/>
        <v>16333.69008611262</v>
      </c>
    </row>
    <row r="45" spans="2:14" ht="14.1" customHeight="1">
      <c r="B45" s="125" t="str">
        <f>IF(Indice_index!$Z$1=1,"Investimentos","Investments")</f>
        <v>Investimentos</v>
      </c>
      <c r="C45" s="4">
        <v>7771.0202082423066</v>
      </c>
      <c r="D45" s="4">
        <v>376.77046169000005</v>
      </c>
      <c r="E45" s="4">
        <v>2198.9208369399998</v>
      </c>
      <c r="F45" s="4">
        <v>1939.3286136203733</v>
      </c>
      <c r="G45" s="4">
        <v>39.495837649999991</v>
      </c>
      <c r="H45" s="4">
        <v>4554.5157499003726</v>
      </c>
      <c r="I45" s="4">
        <v>494.99862577000005</v>
      </c>
      <c r="J45" s="4">
        <v>2254.0482908099993</v>
      </c>
      <c r="K45" s="4">
        <v>2572.4063428789655</v>
      </c>
      <c r="L45" s="4">
        <v>44.204905229999994</v>
      </c>
      <c r="M45" s="4">
        <v>5365.6581646889645</v>
      </c>
      <c r="N45" s="4">
        <v>12703.985425037037</v>
      </c>
    </row>
    <row r="46" spans="2:14" ht="14.1" customHeight="1">
      <c r="B46" s="125" t="str">
        <f>IF(Indice_index!$Z$1=1,"Transferências de capital","Capital transfers")</f>
        <v>Transferências de capital</v>
      </c>
      <c r="C46" s="4">
        <f>+C47+C48</f>
        <v>1881.0401965864442</v>
      </c>
      <c r="D46" s="4">
        <f t="shared" ref="D46:N46" si="10">+D47+D48</f>
        <v>2296.0268791499998</v>
      </c>
      <c r="E46" s="4">
        <f t="shared" si="10"/>
        <v>1123.7951069199999</v>
      </c>
      <c r="F46" s="4">
        <f t="shared" si="10"/>
        <v>316.29978726241995</v>
      </c>
      <c r="G46" s="4">
        <f t="shared" si="10"/>
        <v>65.907179559999989</v>
      </c>
      <c r="H46" s="4">
        <f t="shared" si="10"/>
        <v>1267.5832102724198</v>
      </c>
      <c r="I46" s="4">
        <f t="shared" si="10"/>
        <v>2281.5628028599995</v>
      </c>
      <c r="J46" s="4">
        <f t="shared" si="10"/>
        <v>1469.2721346099997</v>
      </c>
      <c r="K46" s="4">
        <f t="shared" si="10"/>
        <v>335.29864661188299</v>
      </c>
      <c r="L46" s="4">
        <f t="shared" si="10"/>
        <v>43.359152399999999</v>
      </c>
      <c r="M46" s="4">
        <f t="shared" si="10"/>
        <v>1296.151468871883</v>
      </c>
      <c r="N46" s="4">
        <f t="shared" si="10"/>
        <v>3373.8016367813848</v>
      </c>
    </row>
    <row r="47" spans="2:14" ht="14.1" customHeight="1">
      <c r="B47" s="172" t="str">
        <f>IF(Indice_index!$Z$1=1,"Administrações Públicas","General Government subsectors")</f>
        <v>Administrações Públicas</v>
      </c>
      <c r="C47" s="4">
        <v>0</v>
      </c>
      <c r="D47" s="4">
        <v>2263.6136451099997</v>
      </c>
      <c r="E47" s="4">
        <v>263.42550343999994</v>
      </c>
      <c r="F47" s="4">
        <v>7.4065940699999997</v>
      </c>
      <c r="G47" s="4">
        <v>0</v>
      </c>
      <c r="H47" s="4">
        <v>0</v>
      </c>
      <c r="I47" s="4">
        <v>2268.2119069399996</v>
      </c>
      <c r="J47" s="4">
        <v>556.79397503999985</v>
      </c>
      <c r="K47" s="4">
        <v>8.3353856300000011</v>
      </c>
      <c r="L47" s="4">
        <v>0</v>
      </c>
      <c r="M47" s="4">
        <v>0</v>
      </c>
      <c r="N47" s="4">
        <v>0</v>
      </c>
    </row>
    <row r="48" spans="2:14" ht="14.1" customHeight="1">
      <c r="B48" s="172" t="str">
        <f>IF(Indice_index!$Z$1=1,"Outras","Others")</f>
        <v>Outras</v>
      </c>
      <c r="C48" s="4">
        <v>1881.0401965864442</v>
      </c>
      <c r="D48" s="4">
        <v>32.413234040000006</v>
      </c>
      <c r="E48" s="4">
        <v>860.36960347999991</v>
      </c>
      <c r="F48" s="4">
        <v>308.89319319241997</v>
      </c>
      <c r="G48" s="4">
        <v>65.907179559999989</v>
      </c>
      <c r="H48" s="4">
        <v>1267.5832102724198</v>
      </c>
      <c r="I48" s="4">
        <v>13.350895919999999</v>
      </c>
      <c r="J48" s="4">
        <v>912.47815956999989</v>
      </c>
      <c r="K48" s="4">
        <v>326.96326098188297</v>
      </c>
      <c r="L48" s="4">
        <v>43.359152399999999</v>
      </c>
      <c r="M48" s="4">
        <v>1296.151468871883</v>
      </c>
      <c r="N48" s="4">
        <v>3373.8016367813848</v>
      </c>
    </row>
    <row r="49" spans="2:14" ht="14.1" customHeight="1">
      <c r="B49" s="125" t="str">
        <f>IF(Indice_index!$Z$1=1,"Outras despesas de capital","Other capital expenditures")</f>
        <v>Outras despesas de capital</v>
      </c>
      <c r="C49" s="4">
        <v>342.15269981177261</v>
      </c>
      <c r="D49" s="4">
        <v>1.3809637100000001</v>
      </c>
      <c r="E49" s="4">
        <v>134.26415324000001</v>
      </c>
      <c r="F49" s="4">
        <v>20.507192720000003</v>
      </c>
      <c r="G49" s="4">
        <v>0</v>
      </c>
      <c r="H49" s="4">
        <v>156.15230967000002</v>
      </c>
      <c r="I49" s="4">
        <v>1.0832022800000001</v>
      </c>
      <c r="J49" s="4">
        <v>82.947538340000008</v>
      </c>
      <c r="K49" s="4">
        <v>14.203715095192207</v>
      </c>
      <c r="L49" s="4">
        <v>0</v>
      </c>
      <c r="M49" s="4">
        <v>98.234455715192198</v>
      </c>
      <c r="N49" s="4">
        <v>255.90302429419634</v>
      </c>
    </row>
    <row r="50" spans="2:14" ht="14.1" customHeight="1">
      <c r="B50" s="125" t="str">
        <f>IF(Indice_index!$Z$1=1,"Diferenças de consolidação","Consolidation differences")</f>
        <v>Diferenças de consolidação</v>
      </c>
      <c r="C50" s="4">
        <v>237.25390054000033</v>
      </c>
      <c r="D50" s="4">
        <v>1.8780039199999976</v>
      </c>
      <c r="E50" s="4">
        <v>42.640917930000057</v>
      </c>
      <c r="F50" s="4">
        <v>0</v>
      </c>
      <c r="G50" s="4">
        <v>0</v>
      </c>
      <c r="H50" s="4">
        <v>502.55317847999925</v>
      </c>
      <c r="I50" s="4">
        <v>0</v>
      </c>
      <c r="J50" s="4">
        <v>44.41796310999996</v>
      </c>
      <c r="K50" s="4">
        <v>0</v>
      </c>
      <c r="L50" s="4">
        <v>0</v>
      </c>
      <c r="M50" s="4">
        <v>88.224582709999481</v>
      </c>
      <c r="N50" s="4">
        <v>0</v>
      </c>
    </row>
    <row r="51" spans="2:14" ht="14.1" customHeight="1">
      <c r="B51" s="17" t="str">
        <f>IF(Indice_index!$Z$1=1,"Despesa efetiva","Effective expenditure")</f>
        <v>Despesa efetiva</v>
      </c>
      <c r="C51" s="18">
        <f t="shared" ref="C51:N51" si="11">C31+C44</f>
        <v>120582.05866599256</v>
      </c>
      <c r="D51" s="18">
        <f t="shared" si="11"/>
        <v>51080.559117339988</v>
      </c>
      <c r="E51" s="18">
        <f t="shared" si="11"/>
        <v>30947.670725690001</v>
      </c>
      <c r="F51" s="18">
        <f t="shared" si="11"/>
        <v>11466.018343949896</v>
      </c>
      <c r="G51" s="18">
        <f t="shared" si="11"/>
        <v>26167.797238830008</v>
      </c>
      <c r="H51" s="18">
        <f t="shared" si="11"/>
        <v>83207.873367009903</v>
      </c>
      <c r="I51" s="18">
        <f t="shared" si="11"/>
        <v>53290.364894479979</v>
      </c>
      <c r="J51" s="18">
        <f t="shared" si="11"/>
        <v>32418.47509584</v>
      </c>
      <c r="K51" s="18">
        <f t="shared" si="11"/>
        <v>13063.222297480543</v>
      </c>
      <c r="L51" s="18">
        <f t="shared" si="11"/>
        <v>28689.118643310001</v>
      </c>
      <c r="M51" s="18">
        <f t="shared" si="11"/>
        <v>88488.675917090528</v>
      </c>
      <c r="N51" s="18">
        <f t="shared" si="11"/>
        <v>134457.17499416106</v>
      </c>
    </row>
    <row r="52" spans="2:14" ht="14.1" customHeight="1">
      <c r="B52" s="17" t="str">
        <f>IF(Indice_index!$Z$1=1,"Saldo global","Overall balance")</f>
        <v>Saldo global</v>
      </c>
      <c r="C52" s="18">
        <f t="shared" ref="C52:N52" si="12">+C30-C51</f>
        <v>405.17828548682155</v>
      </c>
      <c r="D52" s="18">
        <f t="shared" si="12"/>
        <v>-1463.9997491299873</v>
      </c>
      <c r="E52" s="18">
        <f t="shared" si="12"/>
        <v>1883.2338370199977</v>
      </c>
      <c r="F52" s="18">
        <f t="shared" si="12"/>
        <v>965.74332794852126</v>
      </c>
      <c r="G52" s="18">
        <f t="shared" si="12"/>
        <v>4308.3355574999914</v>
      </c>
      <c r="H52" s="18">
        <f t="shared" si="12"/>
        <v>5693.312973338514</v>
      </c>
      <c r="I52" s="18">
        <f t="shared" si="12"/>
        <v>-1328.0469898699739</v>
      </c>
      <c r="J52" s="18">
        <f t="shared" si="12"/>
        <v>1560.7681938799906</v>
      </c>
      <c r="K52" s="18">
        <f t="shared" si="12"/>
        <v>1325.9642542682832</v>
      </c>
      <c r="L52" s="18">
        <f t="shared" si="12"/>
        <v>4745.4270972499944</v>
      </c>
      <c r="M52" s="18">
        <f t="shared" si="12"/>
        <v>6304.112555528307</v>
      </c>
      <c r="N52" s="18">
        <f t="shared" si="12"/>
        <v>-1689.3611330697313</v>
      </c>
    </row>
    <row r="53" spans="2:14" ht="14.1" customHeight="1">
      <c r="B53" s="125" t="str">
        <f>IF(Indice_index!$Z$1=1,"Despesa primária","Primary expenditure")</f>
        <v>Despesa primária</v>
      </c>
      <c r="C53" s="4">
        <f t="shared" ref="C53:N53" si="13">C51-C37</f>
        <v>113610.73766746686</v>
      </c>
      <c r="D53" s="4">
        <f t="shared" si="13"/>
        <v>46094.384708349986</v>
      </c>
      <c r="E53" s="4">
        <f t="shared" si="13"/>
        <v>30780.45214007</v>
      </c>
      <c r="F53" s="4">
        <f t="shared" si="13"/>
        <v>11240.080532382854</v>
      </c>
      <c r="G53" s="4">
        <f t="shared" si="13"/>
        <v>26162.394691280009</v>
      </c>
      <c r="H53" s="4">
        <f t="shared" si="13"/>
        <v>78157.662951282866</v>
      </c>
      <c r="I53" s="4">
        <f t="shared" si="13"/>
        <v>48280.856971189976</v>
      </c>
      <c r="J53" s="4">
        <f t="shared" si="13"/>
        <v>32312.626676709999</v>
      </c>
      <c r="K53" s="4">
        <f t="shared" si="13"/>
        <v>12850.528639451168</v>
      </c>
      <c r="L53" s="4">
        <f t="shared" si="13"/>
        <v>28682.62971515</v>
      </c>
      <c r="M53" s="4">
        <f t="shared" si="13"/>
        <v>83494.326116941156</v>
      </c>
      <c r="N53" s="4">
        <f t="shared" si="13"/>
        <v>127285.38633736043</v>
      </c>
    </row>
    <row r="54" spans="2:14" ht="14.1" customHeight="1">
      <c r="B54" s="125" t="str">
        <f>IF(Indice_index!$Z$1=1,"Saldo corrente","Current balance")</f>
        <v>Saldo corrente</v>
      </c>
      <c r="C54" s="4">
        <f t="shared" ref="C54:N54" si="14">C13-C31</f>
        <v>6987.0164853537426</v>
      </c>
      <c r="D54" s="4">
        <f t="shared" si="14"/>
        <v>947.59113930001331</v>
      </c>
      <c r="E54" s="4">
        <f t="shared" si="14"/>
        <v>2510.8458539399981</v>
      </c>
      <c r="F54" s="4">
        <f t="shared" si="14"/>
        <v>1763.2413848281794</v>
      </c>
      <c r="G54" s="4">
        <f t="shared" si="14"/>
        <v>4413.0830767899897</v>
      </c>
      <c r="H54" s="4">
        <f t="shared" si="14"/>
        <v>9634.7614548581623</v>
      </c>
      <c r="I54" s="4">
        <f t="shared" si="14"/>
        <v>1264.5572802400275</v>
      </c>
      <c r="J54" s="4">
        <f t="shared" si="14"/>
        <v>2220.4526557399913</v>
      </c>
      <c r="K54" s="4">
        <f t="shared" si="14"/>
        <v>2140.7736388879239</v>
      </c>
      <c r="L54" s="4">
        <f t="shared" si="14"/>
        <v>4832.7665197999959</v>
      </c>
      <c r="M54" s="4">
        <f t="shared" si="14"/>
        <v>10458.550094667939</v>
      </c>
      <c r="N54" s="4">
        <f t="shared" si="14"/>
        <v>7340.4132438906963</v>
      </c>
    </row>
    <row r="55" spans="2:14" ht="14.1" customHeight="1">
      <c r="B55" s="125" t="str">
        <f>IF(Indice_index!$Z$1=1,"Saldo de capital","Capital balance")</f>
        <v>Saldo de capital</v>
      </c>
      <c r="C55" s="4">
        <f t="shared" ref="C55:N55" si="15">C23-C44</f>
        <v>-6581.8381998669083</v>
      </c>
      <c r="D55" s="4">
        <f t="shared" si="15"/>
        <v>-2411.5908884299997</v>
      </c>
      <c r="E55" s="4">
        <f t="shared" si="15"/>
        <v>-627.61201691999941</v>
      </c>
      <c r="F55" s="4">
        <f t="shared" si="15"/>
        <v>-797.4980568796575</v>
      </c>
      <c r="G55" s="4">
        <f t="shared" si="15"/>
        <v>-104.74751928999997</v>
      </c>
      <c r="H55" s="4">
        <f t="shared" si="15"/>
        <v>-3941.4484815196561</v>
      </c>
      <c r="I55" s="4">
        <f t="shared" si="15"/>
        <v>-2592.6042701099996</v>
      </c>
      <c r="J55" s="4">
        <f t="shared" si="15"/>
        <v>-659.68446185999892</v>
      </c>
      <c r="K55" s="4">
        <f t="shared" si="15"/>
        <v>-814.80938461964024</v>
      </c>
      <c r="L55" s="4">
        <f t="shared" si="15"/>
        <v>-87.339422549999995</v>
      </c>
      <c r="M55" s="4">
        <f t="shared" si="15"/>
        <v>-4154.4375391396388</v>
      </c>
      <c r="N55" s="4">
        <f t="shared" si="15"/>
        <v>-9029.7743769604458</v>
      </c>
    </row>
    <row r="56" spans="2:14" ht="14.1" customHeight="1">
      <c r="B56" s="173" t="str">
        <f>IF(Indice_index!$Z$1=1,"Saldo primário","Primary balance")</f>
        <v>Saldo primário</v>
      </c>
      <c r="C56" s="19">
        <f t="shared" ref="C56:N56" si="16">C30-C53</f>
        <v>7376.4992840125196</v>
      </c>
      <c r="D56" s="19">
        <f t="shared" si="16"/>
        <v>3522.1746598600148</v>
      </c>
      <c r="E56" s="19">
        <f t="shared" si="16"/>
        <v>2050.452422639999</v>
      </c>
      <c r="F56" s="19">
        <f t="shared" si="16"/>
        <v>1191.6811395155637</v>
      </c>
      <c r="G56" s="19">
        <f t="shared" si="16"/>
        <v>4313.7381050499898</v>
      </c>
      <c r="H56" s="19">
        <f t="shared" si="16"/>
        <v>10743.523389065551</v>
      </c>
      <c r="I56" s="19">
        <f t="shared" si="16"/>
        <v>3681.4609334200286</v>
      </c>
      <c r="J56" s="19">
        <f t="shared" si="16"/>
        <v>1666.6166130099919</v>
      </c>
      <c r="K56" s="19">
        <f t="shared" si="16"/>
        <v>1538.6579122976582</v>
      </c>
      <c r="L56" s="19">
        <f t="shared" si="16"/>
        <v>4751.9160254099952</v>
      </c>
      <c r="M56" s="19">
        <f t="shared" si="16"/>
        <v>11298.462355677679</v>
      </c>
      <c r="N56" s="19">
        <f t="shared" si="16"/>
        <v>5482.4275237309048</v>
      </c>
    </row>
    <row r="57" spans="2:14" ht="14.1" customHeight="1">
      <c r="B57" s="9" t="str">
        <f>IF(Indice_index!$Z$1=1,"Notas:","Notes:")</f>
        <v>Notas:</v>
      </c>
      <c r="C57" s="9"/>
      <c r="D57" s="9"/>
      <c r="E57" s="9"/>
      <c r="F57" s="9"/>
      <c r="G57" s="9"/>
      <c r="H57" s="9"/>
      <c r="I57" s="9"/>
      <c r="J57" s="9"/>
      <c r="K57" s="9"/>
      <c r="L57" s="9"/>
      <c r="M57" s="9"/>
      <c r="N57" s="9"/>
    </row>
    <row r="58" spans="2:14" ht="24" customHeight="1">
      <c r="B58" s="372"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72"/>
      <c r="D58" s="372"/>
      <c r="E58" s="372"/>
      <c r="F58" s="372"/>
      <c r="G58" s="372"/>
      <c r="H58" s="372"/>
      <c r="I58" s="372"/>
      <c r="J58" s="372"/>
      <c r="K58" s="372"/>
      <c r="L58" s="372"/>
      <c r="M58" s="372"/>
      <c r="N58" s="372"/>
    </row>
    <row r="59" spans="2:14" ht="15" customHeight="1">
      <c r="B59" s="381" t="str">
        <f>IF(Indice_index!$Z$1=1,"Fonte: Entidade Orçamental.","Source: Budgetary Entity.")</f>
        <v>Fonte: Entidade Orçamental.</v>
      </c>
      <c r="C59" s="381"/>
      <c r="D59" s="381"/>
      <c r="E59" s="381"/>
      <c r="F59" s="381"/>
      <c r="G59" s="381"/>
      <c r="H59" s="381"/>
      <c r="I59" s="381"/>
      <c r="J59" s="381"/>
      <c r="K59" s="381"/>
      <c r="L59" s="381"/>
      <c r="M59" s="381"/>
      <c r="N59" s="381"/>
    </row>
    <row r="60" spans="2:14" ht="24" customHeight="1">
      <c r="B60" s="382"/>
      <c r="C60" s="382"/>
      <c r="D60" s="382"/>
      <c r="E60" s="382"/>
      <c r="F60" s="382"/>
      <c r="G60" s="382"/>
      <c r="H60" s="382"/>
      <c r="I60" s="382"/>
      <c r="J60" s="382"/>
      <c r="K60" s="382"/>
      <c r="L60" s="382"/>
      <c r="M60" s="382"/>
      <c r="N60" s="382"/>
    </row>
    <row r="61" spans="2:14" ht="15">
      <c r="B61" s="355" t="str">
        <f>+'3 - Conta AC + SS'!B9</f>
        <v>Período: janeiro a setembro</v>
      </c>
      <c r="C61" s="355"/>
      <c r="D61" s="3"/>
      <c r="E61" s="3"/>
      <c r="F61" s="3"/>
      <c r="G61" s="3"/>
      <c r="H61" s="3"/>
      <c r="I61" s="3"/>
      <c r="J61" s="3"/>
      <c r="K61" s="3"/>
      <c r="L61" s="3"/>
      <c r="M61" s="3"/>
      <c r="N61" s="3"/>
    </row>
    <row r="62" spans="2:14" ht="16.350000000000001" customHeight="1">
      <c r="B62" s="373"/>
      <c r="C62" s="374"/>
      <c r="D62" s="369" t="str">
        <f>IF(Indice_index!$Z$1=1,"Variação Homóloga Absoluta","YOY Variation")</f>
        <v>Variação Homóloga Absoluta</v>
      </c>
      <c r="E62" s="370"/>
      <c r="F62" s="370"/>
      <c r="G62" s="370"/>
      <c r="H62" s="371"/>
      <c r="I62" s="369" t="str">
        <f>IF(Indice_index!$Z$1=1,"Variação Homóloga Relativa (%)","Relative YOY Variation")</f>
        <v>Variação Homóloga Relativa (%)</v>
      </c>
      <c r="J62" s="370"/>
      <c r="K62" s="370"/>
      <c r="L62" s="370"/>
      <c r="M62" s="371"/>
      <c r="N62" s="21"/>
    </row>
    <row r="63" spans="2:14" ht="36" customHeight="1">
      <c r="B63" s="373"/>
      <c r="C63" s="374"/>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 customHeight="1">
      <c r="B64" s="363" t="str">
        <f>IF(Indice_index!$Z$1=1,"Receita corrente","Current revenue")</f>
        <v>Receita corrente</v>
      </c>
      <c r="C64" s="364"/>
      <c r="D64" s="134">
        <f t="shared" ref="D64:H79" si="17">I13-D13</f>
        <v>2425.1835956400027</v>
      </c>
      <c r="E64" s="134">
        <f t="shared" si="17"/>
        <v>829.34626010999273</v>
      </c>
      <c r="F64" s="134">
        <f t="shared" si="17"/>
        <v>1328.9630966071436</v>
      </c>
      <c r="G64" s="134">
        <f t="shared" si="17"/>
        <v>2958.8438070699995</v>
      </c>
      <c r="H64" s="134">
        <f t="shared" si="17"/>
        <v>5737.1269662271516</v>
      </c>
      <c r="I64" s="134">
        <f t="shared" ref="I64:M72" si="18">IF(IFERROR((I13-D13)/D13*100,"")&gt;500,"-",IFERROR((I13-D13)/D13*100,""))</f>
        <v>4.9140439677938517</v>
      </c>
      <c r="J64" s="134">
        <f t="shared" si="18"/>
        <v>2.7682804872485489</v>
      </c>
      <c r="K64" s="134">
        <f t="shared" si="18"/>
        <v>12.133187574668863</v>
      </c>
      <c r="L64" s="134">
        <f t="shared" si="18"/>
        <v>9.7089334421166615</v>
      </c>
      <c r="M64" s="134">
        <f t="shared" si="18"/>
        <v>6.6431280363235246</v>
      </c>
      <c r="N64" s="159"/>
    </row>
    <row r="65" spans="2:14" ht="14.1" customHeight="1">
      <c r="B65" s="357" t="str">
        <f>IF(Indice_index!$Z$1=1,"Receita Fiscal","Tax")</f>
        <v>Receita Fiscal</v>
      </c>
      <c r="C65" s="358"/>
      <c r="D65" s="4">
        <f t="shared" si="17"/>
        <v>2618.712942680002</v>
      </c>
      <c r="E65" s="4">
        <f t="shared" si="17"/>
        <v>-7.2573605300000281</v>
      </c>
      <c r="F65" s="4">
        <f t="shared" si="17"/>
        <v>515.47608660885817</v>
      </c>
      <c r="G65" s="4">
        <f t="shared" si="17"/>
        <v>-8.5893609999999398E-2</v>
      </c>
      <c r="H65" s="4">
        <f t="shared" si="17"/>
        <v>3126.8457751488604</v>
      </c>
      <c r="I65" s="4">
        <f t="shared" si="18"/>
        <v>5.7685836563276718</v>
      </c>
      <c r="J65" s="4">
        <f t="shared" si="18"/>
        <v>-1.2419801919013609</v>
      </c>
      <c r="K65" s="4">
        <f t="shared" si="18"/>
        <v>11.359496254859835</v>
      </c>
      <c r="L65" s="4">
        <f t="shared" si="18"/>
        <v>-5.0549830856884026E-2</v>
      </c>
      <c r="M65" s="4">
        <f t="shared" si="18"/>
        <v>6.1687824987042044</v>
      </c>
      <c r="N65" s="21"/>
    </row>
    <row r="66" spans="2:14" ht="14.1" customHeight="1">
      <c r="B66" s="359" t="str">
        <f>IF(Indice_index!$Z$1=1,"Impostos diretos","Direct taxes")</f>
        <v>Impostos diretos</v>
      </c>
      <c r="C66" s="360"/>
      <c r="D66" s="4">
        <f t="shared" si="17"/>
        <v>588.10322580999855</v>
      </c>
      <c r="E66" s="4">
        <f t="shared" si="17"/>
        <v>0</v>
      </c>
      <c r="F66" s="4">
        <f t="shared" si="17"/>
        <v>487.28472279704465</v>
      </c>
      <c r="G66" s="4">
        <f t="shared" si="17"/>
        <v>0</v>
      </c>
      <c r="H66" s="4">
        <f t="shared" si="17"/>
        <v>1075.3879486070437</v>
      </c>
      <c r="I66" s="4">
        <f t="shared" si="18"/>
        <v>2.7469202731999616</v>
      </c>
      <c r="J66" s="4" t="str">
        <f t="shared" si="18"/>
        <v>-</v>
      </c>
      <c r="K66" s="4">
        <f t="shared" si="18"/>
        <v>13.839003655346174</v>
      </c>
      <c r="L66" s="4" t="str">
        <f t="shared" si="18"/>
        <v>-</v>
      </c>
      <c r="M66" s="4">
        <f t="shared" si="18"/>
        <v>4.3135183099458372</v>
      </c>
      <c r="N66" s="21"/>
    </row>
    <row r="67" spans="2:14" ht="14.1" customHeight="1">
      <c r="B67" s="359" t="str">
        <f>IF(Indice_index!$Z$1=1,"Impostos indiretos","Indirect taxes")</f>
        <v>Impostos indiretos</v>
      </c>
      <c r="C67" s="360"/>
      <c r="D67" s="4">
        <f t="shared" si="17"/>
        <v>2030.6097168699998</v>
      </c>
      <c r="E67" s="4">
        <f t="shared" si="17"/>
        <v>-7.2573605300000281</v>
      </c>
      <c r="F67" s="4">
        <f t="shared" si="17"/>
        <v>28.191363811813744</v>
      </c>
      <c r="G67" s="4">
        <f t="shared" si="17"/>
        <v>-8.5893609999999398E-2</v>
      </c>
      <c r="H67" s="4">
        <f t="shared" si="17"/>
        <v>2051.4578265418168</v>
      </c>
      <c r="I67" s="4">
        <f t="shared" si="18"/>
        <v>8.4656117987426693</v>
      </c>
      <c r="J67" s="4">
        <f t="shared" si="18"/>
        <v>-1.2419801919013609</v>
      </c>
      <c r="K67" s="4">
        <f t="shared" si="18"/>
        <v>2.7727047365762427</v>
      </c>
      <c r="L67" s="4">
        <f t="shared" si="18"/>
        <v>-5.0549830856884026E-2</v>
      </c>
      <c r="M67" s="4">
        <f t="shared" si="18"/>
        <v>7.9644849939518938</v>
      </c>
      <c r="N67" s="21"/>
    </row>
    <row r="68" spans="2:14" ht="14.1" customHeight="1">
      <c r="B68" s="357" t="str">
        <f>IF(Indice_index!$Z$1=1,"Contribuições de Segurança Social","Social security contributions")</f>
        <v>Contribuições de Segurança Social</v>
      </c>
      <c r="C68" s="358"/>
      <c r="D68" s="4">
        <f t="shared" si="17"/>
        <v>5.5060560700000067</v>
      </c>
      <c r="E68" s="4">
        <f t="shared" si="17"/>
        <v>111.42764902000044</v>
      </c>
      <c r="F68" s="4">
        <f t="shared" si="17"/>
        <v>0</v>
      </c>
      <c r="G68" s="4">
        <f t="shared" si="17"/>
        <v>1823.5110504699987</v>
      </c>
      <c r="H68" s="4">
        <f t="shared" si="17"/>
        <v>1940.4447555599982</v>
      </c>
      <c r="I68" s="4">
        <f t="shared" si="18"/>
        <v>9.4792309490375573</v>
      </c>
      <c r="J68" s="4">
        <f t="shared" si="18"/>
        <v>3.5737175170551376</v>
      </c>
      <c r="K68" s="4" t="str">
        <f t="shared" si="18"/>
        <v>-</v>
      </c>
      <c r="L68" s="4">
        <f t="shared" si="18"/>
        <v>9.0374471147367874</v>
      </c>
      <c r="M68" s="4">
        <f t="shared" si="18"/>
        <v>8.3090667458672325</v>
      </c>
      <c r="N68" s="159"/>
    </row>
    <row r="69" spans="2:14" ht="14.1" customHeight="1">
      <c r="B69" s="357" t="str">
        <f>IF(Indice_index!$Z$1=1,"Transferências correntes","Current transfers")</f>
        <v>Transferências correntes</v>
      </c>
      <c r="C69" s="358"/>
      <c r="D69" s="4">
        <f t="shared" si="17"/>
        <v>-2.1054171299998643</v>
      </c>
      <c r="E69" s="4">
        <f t="shared" si="17"/>
        <v>788.76322401999641</v>
      </c>
      <c r="F69" s="4">
        <f t="shared" si="17"/>
        <v>492.16951179478656</v>
      </c>
      <c r="G69" s="4">
        <f t="shared" si="17"/>
        <v>863.74318576000042</v>
      </c>
      <c r="H69" s="4">
        <f t="shared" si="17"/>
        <v>319.0004825147887</v>
      </c>
      <c r="I69" s="4">
        <f t="shared" si="18"/>
        <v>-0.27572642388070268</v>
      </c>
      <c r="J69" s="4">
        <f t="shared" si="18"/>
        <v>3.6914903558930603</v>
      </c>
      <c r="K69" s="4">
        <f t="shared" si="18"/>
        <v>10.831248835101391</v>
      </c>
      <c r="L69" s="4">
        <f t="shared" si="18"/>
        <v>9.3027282418111277</v>
      </c>
      <c r="M69" s="4">
        <f t="shared" si="18"/>
        <v>15.643030945191319</v>
      </c>
      <c r="N69" s="159"/>
    </row>
    <row r="70" spans="2:14" ht="14.1" customHeight="1">
      <c r="B70" s="359" t="str">
        <f>IF(Indice_index!$Z$1=1,"Administrações Públicas","General Government subsectors")</f>
        <v>Administrações Públicas</v>
      </c>
      <c r="C70" s="360"/>
      <c r="D70" s="4">
        <f t="shared" si="17"/>
        <v>20.534724459999893</v>
      </c>
      <c r="E70" s="4">
        <f t="shared" si="17"/>
        <v>814.6418853499963</v>
      </c>
      <c r="F70" s="4">
        <f t="shared" si="17"/>
        <v>488.4940891999986</v>
      </c>
      <c r="G70" s="4">
        <f t="shared" si="17"/>
        <v>499.89932291999867</v>
      </c>
      <c r="H70" s="4">
        <f t="shared" si="17"/>
        <v>0</v>
      </c>
      <c r="I70" s="4">
        <f t="shared" si="18"/>
        <v>3.5705909936730249</v>
      </c>
      <c r="J70" s="4">
        <f t="shared" si="18"/>
        <v>4.0037436673923992</v>
      </c>
      <c r="K70" s="4">
        <f t="shared" si="18"/>
        <v>11.168801632212979</v>
      </c>
      <c r="L70" s="4">
        <f t="shared" si="18"/>
        <v>5.7963559037416905</v>
      </c>
      <c r="M70" s="4" t="str">
        <f t="shared" si="18"/>
        <v>-</v>
      </c>
      <c r="N70" s="159"/>
    </row>
    <row r="71" spans="2:14" ht="14.1" customHeight="1">
      <c r="B71" s="359" t="str">
        <f>IF(Indice_index!$Z$1=1,"Outras","Others")</f>
        <v>Outras</v>
      </c>
      <c r="C71" s="360"/>
      <c r="D71" s="4">
        <f t="shared" si="17"/>
        <v>-22.640141589999843</v>
      </c>
      <c r="E71" s="4">
        <f t="shared" si="17"/>
        <v>-25.878661330000227</v>
      </c>
      <c r="F71" s="4">
        <f t="shared" si="17"/>
        <v>3.6754225947883867</v>
      </c>
      <c r="G71" s="4">
        <f t="shared" si="17"/>
        <v>363.84386284000016</v>
      </c>
      <c r="H71" s="4">
        <f t="shared" si="17"/>
        <v>319.0004825147887</v>
      </c>
      <c r="I71" s="4">
        <f t="shared" si="18"/>
        <v>-12.011831151001138</v>
      </c>
      <c r="J71" s="4">
        <f t="shared" si="18"/>
        <v>-2.5369666093834349</v>
      </c>
      <c r="K71" s="4">
        <f t="shared" si="18"/>
        <v>2.1589678491257378</v>
      </c>
      <c r="L71" s="4">
        <f t="shared" si="18"/>
        <v>55.089055956880003</v>
      </c>
      <c r="M71" s="4">
        <f t="shared" si="18"/>
        <v>15.643030945191319</v>
      </c>
      <c r="N71" s="159"/>
    </row>
    <row r="72" spans="2:14" ht="14.1" customHeight="1">
      <c r="B72" s="357" t="str">
        <f>IF(Indice_index!$Z$1=1,"Outras receitas correntes","Other current revenue")</f>
        <v>Outras receitas correntes</v>
      </c>
      <c r="C72" s="358"/>
      <c r="D72" s="4">
        <f t="shared" si="17"/>
        <v>-56.230292719998943</v>
      </c>
      <c r="E72" s="4">
        <f t="shared" si="17"/>
        <v>-50.828462570011652</v>
      </c>
      <c r="F72" s="4">
        <f t="shared" si="17"/>
        <v>342.99456852349749</v>
      </c>
      <c r="G72" s="4">
        <f t="shared" si="17"/>
        <v>271.67546444999994</v>
      </c>
      <c r="H72" s="4">
        <f t="shared" si="17"/>
        <v>525.9715064134889</v>
      </c>
      <c r="I72" s="4">
        <f t="shared" si="18"/>
        <v>-1.9007791035791743</v>
      </c>
      <c r="J72" s="4">
        <f t="shared" si="18"/>
        <v>-1.0482295485629221</v>
      </c>
      <c r="K72" s="4">
        <f t="shared" si="18"/>
        <v>18.589076501449302</v>
      </c>
      <c r="L72" s="4">
        <f t="shared" si="18"/>
        <v>32.210377014058629</v>
      </c>
      <c r="M72" s="4">
        <f t="shared" si="18"/>
        <v>5.2396471458627136</v>
      </c>
      <c r="N72" s="159"/>
    </row>
    <row r="73" spans="2:14" ht="14.1" customHeight="1">
      <c r="B73" s="357" t="str">
        <f>IF(Indice_index!$Z$1=1,"Diferenças de consolidação","Consolidation differences")</f>
        <v>Diferenças de consolidação</v>
      </c>
      <c r="C73" s="358"/>
      <c r="D73" s="4">
        <f t="shared" si="17"/>
        <v>-140.69969326000006</v>
      </c>
      <c r="E73" s="4">
        <f t="shared" si="17"/>
        <v>-12.75878982999027</v>
      </c>
      <c r="F73" s="4">
        <f t="shared" si="17"/>
        <v>-21.677070320000269</v>
      </c>
      <c r="G73" s="4">
        <f t="shared" si="17"/>
        <v>0</v>
      </c>
      <c r="H73" s="4">
        <f t="shared" si="17"/>
        <v>-175.13555340999062</v>
      </c>
      <c r="I73" s="4" t="s">
        <v>4</v>
      </c>
      <c r="J73" s="4" t="s">
        <v>4</v>
      </c>
      <c r="K73" s="4" t="s">
        <v>4</v>
      </c>
      <c r="L73" s="4" t="s">
        <v>4</v>
      </c>
      <c r="M73" s="4" t="s">
        <v>4</v>
      </c>
      <c r="N73" s="159"/>
    </row>
    <row r="74" spans="2:14" ht="14.1" customHeight="1">
      <c r="B74" s="363" t="str">
        <f>IF(Indice_index!$Z$1=1,"Receita de capital","Capital revenue")</f>
        <v>Receita de capital</v>
      </c>
      <c r="C74" s="364"/>
      <c r="D74" s="134">
        <f t="shared" si="17"/>
        <v>-79.425059239999996</v>
      </c>
      <c r="E74" s="134">
        <f t="shared" si="17"/>
        <v>318.99246690000018</v>
      </c>
      <c r="F74" s="134">
        <f t="shared" si="17"/>
        <v>628.46178324326479</v>
      </c>
      <c r="G74" s="134">
        <f t="shared" si="17"/>
        <v>-0.4308628400000003</v>
      </c>
      <c r="H74" s="134">
        <f t="shared" si="17"/>
        <v>154.47516604326438</v>
      </c>
      <c r="I74" s="134">
        <f t="shared" ref="I74:M79" si="19">IF(IFERROR((I23-D23)/D23*100,"")&gt;500,"-",IFERROR((I23-D23)/D23*100,""))</f>
        <v>-30.032304120511128</v>
      </c>
      <c r="J74" s="134">
        <f t="shared" si="19"/>
        <v>11.106945246686951</v>
      </c>
      <c r="K74" s="134">
        <f t="shared" si="19"/>
        <v>42.502761335007257</v>
      </c>
      <c r="L74" s="134">
        <f t="shared" si="19"/>
        <v>-65.730618946891568</v>
      </c>
      <c r="M74" s="134">
        <f t="shared" si="19"/>
        <v>6.0832418952958909</v>
      </c>
      <c r="N74" s="159"/>
    </row>
    <row r="75" spans="2:14" ht="14.1" customHeight="1">
      <c r="B75" s="357" t="str">
        <f>IF(Indice_index!$Z$1=1,"Venda de bens de investimento","Sale of investment goods")</f>
        <v>Venda de bens de investimento</v>
      </c>
      <c r="C75" s="358"/>
      <c r="D75" s="4">
        <f t="shared" si="17"/>
        <v>-2.9604330699999997</v>
      </c>
      <c r="E75" s="4">
        <f t="shared" si="17"/>
        <v>-26.379490610000001</v>
      </c>
      <c r="F75" s="4">
        <f t="shared" si="17"/>
        <v>5.2758655618974473</v>
      </c>
      <c r="G75" s="4">
        <f t="shared" si="17"/>
        <v>-0.42610683000000027</v>
      </c>
      <c r="H75" s="4">
        <f t="shared" si="17"/>
        <v>-24.490164948102546</v>
      </c>
      <c r="I75" s="4">
        <f t="shared" si="19"/>
        <v>-96.885891062667341</v>
      </c>
      <c r="J75" s="4">
        <f t="shared" si="19"/>
        <v>-46.286470058752691</v>
      </c>
      <c r="K75" s="4">
        <f t="shared" si="19"/>
        <v>7.5124696937785282</v>
      </c>
      <c r="L75" s="4">
        <f t="shared" si="19"/>
        <v>-65.811159503306556</v>
      </c>
      <c r="M75" s="4">
        <f t="shared" si="19"/>
        <v>-18.705782620381164</v>
      </c>
      <c r="N75" s="159"/>
    </row>
    <row r="76" spans="2:14" ht="14.1" customHeight="1">
      <c r="B76" s="357" t="str">
        <f>IF(Indice_index!$Z$1=1,"Transferências de capital","Capital transfers")</f>
        <v>Transferências de capital</v>
      </c>
      <c r="C76" s="358"/>
      <c r="D76" s="4">
        <f t="shared" si="17"/>
        <v>58.996555970000031</v>
      </c>
      <c r="E76" s="4">
        <f t="shared" si="17"/>
        <v>243.60804516000007</v>
      </c>
      <c r="F76" s="4">
        <f t="shared" si="17"/>
        <v>626.8756704178154</v>
      </c>
      <c r="G76" s="4">
        <f t="shared" si="17"/>
        <v>0</v>
      </c>
      <c r="H76" s="4">
        <f t="shared" si="17"/>
        <v>216.35710952781528</v>
      </c>
      <c r="I76" s="4">
        <f t="shared" si="19"/>
        <v>49.211037560448531</v>
      </c>
      <c r="J76" s="4">
        <f t="shared" si="19"/>
        <v>8.7071368733913772</v>
      </c>
      <c r="K76" s="4">
        <f t="shared" si="19"/>
        <v>45.094068948897977</v>
      </c>
      <c r="L76" s="4" t="str">
        <f t="shared" si="19"/>
        <v>-</v>
      </c>
      <c r="M76" s="4">
        <f t="shared" si="19"/>
        <v>9.6959309760608079</v>
      </c>
      <c r="N76" s="159"/>
    </row>
    <row r="77" spans="2:14" ht="14.1" customHeight="1">
      <c r="B77" s="359" t="str">
        <f>IF(Indice_index!$Z$1=1,"Administrações Públicas","General Government subsectors")</f>
        <v>Administrações Públicas</v>
      </c>
      <c r="C77" s="360"/>
      <c r="D77" s="4">
        <f t="shared" si="17"/>
        <v>64.16694025999999</v>
      </c>
      <c r="E77" s="4">
        <f t="shared" si="17"/>
        <v>251.24219133999964</v>
      </c>
      <c r="F77" s="4">
        <f t="shared" si="17"/>
        <v>397.71403041999997</v>
      </c>
      <c r="G77" s="4">
        <f t="shared" si="17"/>
        <v>0</v>
      </c>
      <c r="H77" s="4">
        <f t="shared" si="17"/>
        <v>0</v>
      </c>
      <c r="I77" s="4">
        <f t="shared" si="19"/>
        <v>305.06661502318167</v>
      </c>
      <c r="J77" s="4">
        <f t="shared" si="19"/>
        <v>19.728081687000341</v>
      </c>
      <c r="K77" s="4">
        <f t="shared" si="19"/>
        <v>50.868196673231978</v>
      </c>
      <c r="L77" s="4" t="str">
        <f t="shared" si="19"/>
        <v>-</v>
      </c>
      <c r="M77" s="4" t="str">
        <f t="shared" si="19"/>
        <v>-</v>
      </c>
      <c r="N77" s="159"/>
    </row>
    <row r="78" spans="2:14" ht="14.1" customHeight="1">
      <c r="B78" s="359" t="str">
        <f>IF(Indice_index!$Z$1=1,"Outras","Others")</f>
        <v>Outras</v>
      </c>
      <c r="C78" s="360"/>
      <c r="D78" s="4">
        <f t="shared" si="17"/>
        <v>-5.1703842899999586</v>
      </c>
      <c r="E78" s="4">
        <f t="shared" si="17"/>
        <v>-7.6341461799997887</v>
      </c>
      <c r="F78" s="4">
        <f t="shared" si="17"/>
        <v>229.16163999781531</v>
      </c>
      <c r="G78" s="4">
        <f t="shared" si="17"/>
        <v>0</v>
      </c>
      <c r="H78" s="4">
        <f t="shared" si="17"/>
        <v>216.35710952781528</v>
      </c>
      <c r="I78" s="4">
        <f t="shared" si="19"/>
        <v>-5.2304795182918067</v>
      </c>
      <c r="J78" s="4">
        <f t="shared" si="19"/>
        <v>-0.50083895332212247</v>
      </c>
      <c r="K78" s="4">
        <f t="shared" si="19"/>
        <v>37.672532120576754</v>
      </c>
      <c r="L78" s="4" t="str">
        <f t="shared" si="19"/>
        <v>-</v>
      </c>
      <c r="M78" s="4">
        <f t="shared" si="19"/>
        <v>9.6959309760608079</v>
      </c>
      <c r="N78" s="159"/>
    </row>
    <row r="79" spans="2:14" ht="14.1" customHeight="1">
      <c r="B79" s="357" t="str">
        <f>IF(Indice_index!$Z$1=1,"Outras receitas de capital","Other capital revenue")</f>
        <v>Outras receitas de capital</v>
      </c>
      <c r="C79" s="358"/>
      <c r="D79" s="4">
        <f t="shared" si="17"/>
        <v>-137.73588426000001</v>
      </c>
      <c r="E79" s="4">
        <f t="shared" si="17"/>
        <v>101.76391235000003</v>
      </c>
      <c r="F79" s="4">
        <f t="shared" si="17"/>
        <v>-6.4142080264482271</v>
      </c>
      <c r="G79" s="4">
        <f t="shared" si="17"/>
        <v>-4.7560099999999998E-3</v>
      </c>
      <c r="H79" s="4">
        <f t="shared" si="17"/>
        <v>-42.390935946448224</v>
      </c>
      <c r="I79" s="4">
        <f t="shared" si="19"/>
        <v>-97.322633078718241</v>
      </c>
      <c r="J79" s="4" t="str">
        <f t="shared" si="19"/>
        <v>-</v>
      </c>
      <c r="K79" s="4">
        <f t="shared" si="19"/>
        <v>-37.458436908847311</v>
      </c>
      <c r="L79" s="4">
        <f t="shared" si="19"/>
        <v>-59.235691795699566</v>
      </c>
      <c r="M79" s="4">
        <f t="shared" si="19"/>
        <v>-24.102680518497152</v>
      </c>
      <c r="N79" s="159"/>
    </row>
    <row r="80" spans="2:14" ht="14.1" customHeight="1">
      <c r="B80" s="367" t="str">
        <f>IF(Indice_index!$Z$1=1,"Diferenças de consolidação","Consolidation differences")</f>
        <v>Diferenças de consolidação</v>
      </c>
      <c r="C80" s="368"/>
      <c r="D80" s="4">
        <f t="shared" ref="D80:H95" si="20">I29-D29</f>
        <v>2.2747021200000006</v>
      </c>
      <c r="E80" s="4">
        <f t="shared" si="20"/>
        <v>0</v>
      </c>
      <c r="F80" s="4">
        <f t="shared" si="20"/>
        <v>2.7244552899999803</v>
      </c>
      <c r="G80" s="4">
        <f t="shared" si="20"/>
        <v>0</v>
      </c>
      <c r="H80" s="4">
        <f t="shared" si="20"/>
        <v>4.9991574099999809</v>
      </c>
      <c r="I80" s="4" t="s">
        <v>4</v>
      </c>
      <c r="J80" s="4" t="s">
        <v>4</v>
      </c>
      <c r="K80" s="4" t="s">
        <v>4</v>
      </c>
      <c r="L80" s="4" t="s">
        <v>4</v>
      </c>
      <c r="M80" s="4" t="s">
        <v>4</v>
      </c>
      <c r="N80" s="159"/>
    </row>
    <row r="81" spans="2:14" ht="14.1" customHeight="1">
      <c r="B81" s="365" t="str">
        <f>IF(Indice_index!$Z$1=1,"Receita efetiva","Effective revenue")</f>
        <v>Receita efetiva</v>
      </c>
      <c r="C81" s="366"/>
      <c r="D81" s="24">
        <f t="shared" si="20"/>
        <v>2345.7585364000042</v>
      </c>
      <c r="E81" s="24">
        <f t="shared" si="20"/>
        <v>1148.338727009992</v>
      </c>
      <c r="F81" s="24">
        <f t="shared" si="20"/>
        <v>1957.4248798504086</v>
      </c>
      <c r="G81" s="24">
        <f t="shared" si="20"/>
        <v>2958.4129442299964</v>
      </c>
      <c r="H81" s="24">
        <f t="shared" si="20"/>
        <v>5891.6021322704182</v>
      </c>
      <c r="I81" s="24">
        <f t="shared" ref="I81:M93" si="21">IF(IFERROR((I30-D30)/D30*100,"")&gt;500,"-",IFERROR((I30-D30)/D30*100,""))</f>
        <v>4.7277734818165635</v>
      </c>
      <c r="J81" s="24">
        <f t="shared" si="21"/>
        <v>3.4977370934649734</v>
      </c>
      <c r="K81" s="24">
        <f t="shared" si="21"/>
        <v>15.745353969221451</v>
      </c>
      <c r="L81" s="24">
        <f t="shared" si="21"/>
        <v>9.7073108455094239</v>
      </c>
      <c r="M81" s="25">
        <f t="shared" si="21"/>
        <v>6.6271355589283889</v>
      </c>
      <c r="N81" s="23"/>
    </row>
    <row r="82" spans="2:14" ht="14.1" customHeight="1">
      <c r="B82" s="363" t="str">
        <f>IF(Indice_index!$Z$1=1,"Despesa corrente","Current expenditure")</f>
        <v>Despesa corrente</v>
      </c>
      <c r="C82" s="364"/>
      <c r="D82" s="134">
        <f t="shared" si="20"/>
        <v>2108.2174546999886</v>
      </c>
      <c r="E82" s="134">
        <f t="shared" si="20"/>
        <v>1119.7394583099995</v>
      </c>
      <c r="F82" s="134">
        <f t="shared" si="20"/>
        <v>951.43084254739915</v>
      </c>
      <c r="G82" s="134">
        <f t="shared" si="20"/>
        <v>2539.1603640599933</v>
      </c>
      <c r="H82" s="134">
        <f t="shared" si="20"/>
        <v>4913.3383264173754</v>
      </c>
      <c r="I82" s="134">
        <f t="shared" si="21"/>
        <v>4.3554159889308144</v>
      </c>
      <c r="J82" s="134">
        <f t="shared" si="21"/>
        <v>4.0794864120168297</v>
      </c>
      <c r="K82" s="134">
        <f t="shared" si="21"/>
        <v>10.353024825169435</v>
      </c>
      <c r="L82" s="134">
        <f t="shared" si="21"/>
        <v>9.7426212744247334</v>
      </c>
      <c r="M82" s="134">
        <f t="shared" si="21"/>
        <v>6.4036570087466433</v>
      </c>
      <c r="N82" s="159"/>
    </row>
    <row r="83" spans="2:14" ht="14.1" customHeight="1">
      <c r="B83" s="357" t="str">
        <f>IF(Indice_index!$Z$1=1,"Despesas com o pessoal","Compensation of employees")</f>
        <v>Despesas com o pessoal</v>
      </c>
      <c r="C83" s="358"/>
      <c r="D83" s="4">
        <f t="shared" si="20"/>
        <v>618.67693329000394</v>
      </c>
      <c r="E83" s="4">
        <f t="shared" si="20"/>
        <v>788.7907080899995</v>
      </c>
      <c r="F83" s="4">
        <f t="shared" si="20"/>
        <v>329.53871288870687</v>
      </c>
      <c r="G83" s="4">
        <f t="shared" si="20"/>
        <v>6.632030039999961</v>
      </c>
      <c r="H83" s="4">
        <f t="shared" si="20"/>
        <v>1743.6383843087096</v>
      </c>
      <c r="I83" s="4">
        <f t="shared" si="21"/>
        <v>7.6913648475282494</v>
      </c>
      <c r="J83" s="4">
        <f t="shared" si="21"/>
        <v>10.434209722938292</v>
      </c>
      <c r="K83" s="4">
        <f t="shared" si="21"/>
        <v>7.6934702989958303</v>
      </c>
      <c r="L83" s="4">
        <f t="shared" si="21"/>
        <v>2.6748070309287768</v>
      </c>
      <c r="M83" s="4">
        <f t="shared" si="21"/>
        <v>8.6598481388882522</v>
      </c>
      <c r="N83" s="159"/>
    </row>
    <row r="84" spans="2:14" ht="14.1" customHeight="1">
      <c r="B84" s="359" t="str">
        <f>IF(Indice_index!$Z$1=1,"Remunerações certas e permanentes","Certain and permanent wages")</f>
        <v>Remunerações certas e permanentes</v>
      </c>
      <c r="C84" s="360"/>
      <c r="D84" s="4">
        <f t="shared" si="20"/>
        <v>469.13487606000217</v>
      </c>
      <c r="E84" s="4">
        <f t="shared" si="20"/>
        <v>540.17483991999961</v>
      </c>
      <c r="F84" s="4">
        <f t="shared" si="20"/>
        <v>244.44974128369904</v>
      </c>
      <c r="G84" s="4">
        <f t="shared" si="20"/>
        <v>4.8319403999999508</v>
      </c>
      <c r="H84" s="4">
        <f t="shared" si="20"/>
        <v>1258.5913976637021</v>
      </c>
      <c r="I84" s="4">
        <f t="shared" si="21"/>
        <v>8.1162383286292137</v>
      </c>
      <c r="J84" s="4">
        <f t="shared" si="21"/>
        <v>10.258656129715302</v>
      </c>
      <c r="K84" s="4">
        <f t="shared" si="21"/>
        <v>7.5272529129165848</v>
      </c>
      <c r="L84" s="4">
        <f t="shared" si="21"/>
        <v>2.430103182790468</v>
      </c>
      <c r="M84" s="4">
        <f t="shared" si="21"/>
        <v>8.6846611614296414</v>
      </c>
      <c r="N84" s="159"/>
    </row>
    <row r="85" spans="2:14" ht="14.1" customHeight="1">
      <c r="B85" s="359" t="str">
        <f>IF(Indice_index!$Z$1=1,"Abonos variáveis ou eventuais","Variable or contingent bonuses")</f>
        <v>Abonos variáveis ou eventuais</v>
      </c>
      <c r="C85" s="360"/>
      <c r="D85" s="4">
        <f t="shared" si="20"/>
        <v>25.757527259999961</v>
      </c>
      <c r="E85" s="4">
        <f t="shared" si="20"/>
        <v>95.279002690000198</v>
      </c>
      <c r="F85" s="4">
        <f t="shared" si="20"/>
        <v>32.372159225484609</v>
      </c>
      <c r="G85" s="4">
        <f t="shared" si="20"/>
        <v>-4.6947909999998316E-2</v>
      </c>
      <c r="H85" s="4">
        <f t="shared" si="20"/>
        <v>153.36174126548485</v>
      </c>
      <c r="I85" s="4">
        <f t="shared" si="21"/>
        <v>7.5321238298523534</v>
      </c>
      <c r="J85" s="4">
        <f t="shared" si="21"/>
        <v>10.68083085823997</v>
      </c>
      <c r="K85" s="4">
        <f t="shared" si="21"/>
        <v>12.98323985636341</v>
      </c>
      <c r="L85" s="4">
        <f t="shared" si="21"/>
        <v>-0.90197455014789596</v>
      </c>
      <c r="M85" s="4">
        <f t="shared" si="21"/>
        <v>10.302634801934651</v>
      </c>
      <c r="N85" s="159"/>
    </row>
    <row r="86" spans="2:14" ht="14.1" customHeight="1">
      <c r="B86" s="359" t="str">
        <f>IF(Indice_index!$Z$1=1,"Segurança social","Social security")</f>
        <v>Segurança social</v>
      </c>
      <c r="C86" s="360"/>
      <c r="D86" s="4">
        <f t="shared" si="20"/>
        <v>123.7845299700009</v>
      </c>
      <c r="E86" s="4">
        <f t="shared" si="20"/>
        <v>153.33686547999991</v>
      </c>
      <c r="F86" s="4">
        <f t="shared" si="20"/>
        <v>52.716812379522935</v>
      </c>
      <c r="G86" s="4">
        <f t="shared" si="20"/>
        <v>1.8470375500000173</v>
      </c>
      <c r="H86" s="4">
        <f t="shared" si="20"/>
        <v>331.68524537952362</v>
      </c>
      <c r="I86" s="4">
        <f t="shared" si="21"/>
        <v>6.4416883930036333</v>
      </c>
      <c r="J86" s="4">
        <f t="shared" si="21"/>
        <v>10.936606821101428</v>
      </c>
      <c r="K86" s="4">
        <f t="shared" si="21"/>
        <v>6.7028073269157957</v>
      </c>
      <c r="L86" s="4">
        <f t="shared" si="21"/>
        <v>4.2071460744541325</v>
      </c>
      <c r="M86" s="4">
        <f t="shared" si="21"/>
        <v>7.9846065568403306</v>
      </c>
      <c r="N86" s="159"/>
    </row>
    <row r="87" spans="2:14" ht="14.1" customHeight="1">
      <c r="B87" s="357" t="str">
        <f>IF(Indice_index!$Z$1=1,"Aquisição de bens e serviços","Purchase of goods and services")</f>
        <v>Aquisição de bens e serviços</v>
      </c>
      <c r="C87" s="358"/>
      <c r="D87" s="4">
        <f t="shared" si="20"/>
        <v>-169.64894596999989</v>
      </c>
      <c r="E87" s="4">
        <f t="shared" si="20"/>
        <v>217.49413880000429</v>
      </c>
      <c r="F87" s="4">
        <f t="shared" si="20"/>
        <v>335.0624595922236</v>
      </c>
      <c r="G87" s="4">
        <f t="shared" si="20"/>
        <v>2.4488068100000007</v>
      </c>
      <c r="H87" s="4">
        <f t="shared" si="20"/>
        <v>385.47779039222405</v>
      </c>
      <c r="I87" s="4">
        <f t="shared" si="21"/>
        <v>-14.684004371808346</v>
      </c>
      <c r="J87" s="4">
        <f t="shared" si="21"/>
        <v>2.8950459855183572</v>
      </c>
      <c r="K87" s="4">
        <f t="shared" si="21"/>
        <v>10.689345130727137</v>
      </c>
      <c r="L87" s="4">
        <f t="shared" si="21"/>
        <v>3.9198125234437082</v>
      </c>
      <c r="M87" s="4">
        <f t="shared" si="21"/>
        <v>3.2490838521431176</v>
      </c>
      <c r="N87" s="159"/>
    </row>
    <row r="88" spans="2:14" ht="14.1" customHeight="1">
      <c r="B88" s="357" t="str">
        <f>IF(Indice_index!$Z$1=1,"Juros e outros encargos","Interests and other charges")</f>
        <v>Juros e outros encargos</v>
      </c>
      <c r="C88" s="358"/>
      <c r="D88" s="4">
        <f t="shared" si="20"/>
        <v>23.333514300000388</v>
      </c>
      <c r="E88" s="4">
        <f t="shared" si="20"/>
        <v>-61.370166490000003</v>
      </c>
      <c r="F88" s="4">
        <f t="shared" si="20"/>
        <v>-13.244153537667671</v>
      </c>
      <c r="G88" s="4">
        <f t="shared" si="20"/>
        <v>1.0863806099999991</v>
      </c>
      <c r="H88" s="4">
        <f t="shared" si="20"/>
        <v>-55.860615577666977</v>
      </c>
      <c r="I88" s="4">
        <f t="shared" si="21"/>
        <v>0.46796426250013246</v>
      </c>
      <c r="J88" s="4">
        <f t="shared" si="21"/>
        <v>-36.700565467921223</v>
      </c>
      <c r="K88" s="4">
        <f t="shared" si="21"/>
        <v>-5.86185793595586</v>
      </c>
      <c r="L88" s="4">
        <f t="shared" si="21"/>
        <v>20.108672805665524</v>
      </c>
      <c r="M88" s="4">
        <f t="shared" si="21"/>
        <v>-1.1061047160274633</v>
      </c>
      <c r="N88" s="159"/>
    </row>
    <row r="89" spans="2:14" ht="14.1" customHeight="1">
      <c r="B89" s="357" t="str">
        <f>IF(Indice_index!$Z$1=1,"Transferências correntes","Current transfers")</f>
        <v>Transferências correntes</v>
      </c>
      <c r="C89" s="358"/>
      <c r="D89" s="4">
        <f t="shared" si="20"/>
        <v>1569.3944263799785</v>
      </c>
      <c r="E89" s="4">
        <f t="shared" si="20"/>
        <v>311.22154848000173</v>
      </c>
      <c r="F89" s="4">
        <f t="shared" si="20"/>
        <v>54.312648411398754</v>
      </c>
      <c r="G89" s="4">
        <f t="shared" si="20"/>
        <v>2262.8818435999892</v>
      </c>
      <c r="H89" s="4">
        <f t="shared" si="20"/>
        <v>2332.7622646313903</v>
      </c>
      <c r="I89" s="4">
        <f t="shared" si="21"/>
        <v>4.6208589104193187</v>
      </c>
      <c r="J89" s="4">
        <f t="shared" si="21"/>
        <v>2.7414480974449331</v>
      </c>
      <c r="K89" s="4">
        <f t="shared" si="21"/>
        <v>6.2128186497325055</v>
      </c>
      <c r="L89" s="4">
        <f t="shared" si="21"/>
        <v>8.9321649119535156</v>
      </c>
      <c r="M89" s="4">
        <f t="shared" si="21"/>
        <v>6.2148643838824453</v>
      </c>
      <c r="N89" s="159"/>
    </row>
    <row r="90" spans="2:14" ht="14.1" customHeight="1">
      <c r="B90" s="359" t="str">
        <f>IF(Indice_index!$Z$1=1,"Administrações Públicas","General Government subsectors")</f>
        <v>Administrações Públicas</v>
      </c>
      <c r="C90" s="360"/>
      <c r="D90" s="4">
        <f t="shared" si="20"/>
        <v>1726.1430993599861</v>
      </c>
      <c r="E90" s="4">
        <f t="shared" si="20"/>
        <v>42.191911049999817</v>
      </c>
      <c r="F90" s="4">
        <f t="shared" si="20"/>
        <v>-12.290546070000019</v>
      </c>
      <c r="G90" s="4">
        <f t="shared" si="20"/>
        <v>109.00373790000003</v>
      </c>
      <c r="H90" s="4">
        <f t="shared" si="20"/>
        <v>0</v>
      </c>
      <c r="I90" s="4">
        <f t="shared" si="21"/>
        <v>5.5526571334882417</v>
      </c>
      <c r="J90" s="4">
        <f t="shared" si="21"/>
        <v>3.5115020481307671</v>
      </c>
      <c r="K90" s="4">
        <f t="shared" si="21"/>
        <v>-11.2855806219988</v>
      </c>
      <c r="L90" s="4">
        <f t="shared" si="21"/>
        <v>6.8488831000970984</v>
      </c>
      <c r="M90" s="4" t="str">
        <f t="shared" si="21"/>
        <v>-</v>
      </c>
      <c r="N90" s="159"/>
    </row>
    <row r="91" spans="2:14" ht="14.1" customHeight="1">
      <c r="B91" s="359" t="str">
        <f>IF(Indice_index!$Z$1=1,"Outras","Others")</f>
        <v>Outras</v>
      </c>
      <c r="C91" s="360"/>
      <c r="D91" s="4">
        <f t="shared" si="20"/>
        <v>-156.74867298000072</v>
      </c>
      <c r="E91" s="4">
        <f t="shared" si="20"/>
        <v>269.02963743000328</v>
      </c>
      <c r="F91" s="4">
        <f t="shared" si="20"/>
        <v>66.603194481398759</v>
      </c>
      <c r="G91" s="4">
        <f t="shared" si="20"/>
        <v>2153.8781056999906</v>
      </c>
      <c r="H91" s="4">
        <f t="shared" si="20"/>
        <v>2332.7622646313903</v>
      </c>
      <c r="I91" s="4">
        <f t="shared" si="21"/>
        <v>-5.4493454485309183</v>
      </c>
      <c r="J91" s="4">
        <f t="shared" si="21"/>
        <v>2.6502990410203142</v>
      </c>
      <c r="K91" s="4">
        <f t="shared" si="21"/>
        <v>8.7029079620309506</v>
      </c>
      <c r="L91" s="4">
        <f t="shared" si="21"/>
        <v>9.0718154928672661</v>
      </c>
      <c r="M91" s="4">
        <f t="shared" si="21"/>
        <v>6.2148643838824453</v>
      </c>
      <c r="N91" s="159"/>
    </row>
    <row r="92" spans="2:14" ht="14.1" customHeight="1">
      <c r="B92" s="357" t="str">
        <f>IF(Indice_index!$Z$1=1,"Subsídios","Subsidies")</f>
        <v>Subsídios</v>
      </c>
      <c r="C92" s="358"/>
      <c r="D92" s="4">
        <f t="shared" si="20"/>
        <v>78.298566160000036</v>
      </c>
      <c r="E92" s="4">
        <f t="shared" si="20"/>
        <v>-37.095336270000018</v>
      </c>
      <c r="F92" s="4">
        <f t="shared" si="20"/>
        <v>243.20437702589834</v>
      </c>
      <c r="G92" s="4">
        <f t="shared" si="20"/>
        <v>265.85479732999994</v>
      </c>
      <c r="H92" s="4">
        <f t="shared" si="20"/>
        <v>472.34897857589863</v>
      </c>
      <c r="I92" s="4">
        <f t="shared" si="21"/>
        <v>45.915765870420003</v>
      </c>
      <c r="J92" s="4">
        <f t="shared" si="21"/>
        <v>-7.1603615774882181</v>
      </c>
      <c r="K92" s="4">
        <f t="shared" si="21"/>
        <v>45.831331333182575</v>
      </c>
      <c r="L92" s="4">
        <f t="shared" si="21"/>
        <v>65.588339445366046</v>
      </c>
      <c r="M92" s="4">
        <f t="shared" si="21"/>
        <v>36.40391176368157</v>
      </c>
      <c r="N92" s="159"/>
    </row>
    <row r="93" spans="2:14" ht="14.1" customHeight="1">
      <c r="B93" s="357" t="str">
        <f>IF(Indice_index!$Z$1=1,"Outras despesas correntes","Other current expenditures")</f>
        <v>Outras despesas correntes</v>
      </c>
      <c r="C93" s="358"/>
      <c r="D93" s="4">
        <f t="shared" si="20"/>
        <v>-11.779469979999945</v>
      </c>
      <c r="E93" s="4">
        <f t="shared" si="20"/>
        <v>-112.67878566000007</v>
      </c>
      <c r="F93" s="4">
        <f t="shared" si="20"/>
        <v>2.541348756836868</v>
      </c>
      <c r="G93" s="4">
        <f t="shared" si="20"/>
        <v>0.25650566999999924</v>
      </c>
      <c r="H93" s="4">
        <f t="shared" si="20"/>
        <v>-121.6604012131632</v>
      </c>
      <c r="I93" s="4">
        <f t="shared" si="21"/>
        <v>-13.803933990144291</v>
      </c>
      <c r="J93" s="4">
        <f t="shared" si="21"/>
        <v>-33.33452940933411</v>
      </c>
      <c r="K93" s="4">
        <f t="shared" si="21"/>
        <v>1.8000181848279575</v>
      </c>
      <c r="L93" s="4">
        <f t="shared" si="21"/>
        <v>3.5845163384861691</v>
      </c>
      <c r="M93" s="4">
        <f t="shared" si="21"/>
        <v>-21.280501796991867</v>
      </c>
      <c r="N93" s="159"/>
    </row>
    <row r="94" spans="2:14" ht="14.1" customHeight="1">
      <c r="B94" s="357" t="str">
        <f>IF(Indice_index!$Z$1=1,"Diferenças de consolidação","Consolidation differences")</f>
        <v>Diferenças de consolidação</v>
      </c>
      <c r="C94" s="358"/>
      <c r="D94" s="4">
        <f t="shared" si="20"/>
        <v>-5.7569480000000034E-2</v>
      </c>
      <c r="E94" s="4">
        <f t="shared" si="20"/>
        <v>13.377351359999855</v>
      </c>
      <c r="F94" s="4">
        <f t="shared" si="20"/>
        <v>1.5449409999999997E-2</v>
      </c>
      <c r="G94" s="4">
        <f t="shared" si="20"/>
        <v>0</v>
      </c>
      <c r="H94" s="4">
        <f t="shared" si="20"/>
        <v>156.63192529999395</v>
      </c>
      <c r="I94" s="4" t="s">
        <v>4</v>
      </c>
      <c r="J94" s="4" t="s">
        <v>4</v>
      </c>
      <c r="K94" s="4" t="s">
        <v>4</v>
      </c>
      <c r="L94" s="4" t="s">
        <v>4</v>
      </c>
      <c r="M94" s="4" t="s">
        <v>4</v>
      </c>
      <c r="N94" s="159"/>
    </row>
    <row r="95" spans="2:14" ht="14.1" customHeight="1">
      <c r="B95" s="363" t="str">
        <f>IF(Indice_index!$Z$1=1,"Despesa de capital","Capital expenditure")</f>
        <v>Despesa de capital</v>
      </c>
      <c r="C95" s="364"/>
      <c r="D95" s="134">
        <f t="shared" si="20"/>
        <v>101.58832243999996</v>
      </c>
      <c r="E95" s="134">
        <f t="shared" si="20"/>
        <v>351.0649118399997</v>
      </c>
      <c r="F95" s="134">
        <f t="shared" si="20"/>
        <v>645.77311098324753</v>
      </c>
      <c r="G95" s="134">
        <f t="shared" si="20"/>
        <v>-17.83895957999998</v>
      </c>
      <c r="H95" s="134">
        <f t="shared" si="20"/>
        <v>367.46422366324714</v>
      </c>
      <c r="I95" s="134">
        <f t="shared" ref="I95:M100" si="22">IF(IFERROR((I44-D44)/D44*100,"")&gt;500,"-",IFERROR((I44-D44)/D44*100,""))</f>
        <v>3.7961952488989947</v>
      </c>
      <c r="J95" s="134">
        <f t="shared" si="22"/>
        <v>10.031512278965735</v>
      </c>
      <c r="K95" s="134">
        <f t="shared" si="22"/>
        <v>28.371469291997762</v>
      </c>
      <c r="L95" s="134">
        <f t="shared" si="22"/>
        <v>-16.924524602989763</v>
      </c>
      <c r="M95" s="134">
        <f t="shared" si="22"/>
        <v>5.670040295049259</v>
      </c>
      <c r="N95" s="159"/>
    </row>
    <row r="96" spans="2:14" ht="14.1" customHeight="1">
      <c r="B96" s="357" t="str">
        <f>IF(Indice_index!$Z$1=1,"Investimentos","Investments")</f>
        <v>Investimentos</v>
      </c>
      <c r="C96" s="358"/>
      <c r="D96" s="4">
        <f t="shared" ref="D96:H107" si="23">I45-D45</f>
        <v>118.22816408</v>
      </c>
      <c r="E96" s="4">
        <f t="shared" si="23"/>
        <v>55.127453869999499</v>
      </c>
      <c r="F96" s="4">
        <f t="shared" si="23"/>
        <v>633.07772925859217</v>
      </c>
      <c r="G96" s="4">
        <f t="shared" si="23"/>
        <v>4.7090675800000028</v>
      </c>
      <c r="H96" s="4">
        <f t="shared" si="23"/>
        <v>811.14241478859185</v>
      </c>
      <c r="I96" s="4">
        <f t="shared" si="22"/>
        <v>31.379361203022331</v>
      </c>
      <c r="J96" s="4">
        <f t="shared" si="22"/>
        <v>2.5070231244301824</v>
      </c>
      <c r="K96" s="4">
        <f t="shared" si="22"/>
        <v>32.644169988125498</v>
      </c>
      <c r="L96" s="4">
        <f t="shared" si="22"/>
        <v>11.92294646775267</v>
      </c>
      <c r="M96" s="4">
        <f t="shared" si="22"/>
        <v>17.80963025117072</v>
      </c>
      <c r="N96" s="159"/>
    </row>
    <row r="97" spans="2:14" ht="14.1" customHeight="1">
      <c r="B97" s="357" t="str">
        <f>IF(Indice_index!$Z$1=1,"Transferências de capital","Capital transfers")</f>
        <v>Transferências de capital</v>
      </c>
      <c r="C97" s="358"/>
      <c r="D97" s="4">
        <f t="shared" si="23"/>
        <v>-14.464076290000321</v>
      </c>
      <c r="E97" s="4">
        <f t="shared" si="23"/>
        <v>345.47702768999989</v>
      </c>
      <c r="F97" s="4">
        <f t="shared" si="23"/>
        <v>18.998859349463032</v>
      </c>
      <c r="G97" s="4">
        <f t="shared" si="23"/>
        <v>-22.54802715999999</v>
      </c>
      <c r="H97" s="4">
        <f t="shared" si="23"/>
        <v>28.568258599463206</v>
      </c>
      <c r="I97" s="4">
        <f t="shared" si="22"/>
        <v>-0.62996110460845267</v>
      </c>
      <c r="J97" s="4">
        <f t="shared" si="22"/>
        <v>30.741994297951102</v>
      </c>
      <c r="K97" s="4">
        <f t="shared" si="22"/>
        <v>6.0065988389996976</v>
      </c>
      <c r="L97" s="4">
        <f t="shared" si="22"/>
        <v>-34.211791963382254</v>
      </c>
      <c r="M97" s="4">
        <f t="shared" si="22"/>
        <v>2.2537580466471718</v>
      </c>
      <c r="N97" s="159"/>
    </row>
    <row r="98" spans="2:14" ht="14.1" customHeight="1">
      <c r="B98" s="359" t="str">
        <f>IF(Indice_index!$Z$1=1,"Administrações Públicas","General Government subsectors")</f>
        <v>Administrações Públicas</v>
      </c>
      <c r="C98" s="360"/>
      <c r="D98" s="4">
        <f t="shared" si="23"/>
        <v>4.5982618299999558</v>
      </c>
      <c r="E98" s="4">
        <f t="shared" si="23"/>
        <v>293.36847159999991</v>
      </c>
      <c r="F98" s="4">
        <f t="shared" si="23"/>
        <v>0.9287915600000014</v>
      </c>
      <c r="G98" s="4">
        <f t="shared" si="23"/>
        <v>0</v>
      </c>
      <c r="H98" s="4">
        <f t="shared" si="23"/>
        <v>0</v>
      </c>
      <c r="I98" s="4">
        <f t="shared" si="22"/>
        <v>0.20313810353341039</v>
      </c>
      <c r="J98" s="4">
        <f t="shared" si="22"/>
        <v>111.36676888493449</v>
      </c>
      <c r="K98" s="4">
        <f t="shared" si="22"/>
        <v>12.5400629658107</v>
      </c>
      <c r="L98" s="4" t="str">
        <f t="shared" si="22"/>
        <v>-</v>
      </c>
      <c r="M98" s="4" t="str">
        <f t="shared" si="22"/>
        <v>-</v>
      </c>
      <c r="N98" s="159"/>
    </row>
    <row r="99" spans="2:14" ht="14.1" customHeight="1">
      <c r="B99" s="359" t="str">
        <f>IF(Indice_index!$Z$1=1,"Outras","Others")</f>
        <v>Outras</v>
      </c>
      <c r="C99" s="360"/>
      <c r="D99" s="4">
        <f t="shared" si="23"/>
        <v>-19.062338120000007</v>
      </c>
      <c r="E99" s="4">
        <f t="shared" si="23"/>
        <v>52.108556089999979</v>
      </c>
      <c r="F99" s="4">
        <f t="shared" si="23"/>
        <v>18.070067789462996</v>
      </c>
      <c r="G99" s="4">
        <f t="shared" si="23"/>
        <v>-22.54802715999999</v>
      </c>
      <c r="H99" s="4">
        <f t="shared" si="23"/>
        <v>28.568258599463206</v>
      </c>
      <c r="I99" s="4">
        <f t="shared" si="22"/>
        <v>-58.810355352001785</v>
      </c>
      <c r="J99" s="4">
        <f t="shared" si="22"/>
        <v>6.0565315045106995</v>
      </c>
      <c r="K99" s="4">
        <f t="shared" si="22"/>
        <v>5.8499404285048593</v>
      </c>
      <c r="L99" s="4">
        <f t="shared" si="22"/>
        <v>-34.211791963382254</v>
      </c>
      <c r="M99" s="4">
        <f t="shared" si="22"/>
        <v>2.2537580466471718</v>
      </c>
      <c r="N99" s="159"/>
    </row>
    <row r="100" spans="2:14" ht="14.1" customHeight="1">
      <c r="B100" s="357" t="str">
        <f>IF(Indice_index!$Z$1=1,"Outras despesas de capital","Other capital expenditures")</f>
        <v>Outras despesas de capital</v>
      </c>
      <c r="C100" s="358"/>
      <c r="D100" s="4">
        <f t="shared" si="23"/>
        <v>-0.29776142999999999</v>
      </c>
      <c r="E100" s="4">
        <f t="shared" si="23"/>
        <v>-51.316614900000005</v>
      </c>
      <c r="F100" s="4">
        <f t="shared" si="23"/>
        <v>-6.3034776248077957</v>
      </c>
      <c r="G100" s="4">
        <f t="shared" si="23"/>
        <v>0</v>
      </c>
      <c r="H100" s="4">
        <f t="shared" si="23"/>
        <v>-57.917853954807825</v>
      </c>
      <c r="I100" s="4">
        <f t="shared" si="22"/>
        <v>-21.561857697187424</v>
      </c>
      <c r="J100" s="4">
        <f t="shared" si="22"/>
        <v>-38.220637200363136</v>
      </c>
      <c r="K100" s="4">
        <f t="shared" si="22"/>
        <v>-30.73788651071786</v>
      </c>
      <c r="L100" s="4" t="str">
        <f t="shared" si="22"/>
        <v>-</v>
      </c>
      <c r="M100" s="4">
        <f t="shared" si="22"/>
        <v>-37.090616256145587</v>
      </c>
      <c r="N100" s="159"/>
    </row>
    <row r="101" spans="2:14" ht="14.1" customHeight="1">
      <c r="B101" s="357" t="str">
        <f>IF(Indice_index!$Z$1=1,"Diferenças de consolidação","Consolidation differences")</f>
        <v>Diferenças de consolidação</v>
      </c>
      <c r="C101" s="358"/>
      <c r="D101" s="4">
        <f t="shared" si="23"/>
        <v>-1.8780039199999976</v>
      </c>
      <c r="E101" s="4">
        <f t="shared" si="23"/>
        <v>1.7770451799999023</v>
      </c>
      <c r="F101" s="4">
        <f t="shared" si="23"/>
        <v>0</v>
      </c>
      <c r="G101" s="4">
        <f t="shared" si="23"/>
        <v>0</v>
      </c>
      <c r="H101" s="4">
        <f t="shared" si="23"/>
        <v>-414.32859576999977</v>
      </c>
      <c r="I101" s="4" t="s">
        <v>4</v>
      </c>
      <c r="J101" s="4" t="s">
        <v>4</v>
      </c>
      <c r="K101" s="4" t="s">
        <v>4</v>
      </c>
      <c r="L101" s="4" t="s">
        <v>4</v>
      </c>
      <c r="M101" s="4" t="s">
        <v>4</v>
      </c>
      <c r="N101" s="159"/>
    </row>
    <row r="102" spans="2:14" ht="14.1" customHeight="1">
      <c r="B102" s="365" t="str">
        <f>IF(Indice_index!$Z$1=1,"Despesa efetiva","Effective expenditure")</f>
        <v>Despesa efetiva</v>
      </c>
      <c r="C102" s="366"/>
      <c r="D102" s="24">
        <f t="shared" si="23"/>
        <v>2209.8057771399908</v>
      </c>
      <c r="E102" s="24">
        <f t="shared" si="23"/>
        <v>1470.8043701499992</v>
      </c>
      <c r="F102" s="24">
        <f t="shared" si="23"/>
        <v>1597.2039535306467</v>
      </c>
      <c r="G102" s="24">
        <f t="shared" si="23"/>
        <v>2521.3214044799934</v>
      </c>
      <c r="H102" s="24">
        <f t="shared" si="23"/>
        <v>5280.8025500806252</v>
      </c>
      <c r="I102" s="24">
        <f>IF(IFERROR((I51-D51)/D51*100,"")&gt;500,"-",IFERROR((I51-D51)/D51*100,""))</f>
        <v>4.3261190075537801</v>
      </c>
      <c r="J102" s="24">
        <f>IF(IFERROR((J51-E51)/E51*100,"")&gt;500,"-",IFERROR((J51-E51)/E51*100,""))</f>
        <v>4.7525527306617885</v>
      </c>
      <c r="K102" s="24">
        <f>IF(IFERROR((K51-F51)/F51*100,"")&gt;500,"-",IFERROR((K51-F51)/F51*100,""))</f>
        <v>13.929891838812727</v>
      </c>
      <c r="L102" s="24">
        <f>IF(IFERROR((L51-G51)/G51*100,"")&gt;500,"-",IFERROR((L51-G51)/G51*100,""))</f>
        <v>9.6352068975016429</v>
      </c>
      <c r="M102" s="25">
        <f>IF(IFERROR((M51-H51)/H51*100,"")&gt;500,"-",IFERROR((M51-H51)/H51*100,""))</f>
        <v>6.346517867111297</v>
      </c>
      <c r="N102" s="23"/>
    </row>
    <row r="103" spans="2:14" ht="14.1" customHeight="1">
      <c r="B103" s="365" t="str">
        <f>IF(Indice_index!$Z$1=1,"Saldo global","Overall balance")</f>
        <v>Saldo global</v>
      </c>
      <c r="C103" s="366"/>
      <c r="D103" s="24">
        <f t="shared" si="23"/>
        <v>135.95275926001341</v>
      </c>
      <c r="E103" s="24">
        <f t="shared" si="23"/>
        <v>-322.46564314000716</v>
      </c>
      <c r="F103" s="24">
        <f t="shared" si="23"/>
        <v>360.22092631976193</v>
      </c>
      <c r="G103" s="24">
        <f t="shared" si="23"/>
        <v>437.09153975000299</v>
      </c>
      <c r="H103" s="24">
        <f t="shared" si="23"/>
        <v>610.799582189793</v>
      </c>
      <c r="I103" s="24"/>
      <c r="J103" s="24"/>
      <c r="K103" s="24"/>
      <c r="L103" s="24"/>
      <c r="M103" s="25"/>
      <c r="N103" s="23"/>
    </row>
    <row r="104" spans="2:14" ht="14.1" customHeight="1">
      <c r="B104" s="357" t="str">
        <f>IF(Indice_index!$Z$1=1,"Despesa primária","Primary expenditure")</f>
        <v>Despesa primária</v>
      </c>
      <c r="C104" s="358"/>
      <c r="D104" s="4">
        <f t="shared" si="23"/>
        <v>2186.4722628399904</v>
      </c>
      <c r="E104" s="4">
        <f t="shared" si="23"/>
        <v>1532.1745366399991</v>
      </c>
      <c r="F104" s="4">
        <f t="shared" si="23"/>
        <v>1610.4481070683141</v>
      </c>
      <c r="G104" s="4">
        <f t="shared" si="23"/>
        <v>2520.235023869991</v>
      </c>
      <c r="H104" s="4">
        <f t="shared" si="23"/>
        <v>5336.6631656582904</v>
      </c>
      <c r="I104" s="4">
        <f>IF(IFERROR((I53-D53)/D53*100,"")&gt;500,"-",IFERROR((I53-D53)/D53*100,""))</f>
        <v>4.7434677275210735</v>
      </c>
      <c r="J104" s="4">
        <f>IF(IFERROR((J53-E53)/E53*100,"")&gt;500,"-",IFERROR((J53-E53)/E53*100,""))</f>
        <v>4.9777518850849303</v>
      </c>
      <c r="K104" s="4">
        <f>IF(IFERROR((K53-F53)/F53*100,"")&gt;500,"-",IFERROR((K53-F53)/F53*100,""))</f>
        <v>14.327727478718566</v>
      </c>
      <c r="L104" s="4">
        <f>IF(IFERROR((L53-G53)/G53*100,"")&gt;500,"-",IFERROR((L53-G53)/G53*100,""))</f>
        <v>9.6330441215688545</v>
      </c>
      <c r="M104" s="4">
        <f>IF(IFERROR((M53-H53)/H53*100,"")&gt;500,"-",IFERROR((M53-H53)/H53*100,""))</f>
        <v>6.8280741313679405</v>
      </c>
      <c r="N104" s="159"/>
    </row>
    <row r="105" spans="2:14" ht="14.1" customHeight="1">
      <c r="B105" s="357" t="str">
        <f>IF(Indice_index!$Z$1=1,"Saldo corrente","Current balance")</f>
        <v>Saldo corrente</v>
      </c>
      <c r="C105" s="358"/>
      <c r="D105" s="4">
        <f t="shared" si="23"/>
        <v>316.96614094001416</v>
      </c>
      <c r="E105" s="4">
        <f t="shared" si="23"/>
        <v>-290.39319820000674</v>
      </c>
      <c r="F105" s="4">
        <f t="shared" si="23"/>
        <v>377.53225405974445</v>
      </c>
      <c r="G105" s="4">
        <f t="shared" si="23"/>
        <v>419.68344301000616</v>
      </c>
      <c r="H105" s="4">
        <f t="shared" si="23"/>
        <v>823.78863980977621</v>
      </c>
      <c r="I105" s="4"/>
      <c r="J105" s="4"/>
      <c r="K105" s="4"/>
      <c r="L105" s="4"/>
      <c r="M105" s="4"/>
      <c r="N105" s="159"/>
    </row>
    <row r="106" spans="2:14" ht="14.1" customHeight="1">
      <c r="B106" s="357" t="str">
        <f>IF(Indice_index!$Z$1=1,"Saldo de capital","Capital balance")</f>
        <v>Saldo de capital</v>
      </c>
      <c r="C106" s="358"/>
      <c r="D106" s="4">
        <f t="shared" si="23"/>
        <v>-181.01338167999984</v>
      </c>
      <c r="E106" s="4">
        <f t="shared" si="23"/>
        <v>-32.072444939999514</v>
      </c>
      <c r="F106" s="4">
        <f t="shared" si="23"/>
        <v>-17.311327739982744</v>
      </c>
      <c r="G106" s="4">
        <f t="shared" si="23"/>
        <v>17.408096739999976</v>
      </c>
      <c r="H106" s="4">
        <f t="shared" si="23"/>
        <v>-212.98905761998276</v>
      </c>
      <c r="I106" s="4"/>
      <c r="J106" s="4"/>
      <c r="K106" s="4"/>
      <c r="L106" s="4"/>
      <c r="M106" s="4"/>
      <c r="N106" s="159"/>
    </row>
    <row r="107" spans="2:14" ht="14.1" customHeight="1">
      <c r="B107" s="361" t="str">
        <f>IF(Indice_index!$Z$1=1,"Saldo primário","Primary balance")</f>
        <v>Saldo primário</v>
      </c>
      <c r="C107" s="362"/>
      <c r="D107" s="19">
        <f t="shared" si="23"/>
        <v>159.2862735600138</v>
      </c>
      <c r="E107" s="19">
        <f t="shared" si="23"/>
        <v>-383.83580963000713</v>
      </c>
      <c r="F107" s="19">
        <f t="shared" si="23"/>
        <v>346.97677278209449</v>
      </c>
      <c r="G107" s="19">
        <f t="shared" si="23"/>
        <v>438.17792036000537</v>
      </c>
      <c r="H107" s="19">
        <f t="shared" si="23"/>
        <v>554.93896661212784</v>
      </c>
      <c r="I107" s="19"/>
      <c r="J107" s="19"/>
      <c r="K107" s="19"/>
      <c r="L107" s="19"/>
      <c r="M107" s="19"/>
      <c r="N107" s="159"/>
    </row>
    <row r="108" spans="2:14" ht="15">
      <c r="B108" s="9" t="str">
        <f>IF(Indice_index!$Z$1=1,"Fonte: Entidade Orçamental.","Source: Budgetary Entity.")</f>
        <v>Fonte: Entidade Orçamental.</v>
      </c>
      <c r="C108" s="9"/>
      <c r="D108" s="9"/>
      <c r="E108" s="9"/>
      <c r="F108" s="9"/>
      <c r="G108" s="9"/>
      <c r="H108" s="9"/>
      <c r="I108" s="9"/>
      <c r="J108" s="9"/>
      <c r="K108" s="9"/>
      <c r="L108" s="9"/>
      <c r="M108" s="9"/>
      <c r="N108" s="159"/>
    </row>
    <row r="109" spans="2:14" ht="14.85" customHeight="1"/>
  </sheetData>
  <mergeCells count="56">
    <mergeCell ref="B58:N58"/>
    <mergeCell ref="B61:C61"/>
    <mergeCell ref="B62:C63"/>
    <mergeCell ref="B9:C9"/>
    <mergeCell ref="B10:B12"/>
    <mergeCell ref="D10:M10"/>
    <mergeCell ref="C11:H11"/>
    <mergeCell ref="I11:N11"/>
    <mergeCell ref="B59:N59"/>
    <mergeCell ref="B60:N60"/>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5" zeroHeight="1"/>
  <cols>
    <col min="1" max="1" width="9.5703125" style="20" customWidth="1"/>
    <col min="2" max="2" width="35.5703125" style="137" customWidth="1"/>
    <col min="3" max="7" width="9.5703125" style="137" customWidth="1"/>
    <col min="8" max="8" width="2.5703125" style="137" customWidth="1"/>
    <col min="9" max="12" width="9.5703125" style="137" customWidth="1"/>
    <col min="13" max="13" width="9.42578125" style="137" customWidth="1"/>
    <col min="14" max="16384" width="9.285156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 customHeight="1">
      <c r="B7" s="12"/>
      <c r="C7" s="13"/>
      <c r="D7" s="11"/>
      <c r="E7" s="11"/>
      <c r="F7" s="11"/>
      <c r="G7" s="11"/>
      <c r="H7" s="11"/>
      <c r="I7" s="11"/>
      <c r="J7" s="11"/>
      <c r="K7" s="11"/>
      <c r="L7" s="10"/>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83" t="s">
        <v>322</v>
      </c>
      <c r="J9" s="383"/>
      <c r="K9" s="383"/>
      <c r="L9" s="383"/>
    </row>
    <row r="10" spans="2:12">
      <c r="B10" s="3" t="str">
        <f>+'2 - Conta Consol AP'!B9:C9</f>
        <v>Período: janeiro a setembro</v>
      </c>
      <c r="C10" s="3"/>
      <c r="D10" s="3"/>
      <c r="E10" s="3"/>
      <c r="F10" s="3"/>
      <c r="G10" s="3"/>
      <c r="H10" s="3"/>
      <c r="I10" s="3"/>
      <c r="J10" s="3"/>
      <c r="K10" s="3"/>
      <c r="L10" s="3" t="s">
        <v>323</v>
      </c>
    </row>
    <row r="11" spans="2:12" ht="30.75" customHeight="1">
      <c r="B11" s="384"/>
      <c r="C11" s="385" t="str">
        <f>IF(Indice_index!$Z$1=1,"Execução Acumulada","Accumulated Execution")</f>
        <v>Execução Acumulada</v>
      </c>
      <c r="D11" s="386"/>
      <c r="E11" s="387" t="str">
        <f>IF(Indice_index!$Z$1=1,"Variação Homóloga Acumulada","YOY Change Rate")</f>
        <v>Variação Homóloga Acumulada</v>
      </c>
      <c r="F11" s="388"/>
      <c r="G11" s="389" t="s">
        <v>452</v>
      </c>
      <c r="H11" s="138"/>
      <c r="I11" s="385" t="str">
        <f>IF(Indice_index!$Z$1=1,"Execução Acumulada","Accumulated Execution")</f>
        <v>Execução Acumulada</v>
      </c>
      <c r="J11" s="386"/>
      <c r="K11" s="387" t="str">
        <f>IF(Indice_index!$Z$1=1,"Variação Homóloga Acumulada","YOY Change Rate")</f>
        <v>Variação Homóloga Acumulada</v>
      </c>
      <c r="L11" s="388"/>
    </row>
    <row r="12" spans="2:12" ht="24">
      <c r="B12" s="384"/>
      <c r="C12" s="22">
        <v>2024</v>
      </c>
      <c r="D12" s="22">
        <v>2025</v>
      </c>
      <c r="E12" s="22" t="s">
        <v>453</v>
      </c>
      <c r="F12" s="22" t="str">
        <f>IF(Indice_index!$Z$1=1,"Relativa (%)","Relative change (%)")</f>
        <v>Relativa (%)</v>
      </c>
      <c r="G12" s="389"/>
      <c r="I12" s="22">
        <v>2024</v>
      </c>
      <c r="J12" s="22">
        <v>2025</v>
      </c>
      <c r="K12" s="22" t="s">
        <v>453</v>
      </c>
      <c r="L12" s="22" t="str">
        <f>IF(Indice_index!$Z$1=1,"Relativa (%)","Relative change (%)")</f>
        <v>Relativa (%)</v>
      </c>
    </row>
    <row r="13" spans="2:12">
      <c r="B13" s="174" t="str">
        <f>IF(Indice_index!$Z$1=1,"Receita corrente","Current revenue")</f>
        <v>Receita corrente</v>
      </c>
      <c r="C13" s="134">
        <f>+C14+C17+C18+C19+C20</f>
        <v>86361.830373545279</v>
      </c>
      <c r="D13" s="134">
        <f>+D14+D17+D18+D19+D20</f>
        <v>92098.957339772431</v>
      </c>
      <c r="E13" s="134">
        <f t="shared" ref="E13:E44" si="0">+D13-C13</f>
        <v>5737.1269662271516</v>
      </c>
      <c r="F13" s="134">
        <f t="shared" ref="F13:F19" si="1">IF(IFERROR((D13-C13)/C13*100,"")&gt;500,"-",IFERROR((D13-C13)/C13*100,""))</f>
        <v>6.6431280363235246</v>
      </c>
      <c r="G13" s="134">
        <f t="shared" ref="G13:G19" si="2">IFERROR((D13-C13)/$C$26*100,"")</f>
        <v>6.4533750362601365</v>
      </c>
      <c r="H13" s="140"/>
      <c r="I13" s="134">
        <f>+I14+I17+I18+I19+I20</f>
        <v>79945.243432859977</v>
      </c>
      <c r="J13" s="134">
        <f>+J14+J17+J18+J19+J20</f>
        <v>84814.866697780017</v>
      </c>
      <c r="K13" s="134">
        <f t="shared" ref="K13:K44" si="3">+J13-I13</f>
        <v>4869.6232649200392</v>
      </c>
      <c r="L13" s="134">
        <f t="shared" ref="L13:L19" si="4">IF(IFERROR((J13-I13)/I13*100,"")&gt;500,"-",IFERROR((J13-I13)/I13*100,""))</f>
        <v>6.0911982449708484</v>
      </c>
    </row>
    <row r="14" spans="2:12">
      <c r="B14" s="125" t="str">
        <f>IF(Indice_index!$Z$1=1,"Receita fiscal","Tax")</f>
        <v>Receita fiscal</v>
      </c>
      <c r="C14" s="4">
        <f>+C15+C16</f>
        <v>50688.215637456437</v>
      </c>
      <c r="D14" s="4">
        <f>+D15+D16</f>
        <v>53815.061412605297</v>
      </c>
      <c r="E14" s="4">
        <f t="shared" si="0"/>
        <v>3126.8457751488604</v>
      </c>
      <c r="F14" s="4">
        <f t="shared" si="1"/>
        <v>6.1687824987042044</v>
      </c>
      <c r="G14" s="4">
        <f t="shared" si="2"/>
        <v>3.5172149032725786</v>
      </c>
      <c r="H14" s="140"/>
      <c r="I14" s="4">
        <f>+I15+I16</f>
        <v>46150.372804959989</v>
      </c>
      <c r="J14" s="4">
        <f>+J15+J16</f>
        <v>48761.742493499994</v>
      </c>
      <c r="K14" s="4">
        <f t="shared" si="3"/>
        <v>2611.3696885400059</v>
      </c>
      <c r="L14" s="4">
        <f t="shared" si="4"/>
        <v>5.6583934859554379</v>
      </c>
    </row>
    <row r="15" spans="2:12">
      <c r="B15" s="172" t="str">
        <f>IF(Indice_index!$Z$1=1,"Impostos diretos","Direct taxes")</f>
        <v>Impostos diretos</v>
      </c>
      <c r="C15" s="4">
        <f>+'2 - Conta Consol AP'!H15</f>
        <v>24930.645272270718</v>
      </c>
      <c r="D15" s="4">
        <f>+'2 - Conta Consol AP'!M15</f>
        <v>26006.033220877762</v>
      </c>
      <c r="E15" s="4">
        <f t="shared" si="0"/>
        <v>1075.3879486070437</v>
      </c>
      <c r="F15" s="4">
        <f t="shared" si="1"/>
        <v>4.3135183099458372</v>
      </c>
      <c r="G15" s="4">
        <f t="shared" si="2"/>
        <v>1.2096440923634462</v>
      </c>
      <c r="H15" s="140"/>
      <c r="I15" s="4">
        <f>+'3 - Conta AC + SS'!E14</f>
        <v>21409.548414919991</v>
      </c>
      <c r="J15" s="4">
        <f>+'3 - Conta AC + SS'!F14</f>
        <v>21997.651640729993</v>
      </c>
      <c r="K15" s="4">
        <f t="shared" si="3"/>
        <v>588.10322581000219</v>
      </c>
      <c r="L15" s="4">
        <f t="shared" si="4"/>
        <v>2.7469202731999798</v>
      </c>
    </row>
    <row r="16" spans="2:12">
      <c r="B16" s="172" t="str">
        <f>IF(Indice_index!$Z$1=1,"Impostos indiretos","Indirect taxes")</f>
        <v>Impostos indiretos</v>
      </c>
      <c r="C16" s="4">
        <f>+'2 - Conta Consol AP'!H16</f>
        <v>25757.570365185722</v>
      </c>
      <c r="D16" s="4">
        <f>+'2 - Conta Consol AP'!M16</f>
        <v>27809.028191727539</v>
      </c>
      <c r="E16" s="4">
        <f t="shared" si="0"/>
        <v>2051.4578265418168</v>
      </c>
      <c r="F16" s="4">
        <f t="shared" si="1"/>
        <v>7.9644849939518938</v>
      </c>
      <c r="G16" s="4">
        <f t="shared" si="2"/>
        <v>2.3075708109091324</v>
      </c>
      <c r="H16" s="140"/>
      <c r="I16" s="4">
        <f>+'3 - Conta AC + SS'!E15</f>
        <v>24740.824390039998</v>
      </c>
      <c r="J16" s="4">
        <f>+'3 - Conta AC + SS'!F15</f>
        <v>26764.090852770001</v>
      </c>
      <c r="K16" s="4">
        <f t="shared" si="3"/>
        <v>2023.2664627300037</v>
      </c>
      <c r="L16" s="4">
        <f t="shared" si="4"/>
        <v>8.177845777622986</v>
      </c>
    </row>
    <row r="17" spans="2:12">
      <c r="B17" s="125" t="str">
        <f>IF(Indice_index!$Z$1=1,"Contribuições de Segurança Social","Social security contributions")</f>
        <v>Contribuições de Segurança Social</v>
      </c>
      <c r="C17" s="4">
        <f>+'2 - Conta Consol AP'!H17</f>
        <v>23353.341776020003</v>
      </c>
      <c r="D17" s="4">
        <f>+'2 - Conta Consol AP'!M17</f>
        <v>25293.786531580001</v>
      </c>
      <c r="E17" s="4">
        <f t="shared" si="0"/>
        <v>1940.4447555599982</v>
      </c>
      <c r="F17" s="4">
        <f t="shared" si="1"/>
        <v>8.3090667458672325</v>
      </c>
      <c r="G17" s="4">
        <f t="shared" si="2"/>
        <v>2.1826983816967513</v>
      </c>
      <c r="H17" s="140"/>
      <c r="I17" s="4">
        <f>+'3 - Conta AC + SS'!E16</f>
        <v>23353.341776020003</v>
      </c>
      <c r="J17" s="4">
        <f>+'3 - Conta AC + SS'!F16</f>
        <v>25293.786531580001</v>
      </c>
      <c r="K17" s="4">
        <f t="shared" si="3"/>
        <v>1940.4447555599982</v>
      </c>
      <c r="L17" s="4">
        <f t="shared" si="4"/>
        <v>8.3090667458672325</v>
      </c>
    </row>
    <row r="18" spans="2:12">
      <c r="B18" s="125" t="str">
        <f>IF(Indice_index!$Z$1=1,"Transferências correntes","Current transfers")</f>
        <v>Transferências correntes</v>
      </c>
      <c r="C18" s="4">
        <f>+'2 - Conta Consol AP'!H18</f>
        <v>2039.2498335678977</v>
      </c>
      <c r="D18" s="4">
        <f>+'2 - Conta Consol AP'!M18</f>
        <v>2358.2503160826864</v>
      </c>
      <c r="E18" s="4">
        <f t="shared" si="0"/>
        <v>319.0004825147887</v>
      </c>
      <c r="F18" s="4">
        <f t="shared" si="1"/>
        <v>15.643030945191319</v>
      </c>
      <c r="G18" s="4">
        <f t="shared" si="2"/>
        <v>0.35882590058307029</v>
      </c>
      <c r="H18" s="140"/>
      <c r="I18" s="4">
        <f>+'3 - Conta AC + SS'!E17</f>
        <v>1997.513197380001</v>
      </c>
      <c r="J18" s="4">
        <f>+'3 - Conta AC + SS'!F17</f>
        <v>2290.0587066900007</v>
      </c>
      <c r="K18" s="4">
        <f t="shared" si="3"/>
        <v>292.54550930999972</v>
      </c>
      <c r="L18" s="4">
        <f t="shared" si="4"/>
        <v>14.645485681582043</v>
      </c>
    </row>
    <row r="19" spans="2:12">
      <c r="B19" s="125" t="str">
        <f>IF(Indice_index!$Z$1=1,"Outras receitas correntes","Other current revenue")</f>
        <v>Outras receitas correntes</v>
      </c>
      <c r="C19" s="4">
        <f>+'2 - Conta Consol AP'!H21</f>
        <v>10038.300133030945</v>
      </c>
      <c r="D19" s="4">
        <f>+'2 - Conta Consol AP'!M21</f>
        <v>10564.271639444434</v>
      </c>
      <c r="E19" s="4">
        <f t="shared" si="0"/>
        <v>525.9715064134889</v>
      </c>
      <c r="F19" s="4">
        <f t="shared" si="1"/>
        <v>5.2396471458627136</v>
      </c>
      <c r="G19" s="4">
        <f t="shared" si="2"/>
        <v>0.59163609403350914</v>
      </c>
      <c r="H19" s="140"/>
      <c r="I19" s="4">
        <f>+'3 - Conta AC + SS'!E20</f>
        <v>8227.4560043900055</v>
      </c>
      <c r="J19" s="4">
        <f>+'3 - Conta AC + SS'!F20</f>
        <v>8406.1777989900002</v>
      </c>
      <c r="K19" s="4">
        <f t="shared" si="3"/>
        <v>178.72179459999461</v>
      </c>
      <c r="L19" s="4">
        <f t="shared" si="4"/>
        <v>2.1722607146684494</v>
      </c>
    </row>
    <row r="20" spans="2:12">
      <c r="B20" s="125" t="str">
        <f>IF(Indice_index!$Z$1=1,"Diferenças de consolidação","Consolidation differences")</f>
        <v>Diferenças de consolidação</v>
      </c>
      <c r="C20" s="4">
        <f>+'2 - Conta Consol AP'!H22</f>
        <v>242.7229934700004</v>
      </c>
      <c r="D20" s="4">
        <f>+'2 - Conta Consol AP'!M22</f>
        <v>67.587440060009797</v>
      </c>
      <c r="E20" s="4">
        <f t="shared" si="0"/>
        <v>-175.13555340999062</v>
      </c>
      <c r="F20" s="4"/>
      <c r="G20" s="4"/>
      <c r="H20" s="140"/>
      <c r="I20" s="4">
        <f>+'3 - Conta AC + SS'!E21</f>
        <v>216.55965010999824</v>
      </c>
      <c r="J20" s="4">
        <f>+'3 - Conta AC + SS'!F21</f>
        <v>63.101167020004098</v>
      </c>
      <c r="K20" s="4">
        <f t="shared" si="3"/>
        <v>-153.45848308999416</v>
      </c>
      <c r="L20" s="4"/>
    </row>
    <row r="21" spans="2:12">
      <c r="B21" s="174" t="str">
        <f>IF(Indice_index!$Z$1=1,"Receita de capital","Capital revenue")</f>
        <v>Receita de capital</v>
      </c>
      <c r="C21" s="134">
        <f>+C22+C23+C24+C25</f>
        <v>2539.3559668031362</v>
      </c>
      <c r="D21" s="134">
        <f>+D22+D23+D24+D25</f>
        <v>2693.8311328464006</v>
      </c>
      <c r="E21" s="134">
        <f t="shared" si="0"/>
        <v>154.47516604326438</v>
      </c>
      <c r="F21" s="134">
        <f>IF(IFERROR((D21-C21)/C21*100,"")&gt;500,"-",IFERROR((D21-C21)/C21*100,""))</f>
        <v>6.0832418952958909</v>
      </c>
      <c r="G21" s="134">
        <f>IFERROR((D21-C21)/$C$26*100,"")</f>
        <v>0.17376052266825009</v>
      </c>
      <c r="H21" s="140"/>
      <c r="I21" s="134">
        <f>+I22+I23+I24+I25</f>
        <v>1846.8258114799996</v>
      </c>
      <c r="J21" s="134">
        <f>+J22+J23+J24+J25</f>
        <v>1770.4124249099996</v>
      </c>
      <c r="K21" s="134">
        <f t="shared" si="3"/>
        <v>-76.413386570000057</v>
      </c>
      <c r="L21" s="134">
        <f>IF(IFERROR((J21-I21)/I21*100,"")&gt;500,"-",IFERROR((J21-I21)/I21*100,""))</f>
        <v>-4.137552447827459</v>
      </c>
    </row>
    <row r="22" spans="2:12">
      <c r="B22" s="125" t="str">
        <f>IF(Indice_index!$Z$1=1,"Venda de bens de investimento","Sale of investment goods")</f>
        <v>Venda de bens de investimento</v>
      </c>
      <c r="C22" s="4">
        <f>+'2 - Conta Consol AP'!H24</f>
        <v>130.92296347664663</v>
      </c>
      <c r="D22" s="4">
        <f>+'2 - Conta Consol AP'!M24</f>
        <v>106.43279852854408</v>
      </c>
      <c r="E22" s="4">
        <f t="shared" si="0"/>
        <v>-24.490164948102546</v>
      </c>
      <c r="F22" s="4">
        <f>IF(IFERROR((D22-C22)/C22*100,"")&gt;500,"-",IFERROR((D22-C22)/C22*100,""))</f>
        <v>-18.705782620381164</v>
      </c>
      <c r="G22" s="4">
        <f>IFERROR((D22-C22)/$C$26*100,"")</f>
        <v>-2.7547624453901711E-2</v>
      </c>
      <c r="H22" s="140"/>
      <c r="I22" s="4">
        <f>+'3 - Conta AC + SS'!E23</f>
        <v>60.694852390000015</v>
      </c>
      <c r="J22" s="4">
        <f>+'3 - Conta AC + SS'!F23</f>
        <v>30.928821879999994</v>
      </c>
      <c r="K22" s="4">
        <f t="shared" si="3"/>
        <v>-29.766030510000022</v>
      </c>
      <c r="L22" s="4">
        <f>IF(IFERROR((J22-I22)/I22*100,"")&gt;500,"-",IFERROR((J22-I22)/I22*100,""))</f>
        <v>-49.042100504233574</v>
      </c>
    </row>
    <row r="23" spans="2:12">
      <c r="B23" s="125" t="str">
        <f>IF(Indice_index!$Z$1=1,"Transferências de capital","Capital transfers")</f>
        <v>Transferências de capital</v>
      </c>
      <c r="C23" s="4">
        <f>+'2 - Conta Consol AP'!H25</f>
        <v>2231.4217176462953</v>
      </c>
      <c r="D23" s="4">
        <f>+'2 - Conta Consol AP'!M25</f>
        <v>2447.7788271741106</v>
      </c>
      <c r="E23" s="4">
        <f t="shared" si="0"/>
        <v>216.35710952781528</v>
      </c>
      <c r="F23" s="4">
        <f>IF(IFERROR((D23-C23)/C23*100,"")&gt;500,"-",IFERROR((D23-C23)/C23*100,""))</f>
        <v>9.6959309760608079</v>
      </c>
      <c r="G23" s="4">
        <f>IFERROR((D23-C23)/$C$26*100,"")</f>
        <v>0.24336807913846714</v>
      </c>
      <c r="H23" s="140"/>
      <c r="I23" s="4">
        <f>+'3 - Conta AC + SS'!E24</f>
        <v>1627.1751047299995</v>
      </c>
      <c r="J23" s="4">
        <f>+'3 - Conta AC + SS'!F24</f>
        <v>1614.4327244699996</v>
      </c>
      <c r="K23" s="4">
        <f t="shared" si="3"/>
        <v>-12.742380259999891</v>
      </c>
      <c r="L23" s="4">
        <f>IF(IFERROR((J23-I23)/I23*100,"")&gt;500,"-",IFERROR((J23-I23)/I23*100,""))</f>
        <v>-0.78309828013957106</v>
      </c>
    </row>
    <row r="24" spans="2:12">
      <c r="B24" s="125" t="str">
        <f>IF(Indice_index!$Z$1=1,"Outras receitas de capital","Other capital revenue")</f>
        <v>Outras receitas de capital</v>
      </c>
      <c r="C24" s="4">
        <f>+'2 - Conta Consol AP'!H28</f>
        <v>175.87643795019434</v>
      </c>
      <c r="D24" s="4">
        <f>+'2 - Conta Consol AP'!M28</f>
        <v>133.48550200374612</v>
      </c>
      <c r="E24" s="4">
        <f t="shared" si="0"/>
        <v>-42.390935946448224</v>
      </c>
      <c r="F24" s="4">
        <f>IF(IFERROR((D24-C24)/C24*100,"")&gt;500,"-",IFERROR((D24-C24)/C24*100,""))</f>
        <v>-24.102680518497152</v>
      </c>
      <c r="G24" s="4">
        <f>IFERROR((D24-C24)/$C$26*100,"")</f>
        <v>-4.7683206143233216E-2</v>
      </c>
      <c r="H24" s="140"/>
      <c r="I24" s="4">
        <f>+'3 - Conta AC + SS'!E27</f>
        <v>158.75290436</v>
      </c>
      <c r="J24" s="4">
        <f>+'3 - Conta AC + SS'!F27</f>
        <v>122.77617644</v>
      </c>
      <c r="K24" s="4">
        <f t="shared" si="3"/>
        <v>-35.976727920000002</v>
      </c>
      <c r="L24" s="4">
        <f>IF(IFERROR((J24-I24)/I24*100,"")&gt;500,"-",IFERROR((J24-I24)/I24*100,""))</f>
        <v>-22.662091169315854</v>
      </c>
    </row>
    <row r="25" spans="2:12">
      <c r="B25" s="125" t="str">
        <f>IF(Indice_index!$Z$1=1,"Diferenças de consolidação","Consolidation differences")</f>
        <v>Diferenças de consolidação</v>
      </c>
      <c r="C25" s="4">
        <f>+'2 - Conta Consol AP'!H29</f>
        <v>1.1348477300000042</v>
      </c>
      <c r="D25" s="4">
        <f>+'2 - Conta Consol AP'!M29</f>
        <v>6.1340051399999851</v>
      </c>
      <c r="E25" s="4">
        <f t="shared" si="0"/>
        <v>4.9991574099999809</v>
      </c>
      <c r="F25" s="4"/>
      <c r="G25" s="4"/>
      <c r="H25" s="140"/>
      <c r="I25" s="4">
        <f>+'3 - Conta AC + SS'!E28</f>
        <v>0.20294999999999999</v>
      </c>
      <c r="J25" s="4">
        <f>+'3 - Conta AC + SS'!F28</f>
        <v>2.2747021200000046</v>
      </c>
      <c r="K25" s="4">
        <f t="shared" si="3"/>
        <v>2.0717521200000046</v>
      </c>
      <c r="L25" s="4"/>
    </row>
    <row r="26" spans="2:12">
      <c r="B26" s="17" t="str">
        <f>IF(Indice_index!$Z$1=1,"Receita efetiva","Effective revenue")</f>
        <v>Receita efetiva</v>
      </c>
      <c r="C26" s="18">
        <f>+C13+C21</f>
        <v>88901.186340348417</v>
      </c>
      <c r="D26" s="141">
        <f>+D13+D21</f>
        <v>94792.788472618835</v>
      </c>
      <c r="E26" s="141">
        <f t="shared" si="0"/>
        <v>5891.6021322704182</v>
      </c>
      <c r="F26" s="141">
        <f>IF(IFERROR((D26-C26)/C26*100,"")&gt;500,"-",IFERROR((D26-C26)/C26*100,""))</f>
        <v>6.6271355589283889</v>
      </c>
      <c r="G26" s="141"/>
      <c r="H26" s="140"/>
      <c r="I26" s="18">
        <f>+I13+I21</f>
        <v>81792.069244339975</v>
      </c>
      <c r="J26" s="141">
        <f>+J13+J21</f>
        <v>86585.279122690015</v>
      </c>
      <c r="K26" s="141">
        <f t="shared" si="3"/>
        <v>4793.2098783500405</v>
      </c>
      <c r="L26" s="141">
        <f t="shared" ref="L26:L36" si="5">IF(IFERROR((J26-I26)/I26*100,"")&gt;500,"-",IFERROR((J26-I26)/I26*100,""))</f>
        <v>5.8602379456022033</v>
      </c>
    </row>
    <row r="27" spans="2:12">
      <c r="B27" s="174" t="str">
        <f>IF(Indice_index!$Z$1=1,"Despesa corrente","Current expenditure")</f>
        <v>Despesa corrente</v>
      </c>
      <c r="C27" s="134">
        <f>+C28+C32+C33+C34+C35+C36+C37</f>
        <v>76727.068918687117</v>
      </c>
      <c r="D27" s="134">
        <f>+D28+D32+D33+D34+D35+D36+D37</f>
        <v>81640.407245104492</v>
      </c>
      <c r="E27" s="134">
        <f t="shared" si="0"/>
        <v>4913.3383264173754</v>
      </c>
      <c r="F27" s="134">
        <f t="shared" ref="F27:F36" si="6">IF(IFERROR((D27-C27)/C27*100,"")&gt;500,"-",IFERROR((D27-C27)/C27*100,""))</f>
        <v>6.4036570087466433</v>
      </c>
      <c r="G27" s="134">
        <f t="shared" ref="G27:G36" si="7">IFERROR((D27-C27)/$C$43*100,"")</f>
        <v>5.9048959282324436</v>
      </c>
      <c r="H27" s="140"/>
      <c r="I27" s="134">
        <f>+I28+I32+I33+I34+I35+I36+I37</f>
        <v>72073.723362830016</v>
      </c>
      <c r="J27" s="134">
        <f>+J28+J32+J33+J34+J35+J36+J37</f>
        <v>76497.090242000006</v>
      </c>
      <c r="K27" s="134">
        <f t="shared" si="3"/>
        <v>4423.3668791699893</v>
      </c>
      <c r="L27" s="134">
        <f t="shared" si="5"/>
        <v>6.1372809295588793</v>
      </c>
    </row>
    <row r="28" spans="2:12">
      <c r="B28" s="125" t="str">
        <f>IF(Indice_index!$Z$1=1,"Despesas com o pessoal","Compensation of employees")</f>
        <v>Despesas com o pessoal</v>
      </c>
      <c r="C28" s="4">
        <f>+C29+C30+C31</f>
        <v>20134.745509897097</v>
      </c>
      <c r="D28" s="4">
        <f>+D29+D30+D31</f>
        <v>21878.383894205806</v>
      </c>
      <c r="E28" s="4">
        <f t="shared" si="0"/>
        <v>1743.6383843087096</v>
      </c>
      <c r="F28" s="4">
        <f t="shared" si="6"/>
        <v>8.6598481388882522</v>
      </c>
      <c r="G28" s="4">
        <f t="shared" si="7"/>
        <v>2.0955209089624733</v>
      </c>
      <c r="H28" s="140"/>
      <c r="I28" s="4">
        <f>+I29+I30+I31</f>
        <v>15851.389623910005</v>
      </c>
      <c r="J28" s="4">
        <f>+J29+J30+J31</f>
        <v>17265.48929533</v>
      </c>
      <c r="K28" s="4">
        <f t="shared" si="3"/>
        <v>1414.0996714199955</v>
      </c>
      <c r="L28" s="4">
        <f t="shared" si="5"/>
        <v>8.9209823553071228</v>
      </c>
    </row>
    <row r="29" spans="2:12">
      <c r="B29" s="172" t="str">
        <f>IF(Indice_index!$Z$1=1,"Remunerações certas e permanentes","Certain and permanent wages")</f>
        <v>Remunerações certas e permanentes</v>
      </c>
      <c r="C29" s="4">
        <f>+'2 - Conta Consol AP'!H33</f>
        <v>14492.118624654746</v>
      </c>
      <c r="D29" s="4">
        <f>+'2 - Conta Consol AP'!M33</f>
        <v>15750.710022318448</v>
      </c>
      <c r="E29" s="4">
        <f t="shared" si="0"/>
        <v>1258.5913976637021</v>
      </c>
      <c r="F29" s="4">
        <f t="shared" si="6"/>
        <v>8.6846611614296414</v>
      </c>
      <c r="G29" s="4">
        <f t="shared" si="7"/>
        <v>1.5125869064245381</v>
      </c>
      <c r="H29" s="140"/>
      <c r="I29" s="4">
        <f>+'3 - Conta AC + SS'!E32</f>
        <v>11244.589358510006</v>
      </c>
      <c r="J29" s="4">
        <f>+'3 - Conta AC + SS'!F32</f>
        <v>12258.73101489</v>
      </c>
      <c r="K29" s="4">
        <f t="shared" si="3"/>
        <v>1014.1416563799939</v>
      </c>
      <c r="L29" s="4">
        <f t="shared" si="5"/>
        <v>9.0189301187106707</v>
      </c>
    </row>
    <row r="30" spans="2:12">
      <c r="B30" s="172" t="str">
        <f>IF(Indice_index!$Z$1=1,"Abonos variáveis ou eventuais","Variable or contingent bonuses")</f>
        <v>Abonos variáveis ou eventuais</v>
      </c>
      <c r="C30" s="4">
        <f>+'2 - Conta Consol AP'!H34</f>
        <v>1488.5681596389911</v>
      </c>
      <c r="D30" s="4">
        <f>+'2 - Conta Consol AP'!M34</f>
        <v>1641.929900904476</v>
      </c>
      <c r="E30" s="4">
        <f t="shared" si="0"/>
        <v>153.36174126548485</v>
      </c>
      <c r="F30" s="4">
        <f t="shared" si="6"/>
        <v>10.302634801934651</v>
      </c>
      <c r="G30" s="4">
        <f t="shared" si="7"/>
        <v>0.18431157420529559</v>
      </c>
      <c r="H30" s="140"/>
      <c r="I30" s="4">
        <f>+'3 - Conta AC + SS'!E33</f>
        <v>1239.2300931500001</v>
      </c>
      <c r="J30" s="4">
        <f>+'3 - Conta AC + SS'!F33</f>
        <v>1360.2196751900003</v>
      </c>
      <c r="K30" s="4">
        <f t="shared" si="3"/>
        <v>120.98958204000019</v>
      </c>
      <c r="L30" s="4">
        <f t="shared" si="5"/>
        <v>9.7632863104911092</v>
      </c>
    </row>
    <row r="31" spans="2:12">
      <c r="B31" s="172" t="str">
        <f>IF(Indice_index!$Z$1=1,"Segurança Social","Social security")</f>
        <v>Segurança Social</v>
      </c>
      <c r="C31" s="4">
        <f>+'2 - Conta Consol AP'!H35</f>
        <v>4154.0587256033587</v>
      </c>
      <c r="D31" s="4">
        <f>+'2 - Conta Consol AP'!M35</f>
        <v>4485.7439709828823</v>
      </c>
      <c r="E31" s="4">
        <f t="shared" si="0"/>
        <v>331.68524537952362</v>
      </c>
      <c r="F31" s="4">
        <f t="shared" si="6"/>
        <v>7.9846065568403306</v>
      </c>
      <c r="G31" s="4">
        <f t="shared" si="7"/>
        <v>0.39862242833264083</v>
      </c>
      <c r="H31" s="140"/>
      <c r="I31" s="4">
        <f>+'3 - Conta AC + SS'!E34</f>
        <v>3367.5701722500003</v>
      </c>
      <c r="J31" s="4">
        <f>+'3 - Conta AC + SS'!F34</f>
        <v>3646.5386052500003</v>
      </c>
      <c r="K31" s="4">
        <f t="shared" si="3"/>
        <v>278.968433</v>
      </c>
      <c r="L31" s="4">
        <f t="shared" si="5"/>
        <v>8.2839679273442037</v>
      </c>
    </row>
    <row r="32" spans="2:12">
      <c r="B32" s="125" t="str">
        <f>IF(Indice_index!$Z$1=1,"Aquisição de bens e serviços","Purchase of goods and services")</f>
        <v>Aquisição de bens e serviços</v>
      </c>
      <c r="C32" s="4">
        <f>+'2 - Conta Consol AP'!H36</f>
        <v>11864.199507746169</v>
      </c>
      <c r="D32" s="4">
        <f>+'2 - Conta Consol AP'!M36</f>
        <v>12249.677298138393</v>
      </c>
      <c r="E32" s="4">
        <f t="shared" si="0"/>
        <v>385.47779039222405</v>
      </c>
      <c r="F32" s="4">
        <f t="shared" si="6"/>
        <v>3.2490838521431176</v>
      </c>
      <c r="G32" s="4">
        <f t="shared" si="7"/>
        <v>0.46327081175596724</v>
      </c>
      <c r="H32" s="140"/>
      <c r="I32" s="4">
        <f>+'3 - Conta AC + SS'!E35</f>
        <v>8729.6533265299877</v>
      </c>
      <c r="J32" s="4">
        <f>+'3 - Conta AC + SS'!F35</f>
        <v>8780.0686573300063</v>
      </c>
      <c r="K32" s="4">
        <f t="shared" si="3"/>
        <v>50.415330800018637</v>
      </c>
      <c r="L32" s="4">
        <f t="shared" si="5"/>
        <v>0.57751813175447808</v>
      </c>
    </row>
    <row r="33" spans="2:12">
      <c r="B33" s="125" t="str">
        <f>IF(Indice_index!$Z$1=1,"Juros e outros encargos","Interests and other charges")</f>
        <v>Juros e outros encargos</v>
      </c>
      <c r="C33" s="4">
        <f>+'2 - Conta Consol AP'!H37</f>
        <v>5050.2104157270423</v>
      </c>
      <c r="D33" s="4">
        <f>+'2 - Conta Consol AP'!M37</f>
        <v>4994.3498001493754</v>
      </c>
      <c r="E33" s="4">
        <f t="shared" si="0"/>
        <v>-55.860615577666977</v>
      </c>
      <c r="F33" s="4">
        <f t="shared" si="6"/>
        <v>-1.1061047160274633</v>
      </c>
      <c r="G33" s="4">
        <f t="shared" si="7"/>
        <v>-6.7133809959640772E-2</v>
      </c>
      <c r="H33" s="140"/>
      <c r="I33" s="4">
        <f>+'3 - Conta AC + SS'!E36</f>
        <v>4858.5789036399974</v>
      </c>
      <c r="J33" s="4">
        <f>+'3 - Conta AC + SS'!F36</f>
        <v>4811.8707075300008</v>
      </c>
      <c r="K33" s="4">
        <f t="shared" si="3"/>
        <v>-46.708196109996607</v>
      </c>
      <c r="L33" s="4">
        <f t="shared" si="5"/>
        <v>-0.96135510066540864</v>
      </c>
    </row>
    <row r="34" spans="2:12">
      <c r="B34" s="125" t="str">
        <f>IF(Indice_index!$Z$1=1,"Transferências correntes","Current transfers")</f>
        <v>Transferências correntes</v>
      </c>
      <c r="C34" s="4">
        <f>+'2 - Conta Consol AP'!H38</f>
        <v>37535.207858777227</v>
      </c>
      <c r="D34" s="4">
        <f>+'2 - Conta Consol AP'!M38</f>
        <v>39867.970123408617</v>
      </c>
      <c r="E34" s="4">
        <f t="shared" si="0"/>
        <v>2332.7622646313903</v>
      </c>
      <c r="F34" s="4">
        <f t="shared" si="6"/>
        <v>6.2148643838824453</v>
      </c>
      <c r="G34" s="4">
        <f t="shared" si="7"/>
        <v>2.8035354951834157</v>
      </c>
      <c r="H34" s="140"/>
      <c r="I34" s="4">
        <f>+'3 - Conta AC + SS'!E37</f>
        <v>41154.592184460016</v>
      </c>
      <c r="J34" s="4">
        <f>+'3 - Conta AC + SS'!F37</f>
        <v>43954.838756929996</v>
      </c>
      <c r="K34" s="4">
        <f t="shared" si="3"/>
        <v>2800.2465724699796</v>
      </c>
      <c r="L34" s="4">
        <f t="shared" si="5"/>
        <v>6.8042141200644748</v>
      </c>
    </row>
    <row r="35" spans="2:12">
      <c r="B35" s="125" t="str">
        <f>IF(Indice_index!$Z$1=1,"Subsídios","Subsidies")</f>
        <v>Subsídios</v>
      </c>
      <c r="C35" s="4">
        <f>+'2 - Conta Consol AP'!H41</f>
        <v>1297.5225894463861</v>
      </c>
      <c r="D35" s="4">
        <f>+'2 - Conta Consol AP'!M41</f>
        <v>1769.8715680222847</v>
      </c>
      <c r="E35" s="4">
        <f t="shared" si="0"/>
        <v>472.34897857589863</v>
      </c>
      <c r="F35" s="4">
        <f t="shared" si="6"/>
        <v>36.40391176368157</v>
      </c>
      <c r="G35" s="4">
        <f t="shared" si="7"/>
        <v>0.56767341774555513</v>
      </c>
      <c r="H35" s="140"/>
      <c r="I35" s="4">
        <f>+'3 - Conta AC + SS'!E40</f>
        <v>921.47437656</v>
      </c>
      <c r="J35" s="4">
        <f>+'3 - Conta AC + SS'!F40</f>
        <v>1234.66151223</v>
      </c>
      <c r="K35" s="4">
        <f t="shared" si="3"/>
        <v>313.18713566999998</v>
      </c>
      <c r="L35" s="4">
        <f t="shared" si="5"/>
        <v>33.987611987559966</v>
      </c>
    </row>
    <row r="36" spans="2:12">
      <c r="B36" s="125" t="str">
        <f>IF(Indice_index!$Z$1=1,"Outras despesas correntes","Other current expenditures")</f>
        <v>Outras despesas correntes</v>
      </c>
      <c r="C36" s="4">
        <f>+'2 - Conta Consol AP'!H42</f>
        <v>571.69893066318889</v>
      </c>
      <c r="D36" s="4">
        <f>+'2 - Conta Consol AP'!M42</f>
        <v>450.03852945002569</v>
      </c>
      <c r="E36" s="4">
        <f t="shared" si="0"/>
        <v>-121.6604012131632</v>
      </c>
      <c r="F36" s="4">
        <f t="shared" si="6"/>
        <v>-21.280501796991867</v>
      </c>
      <c r="G36" s="4">
        <f t="shared" si="7"/>
        <v>-0.14621260740140354</v>
      </c>
      <c r="H36" s="140"/>
      <c r="I36" s="4">
        <f>+'3 - Conta AC + SS'!E41</f>
        <v>430.51431496000021</v>
      </c>
      <c r="J36" s="4">
        <f>+'3 - Conta AC + SS'!F41</f>
        <v>306.31256498999988</v>
      </c>
      <c r="K36" s="4">
        <f t="shared" si="3"/>
        <v>-124.20174997000032</v>
      </c>
      <c r="L36" s="4">
        <f t="shared" si="5"/>
        <v>-28.849621407255672</v>
      </c>
    </row>
    <row r="37" spans="2:12">
      <c r="B37" s="125" t="str">
        <f>IF(Indice_index!$Z$1=1,"Diferenças de consolidação","Consolidation differences")</f>
        <v>Diferenças de consolidação</v>
      </c>
      <c r="C37" s="4">
        <f>+'2 - Conta Consol AP'!H43</f>
        <v>273.48410643000727</v>
      </c>
      <c r="D37" s="4">
        <f>+'2 - Conta Consol AP'!M43</f>
        <v>430.11603173000123</v>
      </c>
      <c r="E37" s="4">
        <f t="shared" si="0"/>
        <v>156.63192529999395</v>
      </c>
      <c r="F37" s="4"/>
      <c r="G37" s="4"/>
      <c r="H37" s="140"/>
      <c r="I37" s="4">
        <f>+'3 - Conta AC + SS'!E42</f>
        <v>127.52063277000239</v>
      </c>
      <c r="J37" s="4">
        <f>+'3 - Conta AC + SS'!F42</f>
        <v>143.84874765999845</v>
      </c>
      <c r="K37" s="4">
        <f t="shared" si="3"/>
        <v>16.328114889996058</v>
      </c>
      <c r="L37" s="4"/>
    </row>
    <row r="38" spans="2:12">
      <c r="B38" s="174" t="str">
        <f>IF(Indice_index!$Z$1=1,"Despesa de capital","Capital expenditure")</f>
        <v>Despesa de capital</v>
      </c>
      <c r="C38" s="134">
        <f>+C39+C40+C41+C42</f>
        <v>6480.8044483227923</v>
      </c>
      <c r="D38" s="134">
        <f>+D39+D40+D41+D42</f>
        <v>6848.2686719860394</v>
      </c>
      <c r="E38" s="134">
        <f t="shared" si="0"/>
        <v>367.46422366324714</v>
      </c>
      <c r="F38" s="134">
        <f>IF(IFERROR((D38-C38)/C38*100,"")&gt;500,"-",IFERROR((D38-C38)/C38*100,""))</f>
        <v>5.670040295049259</v>
      </c>
      <c r="G38" s="134">
        <f>IFERROR((D38-C38)/$C$43*100,"")</f>
        <v>0.44162193887884971</v>
      </c>
      <c r="H38" s="140"/>
      <c r="I38" s="134">
        <f>+I39+I40+I41+I42</f>
        <v>4990.7762361200021</v>
      </c>
      <c r="J38" s="134">
        <f>+J39+J40+J41+J42</f>
        <v>5110.0405794300004</v>
      </c>
      <c r="K38" s="134">
        <f t="shared" si="3"/>
        <v>119.26434330999837</v>
      </c>
      <c r="L38" s="134">
        <f>IF(IFERROR((J38-I38)/I38*100,"")&gt;500,"-",IFERROR((J38-I38)/I38*100,""))</f>
        <v>2.389695263170494</v>
      </c>
    </row>
    <row r="39" spans="2:12">
      <c r="B39" s="125" t="str">
        <f>IF(Indice_index!$Z$1=1,"Investimentos","Investments")</f>
        <v>Investimentos</v>
      </c>
      <c r="C39" s="4">
        <f>+'2 - Conta Consol AP'!H45</f>
        <v>4554.5157499003726</v>
      </c>
      <c r="D39" s="4">
        <f>+'2 - Conta Consol AP'!M45</f>
        <v>5365.6581646889645</v>
      </c>
      <c r="E39" s="4">
        <f t="shared" si="0"/>
        <v>811.14241478859185</v>
      </c>
      <c r="F39" s="4">
        <f>IF(IFERROR((D39-C39)/C39*100,"")&gt;500,"-",IFERROR((D39-C39)/C39*100,""))</f>
        <v>17.80963025117072</v>
      </c>
      <c r="G39" s="4">
        <f>IFERROR((D39-C39)/$C$43*100,"")</f>
        <v>0.9748385362654779</v>
      </c>
      <c r="H39" s="140"/>
      <c r="I39" s="4">
        <f>+'3 - Conta AC + SS'!E44</f>
        <v>2615.1871362800016</v>
      </c>
      <c r="J39" s="4">
        <f>+'3 - Conta AC + SS'!F44</f>
        <v>2793.2518218100008</v>
      </c>
      <c r="K39" s="4">
        <f t="shared" si="3"/>
        <v>178.06468552999922</v>
      </c>
      <c r="L39" s="4">
        <f>IF(IFERROR((J39-I39)/I39*100,"")&gt;500,"-",IFERROR((J39-I39)/I39*100,""))</f>
        <v>6.8088697386026871</v>
      </c>
    </row>
    <row r="40" spans="2:12">
      <c r="B40" s="125" t="str">
        <f>IF(Indice_index!$Z$1=1,"Transferências de capital","Capital transfers")</f>
        <v>Transferências de capital</v>
      </c>
      <c r="C40" s="4">
        <f>+'2 - Conta Consol AP'!H46</f>
        <v>1267.5832102724198</v>
      </c>
      <c r="D40" s="4">
        <f>+'2 - Conta Consol AP'!M46</f>
        <v>1296.151468871883</v>
      </c>
      <c r="E40" s="4">
        <f t="shared" si="0"/>
        <v>28.568258599463206</v>
      </c>
      <c r="F40" s="4">
        <f>IF(IFERROR((D40-C40)/C40*100,"")&gt;500,"-",IFERROR((D40-C40)/C40*100,""))</f>
        <v>2.2537580466471718</v>
      </c>
      <c r="G40" s="4">
        <f>IFERROR((D40-C40)/$C$43*100,"")</f>
        <v>3.4333600227295195E-2</v>
      </c>
      <c r="H40" s="140"/>
      <c r="I40" s="4">
        <f>+'3 - Conta AC + SS'!E45</f>
        <v>1740.2544567499999</v>
      </c>
      <c r="J40" s="4">
        <f>+'3 - Conta AC + SS'!F45</f>
        <v>2148.7332815799996</v>
      </c>
      <c r="K40" s="4">
        <f t="shared" si="3"/>
        <v>408.47882482999967</v>
      </c>
      <c r="L40" s="4">
        <f>IF(IFERROR((J40-I40)/I40*100,"")&gt;500,"-",IFERROR((J40-I40)/I40*100,""))</f>
        <v>23.472361943715487</v>
      </c>
    </row>
    <row r="41" spans="2:12">
      <c r="B41" s="125" t="str">
        <f>IF(Indice_index!$Z$1=1,"Outras despesas de capital","Other capital expenditures")</f>
        <v>Outras despesas de capital</v>
      </c>
      <c r="C41" s="4">
        <f>+'2 - Conta Consol AP'!H49</f>
        <v>156.15230967000002</v>
      </c>
      <c r="D41" s="4">
        <f>+'2 - Conta Consol AP'!M49</f>
        <v>98.234455715192198</v>
      </c>
      <c r="E41" s="4">
        <f t="shared" si="0"/>
        <v>-57.917853954807825</v>
      </c>
      <c r="F41" s="4">
        <f>IF(IFERROR((D41-C41)/C41*100,"")&gt;500,"-",IFERROR((D41-C41)/C41*100,""))</f>
        <v>-37.090616256145587</v>
      </c>
      <c r="G41" s="4">
        <f>IFERROR((D41-C41)/$C$43*100,"")</f>
        <v>-6.9606218271372117E-2</v>
      </c>
      <c r="H41" s="140"/>
      <c r="I41" s="4">
        <f>+'3 - Conta AC + SS'!E48</f>
        <v>135.64511694999999</v>
      </c>
      <c r="J41" s="4">
        <f>+'3 - Conta AC + SS'!F48</f>
        <v>84.030740620000003</v>
      </c>
      <c r="K41" s="4">
        <f t="shared" si="3"/>
        <v>-51.614376329999985</v>
      </c>
      <c r="L41" s="4">
        <f>IF(IFERROR((J41-I41)/I41*100,"")&gt;500,"-",IFERROR((J41-I41)/I41*100,""))</f>
        <v>-38.051038983604187</v>
      </c>
    </row>
    <row r="42" spans="2:12">
      <c r="B42" s="125" t="str">
        <f>IF(Indice_index!$Z$1=1,"Diferenças de consolidação","Consolidation differences")</f>
        <v>Diferenças de consolidação</v>
      </c>
      <c r="C42" s="4">
        <f>+'2 - Conta Consol AP'!H50</f>
        <v>502.55317847999925</v>
      </c>
      <c r="D42" s="4">
        <f>+'2 - Conta Consol AP'!M50</f>
        <v>88.224582709999481</v>
      </c>
      <c r="E42" s="4">
        <f t="shared" si="0"/>
        <v>-414.32859576999977</v>
      </c>
      <c r="F42" s="4"/>
      <c r="G42" s="4"/>
      <c r="H42" s="140"/>
      <c r="I42" s="4">
        <f>+'3 - Conta AC + SS'!E49</f>
        <v>499.68952614000011</v>
      </c>
      <c r="J42" s="4">
        <f>+'3 - Conta AC + SS'!F49</f>
        <v>84.024735420000283</v>
      </c>
      <c r="K42" s="4">
        <f t="shared" si="3"/>
        <v>-415.66479071999981</v>
      </c>
      <c r="L42" s="4"/>
    </row>
    <row r="43" spans="2:12">
      <c r="B43" s="17" t="str">
        <f>IF(Indice_index!$Z$1=1,"Despesa efetiva","Effective expenditure")</f>
        <v>Despesa efetiva</v>
      </c>
      <c r="C43" s="18">
        <f>+C27+C38</f>
        <v>83207.873367009903</v>
      </c>
      <c r="D43" s="141">
        <f>+D27+D38</f>
        <v>88488.675917090528</v>
      </c>
      <c r="E43" s="141">
        <f t="shared" si="0"/>
        <v>5280.8025500806252</v>
      </c>
      <c r="F43" s="141">
        <f>IF(IFERROR((D43-C43)/C43*100,"")&gt;500,"-",IFERROR((D43-C43)/C43*100,""))</f>
        <v>6.346517867111297</v>
      </c>
      <c r="G43" s="141"/>
      <c r="H43" s="139"/>
      <c r="I43" s="18">
        <f>+I27+I38</f>
        <v>77064.499598950017</v>
      </c>
      <c r="J43" s="141">
        <f>+J27+J38</f>
        <v>81607.130821430008</v>
      </c>
      <c r="K43" s="141">
        <f t="shared" si="3"/>
        <v>4542.6312224799913</v>
      </c>
      <c r="L43" s="141">
        <f>IF(IFERROR((J43-I43)/I43*100,"")&gt;500,"-",IFERROR((J43-I43)/I43*100,""))</f>
        <v>5.8945834283233101</v>
      </c>
    </row>
    <row r="44" spans="2:12">
      <c r="B44" s="17" t="str">
        <f>IF(Indice_index!$Z$1=1,"Saldo global","Overall balance")</f>
        <v>Saldo global</v>
      </c>
      <c r="C44" s="18">
        <f>+C26-C43</f>
        <v>5693.312973338514</v>
      </c>
      <c r="D44" s="141">
        <f>+D26-D43</f>
        <v>6304.112555528307</v>
      </c>
      <c r="E44" s="141">
        <f t="shared" si="0"/>
        <v>610.799582189793</v>
      </c>
      <c r="F44" s="141"/>
      <c r="G44" s="141"/>
      <c r="H44" s="139"/>
      <c r="I44" s="18">
        <f>+I26-I43</f>
        <v>4727.5696453899582</v>
      </c>
      <c r="J44" s="141">
        <f>+J26-J43</f>
        <v>4978.1483012600074</v>
      </c>
      <c r="K44" s="141">
        <f t="shared" si="3"/>
        <v>250.57865587004926</v>
      </c>
      <c r="L44" s="141"/>
    </row>
    <row r="45" spans="2:12">
      <c r="B45" s="125" t="str">
        <f>IF(Indice_index!$Z$1=1,"Despesa primária","Primary expenditure")</f>
        <v>Despesa primária</v>
      </c>
      <c r="C45" s="4">
        <f>+C43-C33</f>
        <v>78157.662951282866</v>
      </c>
      <c r="D45" s="4">
        <f>+D43-D33</f>
        <v>83494.326116941156</v>
      </c>
      <c r="E45" s="4">
        <f>+D45-C45</f>
        <v>5336.6631656582904</v>
      </c>
      <c r="F45" s="4">
        <f>IF(IFERROR((D45-C45)/C45*100,"")&gt;500,"-",IFERROR((D45-C45)/C45*100,""))</f>
        <v>6.8280741313679405</v>
      </c>
      <c r="G45" s="4">
        <f>IFERROR((D45-C45)/$C$43*100,"")</f>
        <v>6.4136516770709351</v>
      </c>
      <c r="H45" s="140"/>
      <c r="I45" s="4">
        <f>+I43-I33</f>
        <v>72205.920695310022</v>
      </c>
      <c r="J45" s="4">
        <f>+J43-J33</f>
        <v>76795.260113900003</v>
      </c>
      <c r="K45" s="4">
        <f>+J45-I45</f>
        <v>4589.3394185899815</v>
      </c>
      <c r="L45" s="4"/>
    </row>
    <row r="46" spans="2:12">
      <c r="B46" s="125" t="str">
        <f>IF(Indice_index!$Z$1=1,"Saldo corrente","Current balance")</f>
        <v>Saldo corrente</v>
      </c>
      <c r="C46" s="4">
        <f>+C13-C27</f>
        <v>9634.7614548581623</v>
      </c>
      <c r="D46" s="4">
        <f>+D13-D27</f>
        <v>10458.550094667939</v>
      </c>
      <c r="E46" s="4">
        <f>+D46-C46</f>
        <v>823.78863980977621</v>
      </c>
      <c r="F46" s="4"/>
      <c r="G46" s="4"/>
      <c r="H46" s="140"/>
      <c r="I46" s="4">
        <f>+I13-I27</f>
        <v>7871.5200700299611</v>
      </c>
      <c r="J46" s="4">
        <f>+J13-J27</f>
        <v>8317.776455780011</v>
      </c>
      <c r="K46" s="4">
        <f>+J46-I46</f>
        <v>446.25638575004996</v>
      </c>
      <c r="L46" s="4"/>
    </row>
    <row r="47" spans="2:12">
      <c r="B47" s="125" t="str">
        <f>IF(Indice_index!$Z$1=1,"Saldo de capital","Capital balance")</f>
        <v>Saldo de capital</v>
      </c>
      <c r="C47" s="4">
        <f>+C21-C38</f>
        <v>-3941.4484815196561</v>
      </c>
      <c r="D47" s="4">
        <f>+D21-D38</f>
        <v>-4154.4375391396388</v>
      </c>
      <c r="E47" s="4">
        <f>+D47-C47</f>
        <v>-212.98905761998276</v>
      </c>
      <c r="F47" s="4"/>
      <c r="G47" s="4"/>
      <c r="H47" s="140"/>
      <c r="I47" s="4">
        <f>+I21-I38</f>
        <v>-3143.9504246400024</v>
      </c>
      <c r="J47" s="4">
        <f>+J21-J38</f>
        <v>-3339.6281545200009</v>
      </c>
      <c r="K47" s="4">
        <f>+J47-I47</f>
        <v>-195.67772987999842</v>
      </c>
      <c r="L47" s="4"/>
    </row>
    <row r="48" spans="2:12">
      <c r="B48" s="173" t="str">
        <f>IF(Indice_index!$Z$1=1,"Saldo primário","Primary balance")</f>
        <v>Saldo primário</v>
      </c>
      <c r="C48" s="19">
        <f>+C26-C45</f>
        <v>10743.523389065551</v>
      </c>
      <c r="D48" s="19">
        <f>+D26-D45</f>
        <v>11298.462355677679</v>
      </c>
      <c r="E48" s="19">
        <f>+D48-C48</f>
        <v>554.93896661212784</v>
      </c>
      <c r="F48" s="19"/>
      <c r="G48" s="19"/>
      <c r="H48" s="140"/>
      <c r="I48" s="19">
        <f>+I26-I45</f>
        <v>9586.1485490299528</v>
      </c>
      <c r="J48" s="19">
        <f>+J26-J45</f>
        <v>9790.0190087900119</v>
      </c>
      <c r="K48" s="19">
        <f>+J48-I48</f>
        <v>203.87045976005902</v>
      </c>
      <c r="L48" s="19"/>
    </row>
    <row r="49" spans="2:12">
      <c r="B49" s="9"/>
      <c r="C49" s="9"/>
      <c r="D49" s="9"/>
      <c r="E49" s="9"/>
      <c r="F49" s="9"/>
      <c r="G49" s="9"/>
      <c r="I49" s="9"/>
      <c r="J49" s="9"/>
      <c r="K49" s="9"/>
      <c r="L49" s="9"/>
    </row>
    <row r="50" spans="2:12">
      <c r="B50" s="139" t="s">
        <v>324</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8.5703125" style="20" customWidth="1"/>
    <col min="2" max="2" width="37" style="28" customWidth="1"/>
    <col min="3" max="9" width="10.42578125" style="28" customWidth="1"/>
    <col min="10" max="10" width="8.5703125" style="28" customWidth="1"/>
    <col min="11" max="15" width="0" hidden="1" customWidth="1"/>
    <col min="16" max="16384" width="9.42578125" hidden="1"/>
  </cols>
  <sheetData>
    <row r="1" spans="1:10" ht="14.85" customHeight="1"/>
    <row r="2" spans="1:10" ht="15"/>
    <row r="3" spans="1:10" ht="15"/>
    <row r="4" spans="1:10" ht="15"/>
    <row r="5" spans="1:10" ht="18" customHeight="1">
      <c r="A5"/>
      <c r="B5" s="269" t="str">
        <f>IF(Indice_index!$Z$1=1,"ANEXOS ESTATÍSTICOS","STATISTICAL ANNEXES")</f>
        <v>ANEXOS ESTATÍSTICOS</v>
      </c>
      <c r="C5"/>
      <c r="D5"/>
      <c r="E5"/>
      <c r="F5"/>
      <c r="G5"/>
      <c r="H5"/>
      <c r="I5"/>
      <c r="J5"/>
    </row>
    <row r="6" spans="1:10" ht="18" customHeight="1">
      <c r="A6"/>
      <c r="B6" s="270" t="str">
        <f>IF(Indice_index!$Z$1=1,"Setembro de 2025","September 2025")</f>
        <v>Setembro de 2025</v>
      </c>
      <c r="C6"/>
      <c r="D6"/>
      <c r="E6"/>
      <c r="F6"/>
      <c r="G6"/>
      <c r="H6"/>
      <c r="I6"/>
      <c r="J6"/>
    </row>
    <row r="7" spans="1:10" ht="49.5" customHeight="1">
      <c r="B7" s="12"/>
      <c r="C7" s="13"/>
      <c r="D7" s="11"/>
      <c r="E7" s="11"/>
      <c r="F7" s="11"/>
      <c r="G7" s="11"/>
      <c r="H7" s="11"/>
      <c r="I7" s="11"/>
    </row>
    <row r="8" spans="1:10"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1:10" ht="15">
      <c r="B9" s="3" t="str">
        <f>IF(Indice_index!$Z$1=1,"Período: janeiro a setembro","Period: January to September")</f>
        <v>Período: janeiro a setembro</v>
      </c>
      <c r="C9" s="3"/>
      <c r="D9" s="3"/>
      <c r="E9" s="3"/>
      <c r="F9" s="3"/>
      <c r="G9" s="3"/>
      <c r="H9" s="3"/>
      <c r="I9" s="3" t="str">
        <f>IF(Indice_index!$Z$1=1,"€ Milhões","€ Millions")</f>
        <v>€ Milhões</v>
      </c>
    </row>
    <row r="10" spans="1:10"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22" t="str">
        <f>IF(Indice_index!$Z$1=1,"Grau de Execução (%)","Execution Rate (%)")</f>
        <v>Grau de Execução (%)</v>
      </c>
      <c r="H10" s="391" t="str">
        <f>IF(Indice_index!$Z$1=1,"Variação Homóloga Acumulada","YOY Change Rate")</f>
        <v>Variação Homóloga Acumulada</v>
      </c>
      <c r="I10" s="388"/>
    </row>
    <row r="11" spans="1:10" ht="26.85" customHeight="1">
      <c r="B11" s="389"/>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315">
        <f>+C14+C15+C16+C17+C20+C21</f>
        <v>108451.28234245001</v>
      </c>
      <c r="D12" s="134">
        <f>SUM(D14:D17)+D20+D21</f>
        <v>116634.69932900372</v>
      </c>
      <c r="E12" s="315">
        <f>+E14+E15+E16+E17+E20+E21</f>
        <v>79945.243432859977</v>
      </c>
      <c r="F12" s="315">
        <f>+F14+F15+F16+F17+F20+F21</f>
        <v>84814.866697780017</v>
      </c>
      <c r="G12" s="134">
        <f>IFERROR(IF(F12/D12*100&lt;-500,"-",IF(F12/D12*100&gt;500,"-",F12/D12*100)),"-")</f>
        <v>72.718382424542312</v>
      </c>
      <c r="H12" s="134">
        <f t="shared" ref="H12:H20" si="0">IF(IFERROR((F12-E12)/E12*100,"")&gt;500,"-",IFERROR((F12-E12)/E12*100,""))</f>
        <v>6.0911982449708484</v>
      </c>
      <c r="I12" s="134">
        <f>IFERROR((F12-E12)/$E$29*100,"")</f>
        <v>5.9536619013426151</v>
      </c>
    </row>
    <row r="13" spans="1:10" ht="14.1" customHeight="1">
      <c r="B13" s="125" t="str">
        <f>IF(Indice_index!$Z$1=1,"Receita fiscal","Tax")</f>
        <v>Receita fiscal</v>
      </c>
      <c r="C13" s="316">
        <f>+C14+C15</f>
        <v>61610.696890070001</v>
      </c>
      <c r="D13" s="4">
        <f>+D14+D15</f>
        <v>64398.664613000001</v>
      </c>
      <c r="E13" s="316">
        <f>+E14+E15</f>
        <v>46150.372804959989</v>
      </c>
      <c r="F13" s="316">
        <f>+F14+F15</f>
        <v>48761.742493499994</v>
      </c>
      <c r="G13" s="4">
        <f>IFERROR(IF(F13/D13*100&lt;-500,"-",IF(F13/D13*100&gt;500,"-",F13/D13*100)),"-")</f>
        <v>75.718561536222566</v>
      </c>
      <c r="H13" s="4">
        <f t="shared" si="0"/>
        <v>5.6583934859554379</v>
      </c>
      <c r="I13" s="4">
        <f t="shared" ref="I13:I20" si="1">IFERROR((F13-E13)/$E$29*100,"")</f>
        <v>3.192693023499602</v>
      </c>
    </row>
    <row r="14" spans="1:10" ht="14.1" customHeight="1">
      <c r="B14" s="172" t="str">
        <f>IF(Indice_index!$Z$1=1,"Impostos diretos ","Direct taxes")</f>
        <v xml:space="preserve">Impostos diretos </v>
      </c>
      <c r="C14" s="316">
        <v>27679.896564609997</v>
      </c>
      <c r="D14" s="4">
        <v>27974.777635999999</v>
      </c>
      <c r="E14" s="316">
        <v>21409.548414919991</v>
      </c>
      <c r="F14" s="316">
        <v>21997.651640729993</v>
      </c>
      <c r="G14" s="4">
        <f t="shared" ref="G14:G27" si="2">IFERROR(IF(F14/D14*100&lt;-500,"-",IF(F14/D14*100&gt;500,"-",F14/D14*100)),"-")</f>
        <v>78.633874867415571</v>
      </c>
      <c r="H14" s="4">
        <f t="shared" si="0"/>
        <v>2.7469202731999798</v>
      </c>
      <c r="I14" s="4">
        <f t="shared" si="1"/>
        <v>0.71902231016205653</v>
      </c>
    </row>
    <row r="15" spans="1:10" ht="14.1" customHeight="1">
      <c r="B15" s="172" t="str">
        <f>IF(Indice_index!$Z$1=1,"Impostos indiretos","Indirect taxes")</f>
        <v>Impostos indiretos</v>
      </c>
      <c r="C15" s="316">
        <v>33930.800325460004</v>
      </c>
      <c r="D15" s="4">
        <v>36423.886977000002</v>
      </c>
      <c r="E15" s="316">
        <v>24740.824390039998</v>
      </c>
      <c r="F15" s="316">
        <v>26764.090852770001</v>
      </c>
      <c r="G15" s="4">
        <f t="shared" si="2"/>
        <v>73.479502255402579</v>
      </c>
      <c r="H15" s="4">
        <f t="shared" si="0"/>
        <v>8.177845777622986</v>
      </c>
      <c r="I15" s="4">
        <f t="shared" si="1"/>
        <v>2.4736707133375453</v>
      </c>
    </row>
    <row r="16" spans="1:10" ht="14.1" customHeight="1">
      <c r="B16" s="125" t="str">
        <f>IF(Indice_index!$Z$1=1,"Contribuições para Segurança Social, CGA e ADSE","Social security, CGA and ADSE contributions")</f>
        <v>Contribuições para Segurança Social, CGA e ADSE</v>
      </c>
      <c r="C16" s="316">
        <v>32178.368385239999</v>
      </c>
      <c r="D16" s="4">
        <v>33913.802474999997</v>
      </c>
      <c r="E16" s="316">
        <v>23353.341776020003</v>
      </c>
      <c r="F16" s="316">
        <v>25293.786531580001</v>
      </c>
      <c r="G16" s="4">
        <f t="shared" si="2"/>
        <v>74.582573128523848</v>
      </c>
      <c r="H16" s="4">
        <f t="shared" si="0"/>
        <v>8.3090667458672325</v>
      </c>
      <c r="I16" s="4">
        <f t="shared" si="1"/>
        <v>2.372411865217944</v>
      </c>
    </row>
    <row r="17" spans="2:9" ht="14.1" customHeight="1">
      <c r="B17" s="125" t="str">
        <f>IF(Indice_index!$Z$1=1,"Transferências correntes","Current transfers")</f>
        <v>Transferências correntes</v>
      </c>
      <c r="C17" s="316">
        <f>+C18+C19</f>
        <v>2909.63303963</v>
      </c>
      <c r="D17" s="4">
        <f>+D18+D19</f>
        <v>5921.1771640037095</v>
      </c>
      <c r="E17" s="316">
        <f>+E18+E19</f>
        <v>1997.513197380001</v>
      </c>
      <c r="F17" s="316">
        <f>+F18+F19</f>
        <v>2290.0587066900007</v>
      </c>
      <c r="G17" s="4">
        <f t="shared" si="2"/>
        <v>38.675733612765889</v>
      </c>
      <c r="H17" s="4">
        <f t="shared" si="0"/>
        <v>14.645485681582043</v>
      </c>
      <c r="I17" s="4">
        <f t="shared" si="1"/>
        <v>0.3576697741147366</v>
      </c>
    </row>
    <row r="18" spans="2:9" ht="14.1" customHeight="1">
      <c r="B18" s="172" t="str">
        <f>IF(Indice_index!$Z$1=1,"Administrações Públicas","General Government subsectors")</f>
        <v>Administrações Públicas</v>
      </c>
      <c r="C18" s="316">
        <v>150.90787217000002</v>
      </c>
      <c r="D18" s="4">
        <v>161.56608</v>
      </c>
      <c r="E18" s="316">
        <v>128.50316595999999</v>
      </c>
      <c r="F18" s="316">
        <v>105.72361535000002</v>
      </c>
      <c r="G18" s="4">
        <f t="shared" si="2"/>
        <v>65.436764542408909</v>
      </c>
      <c r="H18" s="4">
        <f t="shared" si="0"/>
        <v>-17.72683998858885</v>
      </c>
      <c r="I18" s="4">
        <f t="shared" si="1"/>
        <v>-2.7850561577003167E-2</v>
      </c>
    </row>
    <row r="19" spans="2:9" ht="14.1" customHeight="1">
      <c r="B19" s="172" t="str">
        <f>IF(Indice_index!$Z$1=1,"Outras","Others")</f>
        <v>Outras</v>
      </c>
      <c r="C19" s="316">
        <v>2758.7251674600002</v>
      </c>
      <c r="D19" s="4">
        <v>5759.6110840037099</v>
      </c>
      <c r="E19" s="316">
        <v>1869.010031420001</v>
      </c>
      <c r="F19" s="316">
        <v>2184.3350913400009</v>
      </c>
      <c r="G19" s="4">
        <f t="shared" si="2"/>
        <v>37.925044928929339</v>
      </c>
      <c r="H19" s="4">
        <f t="shared" si="0"/>
        <v>16.871234215924893</v>
      </c>
      <c r="I19" s="4">
        <f t="shared" si="1"/>
        <v>0.38552033569173988</v>
      </c>
    </row>
    <row r="20" spans="2:9" ht="14.1" customHeight="1">
      <c r="B20" s="125" t="str">
        <f>IF(Indice_index!$Z$1=1,"Outras receitas correntes","Other current revenue")</f>
        <v>Outras receitas correntes</v>
      </c>
      <c r="C20" s="316">
        <v>11525.699051669999</v>
      </c>
      <c r="D20" s="4">
        <v>12051.741306999997</v>
      </c>
      <c r="E20" s="316">
        <v>8227.4560043900055</v>
      </c>
      <c r="F20" s="316">
        <v>8406.1777989900002</v>
      </c>
      <c r="G20" s="4">
        <f t="shared" si="2"/>
        <v>69.750732154426942</v>
      </c>
      <c r="H20" s="4">
        <f t="shared" si="0"/>
        <v>2.1722607146684494</v>
      </c>
      <c r="I20" s="4">
        <f t="shared" si="1"/>
        <v>0.21850748642401197</v>
      </c>
    </row>
    <row r="21" spans="2:9" ht="14.1" customHeight="1">
      <c r="B21" s="125" t="str">
        <f>IF(Indice_index!$Z$1=1,"Diferenças de consolidação","Consolidation differences")</f>
        <v>Diferenças de consolidação</v>
      </c>
      <c r="C21" s="316">
        <v>226.88497584000336</v>
      </c>
      <c r="D21" s="4">
        <v>349.31377000000089</v>
      </c>
      <c r="E21" s="316">
        <v>216.55965010999824</v>
      </c>
      <c r="F21" s="316">
        <v>63.101167020004098</v>
      </c>
      <c r="G21" s="4"/>
      <c r="H21" s="4"/>
      <c r="I21" s="4"/>
    </row>
    <row r="22" spans="2:9" ht="14.1" customHeight="1">
      <c r="B22" s="174" t="str">
        <f>IF(Indice_index!$Z$1=1,"Receita de capital","Capital revenue")</f>
        <v>Receita de capital</v>
      </c>
      <c r="C22" s="315">
        <f>+C23+C24+C27+C28</f>
        <v>2474.7074459000014</v>
      </c>
      <c r="D22" s="134">
        <f>+D23+D24+D27+D28</f>
        <v>5871.354988000001</v>
      </c>
      <c r="E22" s="315">
        <f>+E23+E24+E27+E28</f>
        <v>1846.8258114799996</v>
      </c>
      <c r="F22" s="315">
        <f>+F23+F24+F27+F28</f>
        <v>1770.4124249099996</v>
      </c>
      <c r="G22" s="134">
        <f t="shared" si="2"/>
        <v>30.153387566045758</v>
      </c>
      <c r="H22" s="134">
        <f t="shared" ref="H22:H27" si="3">IF(IFERROR((F22-E22)/E22*100,"")&gt;500,"-",IFERROR((F22-E22)/E22*100,""))</f>
        <v>-4.137552447827459</v>
      </c>
      <c r="I22" s="134">
        <f t="shared" ref="I22:I27" si="4">IFERROR((F22-E22)/$E$29*100,"")</f>
        <v>-9.3423955740412901E-2</v>
      </c>
    </row>
    <row r="23" spans="2:9" ht="14.1" customHeight="1">
      <c r="B23" s="125" t="str">
        <f>IF(Indice_index!$Z$1=1,"Venda de bens de investimento","Sale of investment goods")</f>
        <v>Venda de bens de investimento</v>
      </c>
      <c r="C23" s="316">
        <v>91.187160490000011</v>
      </c>
      <c r="D23" s="4">
        <v>929.92605100000003</v>
      </c>
      <c r="E23" s="316">
        <v>60.694852390000015</v>
      </c>
      <c r="F23" s="316">
        <v>30.928821879999994</v>
      </c>
      <c r="G23" s="4">
        <f t="shared" si="2"/>
        <v>3.3259442346776447</v>
      </c>
      <c r="H23" s="4">
        <f t="shared" si="3"/>
        <v>-49.042100504233574</v>
      </c>
      <c r="I23" s="4">
        <f t="shared" si="4"/>
        <v>-3.6392318699113774E-2</v>
      </c>
    </row>
    <row r="24" spans="2:9" ht="14.1" customHeight="1">
      <c r="B24" s="125" t="str">
        <f>IF(Indice_index!$Z$1=1,"Transferências de capital","Capital transfers")</f>
        <v>Transferências de capital</v>
      </c>
      <c r="C24" s="316">
        <f>+C25+C26</f>
        <v>2218.5501950400012</v>
      </c>
      <c r="D24" s="4">
        <f>+D25+D26</f>
        <v>4825.1315980000008</v>
      </c>
      <c r="E24" s="316">
        <f>+E25+E26</f>
        <v>1627.1751047299995</v>
      </c>
      <c r="F24" s="316">
        <f>+F25+F26</f>
        <v>1614.4327244699996</v>
      </c>
      <c r="G24" s="4">
        <f t="shared" si="2"/>
        <v>33.458833022070863</v>
      </c>
      <c r="H24" s="4">
        <f t="shared" si="3"/>
        <v>-0.78309828013957106</v>
      </c>
      <c r="I24" s="4">
        <f t="shared" si="4"/>
        <v>-1.5578992410540666E-2</v>
      </c>
    </row>
    <row r="25" spans="2:9" ht="14.1" customHeight="1">
      <c r="B25" s="172" t="str">
        <f>IF(Indice_index!$Z$1=1,"Administrações Públicas","General Government subsectors")</f>
        <v>Administrações Públicas</v>
      </c>
      <c r="C25" s="316">
        <v>4.7503281200000007</v>
      </c>
      <c r="D25" s="4">
        <v>17.590014</v>
      </c>
      <c r="E25" s="316">
        <v>4.0523972600000002</v>
      </c>
      <c r="F25" s="316">
        <v>4.1145474699999998</v>
      </c>
      <c r="G25" s="4">
        <f t="shared" si="2"/>
        <v>23.391382576500504</v>
      </c>
      <c r="H25" s="4">
        <f t="shared" si="3"/>
        <v>1.5336652853229777</v>
      </c>
      <c r="I25" s="4">
        <f t="shared" si="4"/>
        <v>7.5985618867687889E-5</v>
      </c>
    </row>
    <row r="26" spans="2:9" ht="14.1" customHeight="1">
      <c r="B26" s="172" t="str">
        <f>IF(Indice_index!$Z$1=1,"Outras","Others")</f>
        <v>Outras</v>
      </c>
      <c r="C26" s="316">
        <v>2213.799866920001</v>
      </c>
      <c r="D26" s="4">
        <v>4807.5415840000005</v>
      </c>
      <c r="E26" s="316">
        <v>1623.1227074699996</v>
      </c>
      <c r="F26" s="316">
        <v>1610.3181769999997</v>
      </c>
      <c r="G26" s="4">
        <f t="shared" si="2"/>
        <v>33.495668188483414</v>
      </c>
      <c r="H26" s="4">
        <f t="shared" si="3"/>
        <v>-0.78888246779312499</v>
      </c>
      <c r="I26" s="4">
        <f t="shared" si="4"/>
        <v>-1.5654978029408385E-2</v>
      </c>
    </row>
    <row r="27" spans="2:9" ht="14.1" customHeight="1">
      <c r="B27" s="125" t="str">
        <f>IF(Indice_index!$Z$1=1,"Outras receitas de capital","Other capital revenue")</f>
        <v>Outras receitas de capital</v>
      </c>
      <c r="C27" s="316">
        <v>164.69949037000001</v>
      </c>
      <c r="D27" s="4">
        <v>11.153832000000001</v>
      </c>
      <c r="E27" s="316">
        <v>158.75290436</v>
      </c>
      <c r="F27" s="316">
        <v>122.77617644</v>
      </c>
      <c r="G27" s="4" t="str">
        <f t="shared" si="2"/>
        <v>-</v>
      </c>
      <c r="H27" s="4">
        <f t="shared" si="3"/>
        <v>-22.662091169315854</v>
      </c>
      <c r="I27" s="4">
        <f t="shared" si="4"/>
        <v>-4.3985594511034572E-2</v>
      </c>
    </row>
    <row r="28" spans="2:9" ht="14.1" customHeight="1">
      <c r="B28" s="125" t="str">
        <f>IF(Indice_index!$Z$1=1,"Diferenças de consolidação","Consolidation differences")</f>
        <v>Diferenças de consolidação</v>
      </c>
      <c r="C28" s="316">
        <v>0.27059999999999995</v>
      </c>
      <c r="D28" s="4">
        <v>105.14350700000007</v>
      </c>
      <c r="E28" s="316">
        <v>0.20294999999999999</v>
      </c>
      <c r="F28" s="316">
        <v>2.2747021200000046</v>
      </c>
      <c r="G28" s="4"/>
      <c r="H28" s="4"/>
      <c r="I28" s="4"/>
    </row>
    <row r="29" spans="2:9" ht="14.1" customHeight="1">
      <c r="B29" s="30" t="str">
        <f>IF(Indice_index!$Z$1=1,"Receita efetiva","Effective revenue")</f>
        <v>Receita efetiva</v>
      </c>
      <c r="C29" s="18">
        <f>+C12+C22</f>
        <v>110925.98978835001</v>
      </c>
      <c r="D29" s="18">
        <f>+D12+D22</f>
        <v>122506.05431700373</v>
      </c>
      <c r="E29" s="18">
        <f>+E12+E22</f>
        <v>81792.069244339975</v>
      </c>
      <c r="F29" s="18">
        <f>+F12+F22</f>
        <v>86585.279122690015</v>
      </c>
      <c r="G29" s="18">
        <f>IFERROR(IF(F29/D29*100&lt;-500,"-",IF(F29/D29*100&gt;500,"-",F29/D29*100)),"-")</f>
        <v>70.678367371654105</v>
      </c>
      <c r="H29" s="18">
        <f t="shared" ref="H29:H41" si="5">IF(IFERROR((F29-E29)/E29*100,"")&gt;500,"-",IFERROR((F29-E29)/E29*100,""))</f>
        <v>5.8602379456022033</v>
      </c>
      <c r="I29" s="18"/>
    </row>
    <row r="30" spans="2:9" ht="14.1" customHeight="1">
      <c r="B30" s="174" t="str">
        <f>IF(Indice_index!$Z$1=1,"Despesa corrente","Current expenditure")</f>
        <v>Despesa corrente</v>
      </c>
      <c r="C30" s="134">
        <f>+C31+C35+C36+C37+C40+C41+C42</f>
        <v>103529.12685373001</v>
      </c>
      <c r="D30" s="134">
        <f>+D31+D35+D36+D37+D40+D41+D42</f>
        <v>112088.39360300171</v>
      </c>
      <c r="E30" s="134">
        <f>+E31+E35+E36+E37+E40+E41+E42</f>
        <v>72073.723362830016</v>
      </c>
      <c r="F30" s="134">
        <f>+F31+F35+F36+F37+F40+F41+F42</f>
        <v>76497.090242000006</v>
      </c>
      <c r="G30" s="134">
        <f t="shared" ref="G30:G48" si="6">IFERROR(IF(F30/D30*100&lt;-500,"-",IF(F30/D30*100&gt;500,"-",F30/D30*100)),"-")</f>
        <v>68.247110858720902</v>
      </c>
      <c r="H30" s="134">
        <f t="shared" si="5"/>
        <v>6.1372809295588793</v>
      </c>
      <c r="I30" s="134">
        <f t="shared" ref="I30:I41" si="7">IFERROR((F30-E30)/$E$50*100,"")</f>
        <v>5.739824305860096</v>
      </c>
    </row>
    <row r="31" spans="2:9" ht="14.1" customHeight="1">
      <c r="B31" s="125" t="str">
        <f>IF(Indice_index!$Z$1=1,"Despesas com o pessoal","Employees")</f>
        <v>Despesas com o pessoal</v>
      </c>
      <c r="C31" s="4">
        <f>+C32+C33+C34</f>
        <v>22278.403720169998</v>
      </c>
      <c r="D31" s="4">
        <f>+D32+D33+D34</f>
        <v>23591.003230999999</v>
      </c>
      <c r="E31" s="4">
        <f>+E32+E33+E34</f>
        <v>15851.389623910005</v>
      </c>
      <c r="F31" s="4">
        <f>+F32+F33+F34</f>
        <v>17265.48929533</v>
      </c>
      <c r="G31" s="4">
        <f t="shared" si="6"/>
        <v>73.186753129015329</v>
      </c>
      <c r="H31" s="4">
        <f t="shared" si="5"/>
        <v>8.9209823553071228</v>
      </c>
      <c r="I31" s="4">
        <f t="shared" si="7"/>
        <v>1.8349560157778049</v>
      </c>
    </row>
    <row r="32" spans="2:9" ht="14.1" customHeight="1">
      <c r="B32" s="172" t="str">
        <f>IF(Indice_index!$Z$1=1,"Remunerações certas e permanentes","Certain and permanent wages")</f>
        <v>Remunerações certas e permanentes</v>
      </c>
      <c r="C32" s="4">
        <v>15827.623098309998</v>
      </c>
      <c r="D32" s="4">
        <v>17101.184700518217</v>
      </c>
      <c r="E32" s="4">
        <v>11244.589358510006</v>
      </c>
      <c r="F32" s="4">
        <v>12258.73101489</v>
      </c>
      <c r="G32" s="4">
        <f t="shared" si="6"/>
        <v>71.68351918050756</v>
      </c>
      <c r="H32" s="4">
        <f t="shared" si="5"/>
        <v>9.0189301187106707</v>
      </c>
      <c r="I32" s="4">
        <f t="shared" si="7"/>
        <v>1.31596475894565</v>
      </c>
    </row>
    <row r="33" spans="2:9" ht="14.1" customHeight="1">
      <c r="B33" s="172" t="str">
        <f>IF(Indice_index!$Z$1=1,"Abonos variáveis ou eventuais","Variable or contingent bonuses")</f>
        <v>Abonos variáveis ou eventuais</v>
      </c>
      <c r="C33" s="4">
        <v>1689.3416919199997</v>
      </c>
      <c r="D33" s="4">
        <v>1727.4630888273077</v>
      </c>
      <c r="E33" s="4">
        <v>1239.2300931500001</v>
      </c>
      <c r="F33" s="4">
        <v>1360.2196751900003</v>
      </c>
      <c r="G33" s="4">
        <f t="shared" si="6"/>
        <v>78.740882163415066</v>
      </c>
      <c r="H33" s="4">
        <f t="shared" si="5"/>
        <v>9.7632863104911092</v>
      </c>
      <c r="I33" s="4">
        <f t="shared" si="7"/>
        <v>0.15699781698400678</v>
      </c>
    </row>
    <row r="34" spans="2:9" ht="14.1" customHeight="1">
      <c r="B34" s="172" t="str">
        <f>IF(Indice_index!$Z$1=1,"Segurança social","Social security")</f>
        <v>Segurança social</v>
      </c>
      <c r="C34" s="4">
        <v>4761.43892994</v>
      </c>
      <c r="D34" s="4">
        <v>4762.3554416544748</v>
      </c>
      <c r="E34" s="4">
        <v>3367.5701722500003</v>
      </c>
      <c r="F34" s="4">
        <v>3646.5386052500003</v>
      </c>
      <c r="G34" s="4">
        <f t="shared" si="6"/>
        <v>76.570063909030011</v>
      </c>
      <c r="H34" s="4">
        <f t="shared" si="5"/>
        <v>8.2839679273442037</v>
      </c>
      <c r="I34" s="4">
        <f t="shared" si="7"/>
        <v>0.36199343984814625</v>
      </c>
    </row>
    <row r="35" spans="2:9" ht="14.1" customHeight="1">
      <c r="B35" s="125" t="str">
        <f>IF(Indice_index!$Z$1=1,"Aquisição de bens e serviços","Purchase of goods and services")</f>
        <v>Aquisição de bens e serviços</v>
      </c>
      <c r="C35" s="4">
        <v>14122.058171280003</v>
      </c>
      <c r="D35" s="4">
        <v>15683.157079999999</v>
      </c>
      <c r="E35" s="4">
        <v>8729.6533265299877</v>
      </c>
      <c r="F35" s="4">
        <v>8780.0686573300063</v>
      </c>
      <c r="G35" s="4">
        <f t="shared" si="6"/>
        <v>55.984063747769376</v>
      </c>
      <c r="H35" s="4">
        <f t="shared" si="5"/>
        <v>0.57751813175447808</v>
      </c>
      <c r="I35" s="4">
        <f t="shared" si="7"/>
        <v>6.5419656342912968E-2</v>
      </c>
    </row>
    <row r="36" spans="2:9" ht="14.1" customHeight="1">
      <c r="B36" s="125" t="str">
        <f>IF(Indice_index!$Z$1=1,"Juros e outros encargos","Interests and other charges")</f>
        <v>Juros e outros encargos</v>
      </c>
      <c r="C36" s="4">
        <v>6690.4704083999995</v>
      </c>
      <c r="D36" s="4">
        <v>6841.8314819999996</v>
      </c>
      <c r="E36" s="4">
        <v>4858.5789036399974</v>
      </c>
      <c r="F36" s="4">
        <v>4811.8707075300008</v>
      </c>
      <c r="G36" s="4">
        <f t="shared" si="6"/>
        <v>70.330155312790581</v>
      </c>
      <c r="H36" s="4">
        <f>IF(IFERROR((F36-E36)/E36*100,"")&gt;500,"-",IFERROR((F36-E36)/E36*100,""))</f>
        <v>-0.96135510066540864</v>
      </c>
      <c r="I36" s="4">
        <f t="shared" si="7"/>
        <v>-6.0609225198463491E-2</v>
      </c>
    </row>
    <row r="37" spans="2:9" ht="14.1" customHeight="1">
      <c r="B37" s="125" t="str">
        <f>IF(Indice_index!$Z$1=1,"Transferências correntes","Current transfers")</f>
        <v>Transferências correntes</v>
      </c>
      <c r="C37" s="4">
        <f>+C38+C39</f>
        <v>58321.847680050007</v>
      </c>
      <c r="D37" s="4">
        <f>+D38+D39</f>
        <v>61546.805773</v>
      </c>
      <c r="E37" s="4">
        <f>+E38+E39</f>
        <v>41154.592184460016</v>
      </c>
      <c r="F37" s="4">
        <f>+F38+F39</f>
        <v>43954.838756929996</v>
      </c>
      <c r="G37" s="4">
        <f t="shared" si="6"/>
        <v>71.416929286381531</v>
      </c>
      <c r="H37" s="4">
        <f>IF(IFERROR((F37-E37)/E37*100,"")&gt;500,"-",IFERROR((F37-E37)/E37*100,""))</f>
        <v>6.8042141200644748</v>
      </c>
      <c r="I37" s="4">
        <f t="shared" si="7"/>
        <v>3.633640115802597</v>
      </c>
    </row>
    <row r="38" spans="2:9" ht="14.1" customHeight="1">
      <c r="B38" s="172" t="str">
        <f>IF(Indice_index!$Z$1=1,"Administrações Públicas","General Government subsectors")</f>
        <v>Administrações Públicas</v>
      </c>
      <c r="C38" s="4">
        <v>6127.6547864299991</v>
      </c>
      <c r="D38" s="4">
        <v>7156.8416510000006</v>
      </c>
      <c r="E38" s="4">
        <v>4384.6824854700008</v>
      </c>
      <c r="F38" s="4">
        <v>4918.7699877899995</v>
      </c>
      <c r="G38" s="4">
        <f t="shared" si="6"/>
        <v>68.728221576660388</v>
      </c>
      <c r="H38" s="4">
        <f>IF(IFERROR((F38-E38)/E38*100,"")&gt;500,"-",IFERROR((F38-E38)/E38*100,""))</f>
        <v>12.180756624678358</v>
      </c>
      <c r="I38" s="4">
        <f t="shared" si="7"/>
        <v>0.69303960331856296</v>
      </c>
    </row>
    <row r="39" spans="2:9" ht="14.1" customHeight="1">
      <c r="B39" s="172" t="str">
        <f>IF(Indice_index!$Z$1=1,"Outras","Others")</f>
        <v>Outras</v>
      </c>
      <c r="C39" s="4">
        <v>52194.192893620006</v>
      </c>
      <c r="D39" s="4">
        <v>54389.964121999998</v>
      </c>
      <c r="E39" s="4">
        <v>36769.909698990014</v>
      </c>
      <c r="F39" s="4">
        <v>39036.068769139994</v>
      </c>
      <c r="G39" s="4">
        <f t="shared" si="6"/>
        <v>71.770719836438417</v>
      </c>
      <c r="H39" s="4">
        <f>IF(IFERROR((F39-E39)/E39*100,"")&gt;500,"-",IFERROR((F39-E39)/E39*100,""))</f>
        <v>6.1630803249218404</v>
      </c>
      <c r="I39" s="4">
        <f t="shared" si="7"/>
        <v>2.9406005124840346</v>
      </c>
    </row>
    <row r="40" spans="2:9" ht="14.1" customHeight="1">
      <c r="B40" s="125" t="str">
        <f>IF(Indice_index!$Z$1=1,"Subsídios","Subsidies")</f>
        <v>Subsídios</v>
      </c>
      <c r="C40" s="4">
        <v>1364.0106439900001</v>
      </c>
      <c r="D40" s="4">
        <v>2025.4976709956468</v>
      </c>
      <c r="E40" s="4">
        <v>921.47437656</v>
      </c>
      <c r="F40" s="4">
        <v>1234.66151223</v>
      </c>
      <c r="G40" s="4">
        <f t="shared" si="6"/>
        <v>60.955958128704921</v>
      </c>
      <c r="H40" s="4">
        <f>IF(IFERROR((F40-E40)/E40*100,"")&gt;500,"-",IFERROR((F40-E40)/E40*100,""))</f>
        <v>33.987611987559966</v>
      </c>
      <c r="I40" s="4">
        <f t="shared" si="7"/>
        <v>0.40639611922461255</v>
      </c>
    </row>
    <row r="41" spans="2:9" ht="14.1" customHeight="1">
      <c r="B41" s="125" t="str">
        <f>IF(Indice_index!$Z$1=1,"Outras despesas correntes","Other current expenditure")</f>
        <v>Outras despesas correntes</v>
      </c>
      <c r="C41" s="4">
        <v>724.41563165000002</v>
      </c>
      <c r="D41" s="4">
        <v>2377.7048690000001</v>
      </c>
      <c r="E41" s="4">
        <v>430.51431496000021</v>
      </c>
      <c r="F41" s="4">
        <v>306.31256498999988</v>
      </c>
      <c r="G41" s="4">
        <f t="shared" si="6"/>
        <v>12.882699151759185</v>
      </c>
      <c r="H41" s="4">
        <f t="shared" si="5"/>
        <v>-28.849621407255672</v>
      </c>
      <c r="I41" s="4">
        <f t="shared" si="7"/>
        <v>-0.16116597216144454</v>
      </c>
    </row>
    <row r="42" spans="2:9" ht="14.1" customHeight="1">
      <c r="B42" s="125" t="str">
        <f>IF(Indice_index!$Z$1=1,"Diferenças de consolidação","Consolidation differences")</f>
        <v>Diferenças de consolidação</v>
      </c>
      <c r="C42" s="4">
        <v>27.920598189999026</v>
      </c>
      <c r="D42" s="4">
        <v>22.39349700606159</v>
      </c>
      <c r="E42" s="4">
        <v>127.52063277000239</v>
      </c>
      <c r="F42" s="4">
        <v>143.84874765999845</v>
      </c>
      <c r="G42" s="4"/>
      <c r="H42" s="4"/>
      <c r="I42" s="4"/>
    </row>
    <row r="43" spans="2:9" ht="14.1" customHeight="1">
      <c r="B43" s="174" t="str">
        <f>IF(Indice_index!$Z$1=1,"Despesa de capital","Capital expenditure")</f>
        <v>Despesa de capital</v>
      </c>
      <c r="C43" s="134">
        <f>+C44+C45+C48+C49</f>
        <v>7997.7728435100007</v>
      </c>
      <c r="D43" s="134">
        <f>+D44+D45+D48+D49</f>
        <v>12654.782887999998</v>
      </c>
      <c r="E43" s="134">
        <f>+E44+E45+E48+E49</f>
        <v>4990.7762361200021</v>
      </c>
      <c r="F43" s="134">
        <f>+F44+F45+F48+F49</f>
        <v>5110.0405794300004</v>
      </c>
      <c r="G43" s="134">
        <f t="shared" si="6"/>
        <v>40.380310153528107</v>
      </c>
      <c r="H43" s="134">
        <f t="shared" ref="H43:H48" si="8">IF(IFERROR((F43-E43)/E43*100,"")&gt;500,"-",IFERROR((F43-E43)/E43*100,""))</f>
        <v>2.389695263170494</v>
      </c>
      <c r="I43" s="134">
        <f t="shared" ref="I43:I48" si="9">IFERROR((F43-E43)/$E$50*100,"")</f>
        <v>0.15475912246320914</v>
      </c>
    </row>
    <row r="44" spans="2:9" ht="14.1" customHeight="1">
      <c r="B44" s="125" t="str">
        <f>IF(Indice_index!$Z$1=1,"Investimento","Investments")</f>
        <v>Investimento</v>
      </c>
      <c r="C44" s="4">
        <v>4640.9715654199999</v>
      </c>
      <c r="D44" s="4">
        <v>8064.5358319999996</v>
      </c>
      <c r="E44" s="4">
        <v>2615.1871362800016</v>
      </c>
      <c r="F44" s="4">
        <v>2793.2518218100008</v>
      </c>
      <c r="G44" s="4">
        <f t="shared" si="6"/>
        <v>34.636237968295767</v>
      </c>
      <c r="H44" s="4">
        <f t="shared" si="8"/>
        <v>6.8088697386026871</v>
      </c>
      <c r="I44" s="4">
        <f t="shared" si="9"/>
        <v>0.23105928988919994</v>
      </c>
    </row>
    <row r="45" spans="2:9" ht="14.1" customHeight="1">
      <c r="B45" s="125" t="str">
        <f>IF(Indice_index!$Z$1=1,"Transferências de capital","Capital transfers")</f>
        <v>Transferências de capital</v>
      </c>
      <c r="C45" s="4">
        <f>+C46+C47</f>
        <v>2816.9210490400001</v>
      </c>
      <c r="D45" s="4">
        <f>+D46+D47</f>
        <v>4336.6542650000001</v>
      </c>
      <c r="E45" s="4">
        <f>+E46+E47</f>
        <v>1740.2544567499999</v>
      </c>
      <c r="F45" s="4">
        <f>+F46+F47</f>
        <v>2148.7332815799996</v>
      </c>
      <c r="G45" s="4">
        <f t="shared" si="6"/>
        <v>49.548180469950367</v>
      </c>
      <c r="H45" s="4">
        <f t="shared" si="8"/>
        <v>23.472361943715487</v>
      </c>
      <c r="I45" s="4">
        <f t="shared" si="9"/>
        <v>0.53004798182789359</v>
      </c>
    </row>
    <row r="46" spans="2:9" ht="14.1" customHeight="1">
      <c r="B46" s="172" t="str">
        <f>IF(Indice_index!$Z$1=1,"Administrações Públicas","General Government subsectors")</f>
        <v>Administrações Públicas</v>
      </c>
      <c r="C46" s="4">
        <v>1353.7714555500002</v>
      </c>
      <c r="D46" s="4">
        <v>1466.96408</v>
      </c>
      <c r="E46" s="4">
        <v>781.56443967000007</v>
      </c>
      <c r="F46" s="4">
        <v>1179.5450736899998</v>
      </c>
      <c r="G46" s="4">
        <f t="shared" si="6"/>
        <v>80.407222628791274</v>
      </c>
      <c r="H46" s="4">
        <f t="shared" si="8"/>
        <v>50.921026318449059</v>
      </c>
      <c r="I46" s="4">
        <f t="shared" si="9"/>
        <v>0.51642537885942752</v>
      </c>
    </row>
    <row r="47" spans="2:9" ht="14.1" customHeight="1">
      <c r="B47" s="172" t="str">
        <f>IF(Indice_index!$Z$1=1,"Outras","Others")</f>
        <v>Outras</v>
      </c>
      <c r="C47" s="4">
        <v>1463.1495934899999</v>
      </c>
      <c r="D47" s="4">
        <v>2869.6901849999999</v>
      </c>
      <c r="E47" s="4">
        <v>958.69001707999996</v>
      </c>
      <c r="F47" s="4">
        <v>969.18820788999983</v>
      </c>
      <c r="G47" s="4">
        <f t="shared" si="6"/>
        <v>33.77326977511337</v>
      </c>
      <c r="H47" s="4">
        <f t="shared" si="8"/>
        <v>1.0950558181439605</v>
      </c>
      <c r="I47" s="4">
        <f t="shared" si="9"/>
        <v>1.3622602968465788E-2</v>
      </c>
    </row>
    <row r="48" spans="2:9" ht="14.1" customHeight="1">
      <c r="B48" s="125" t="str">
        <f>IF(Indice_index!$Z$1=1,"Outras despesas de capital","Other capital expenditure")</f>
        <v>Outras despesas de capital</v>
      </c>
      <c r="C48" s="4">
        <v>314.99973122000006</v>
      </c>
      <c r="D48" s="4">
        <v>253.59279100000001</v>
      </c>
      <c r="E48" s="4">
        <v>135.64511694999999</v>
      </c>
      <c r="F48" s="4">
        <v>84.030740620000003</v>
      </c>
      <c r="G48" s="4">
        <f t="shared" si="6"/>
        <v>33.136092035045273</v>
      </c>
      <c r="H48" s="4">
        <f t="shared" si="8"/>
        <v>-38.051038983604187</v>
      </c>
      <c r="I48" s="4">
        <f t="shared" si="9"/>
        <v>-6.6975555020282282E-2</v>
      </c>
    </row>
    <row r="49" spans="2:9" ht="14.1" customHeight="1">
      <c r="B49" s="125" t="str">
        <f>IF(Indice_index!$Z$1=1,"Diferenças de consolidação","Consolidation differences")</f>
        <v>Diferenças de consolidação</v>
      </c>
      <c r="C49" s="4">
        <v>224.88049783000037</v>
      </c>
      <c r="D49" s="4">
        <v>0</v>
      </c>
      <c r="E49" s="4">
        <v>499.68952614000011</v>
      </c>
      <c r="F49" s="4">
        <v>84.024735420000283</v>
      </c>
      <c r="G49" s="4"/>
      <c r="H49" s="4"/>
      <c r="I49" s="4"/>
    </row>
    <row r="50" spans="2:9" ht="14.1" customHeight="1">
      <c r="B50" s="30" t="str">
        <f>IF(Indice_index!$Z$1=1,"Despesa efetiva","Effective Expenditure")</f>
        <v>Despesa efetiva</v>
      </c>
      <c r="C50" s="18">
        <f>+C30+C43</f>
        <v>111526.89969724001</v>
      </c>
      <c r="D50" s="18">
        <f>+D30+D43</f>
        <v>124743.17649100171</v>
      </c>
      <c r="E50" s="18">
        <f>+E30+E43</f>
        <v>77064.499598950017</v>
      </c>
      <c r="F50" s="18">
        <f>+F30+F43</f>
        <v>81607.130821430008</v>
      </c>
      <c r="G50" s="18">
        <f>IFERROR(IF(F50/D50*100&lt;-500,"-",IF(F50/D50*100&gt;500,"-",F50/D50*100)),"-")</f>
        <v>65.420116047242644</v>
      </c>
      <c r="H50" s="18">
        <f>IF(IFERROR((F50-E50)/E50*100,"")&gt;500,"-",IFERROR((F50-E50)/E50*100,""))</f>
        <v>5.8945834283233101</v>
      </c>
      <c r="I50" s="18"/>
    </row>
    <row r="51" spans="2:9" ht="14.1" customHeight="1">
      <c r="B51" s="30" t="str">
        <f>IF(Indice_index!$Z$1=1,"Saldo global","Overall balance")</f>
        <v>Saldo global</v>
      </c>
      <c r="C51" s="18">
        <f>+C29-C50</f>
        <v>-600.90990888999659</v>
      </c>
      <c r="D51" s="18">
        <f>+D29-D50</f>
        <v>-2237.122173997981</v>
      </c>
      <c r="E51" s="18">
        <f>+E29-E50</f>
        <v>4727.5696453899582</v>
      </c>
      <c r="F51" s="18">
        <f>+F29-F50</f>
        <v>4978.1483012600074</v>
      </c>
      <c r="G51" s="18"/>
      <c r="H51" s="18"/>
      <c r="I51" s="18"/>
    </row>
    <row r="52" spans="2:9" ht="14.1" customHeight="1">
      <c r="B52" s="125" t="str">
        <f>IF(Indice_index!$Z$1=1,"Despesa primária","Primary expenditure")</f>
        <v>Despesa primária</v>
      </c>
      <c r="C52" s="4">
        <f>+C50-C36</f>
        <v>104836.42928884001</v>
      </c>
      <c r="D52" s="4">
        <f>+D50-D36</f>
        <v>117901.34500900171</v>
      </c>
      <c r="E52" s="4">
        <f>+E50-E36</f>
        <v>72205.920695310022</v>
      </c>
      <c r="F52" s="4">
        <f>+F50-F36</f>
        <v>76795.260113900003</v>
      </c>
      <c r="G52" s="4">
        <f>IFERROR(IF(F52/D52*100&lt;-500,"-",IF(F52/D52*100&gt;500,"-",F52/D52*100)),"-")</f>
        <v>65.13518578438331</v>
      </c>
      <c r="H52" s="4">
        <f>IF(IFERROR((F52-E52)/E52*100,"")&gt;500,"-",IFERROR((F52-E52)/E52*100,""))</f>
        <v>6.3559045773486993</v>
      </c>
      <c r="I52" s="4">
        <f>IFERROR((F52-E52)/$E$50*100,"")</f>
        <v>5.955192653521765</v>
      </c>
    </row>
    <row r="53" spans="2:9" ht="14.1" customHeight="1">
      <c r="B53" s="125" t="str">
        <f>IF(Indice_index!$Z$1=1,"Saldo corrente","Current balance")</f>
        <v>Saldo corrente</v>
      </c>
      <c r="C53" s="4">
        <f>+C12-C30</f>
        <v>4922.1554887200036</v>
      </c>
      <c r="D53" s="4">
        <f>+D12-D30</f>
        <v>4546.3057260020141</v>
      </c>
      <c r="E53" s="4">
        <f>+E12-E30</f>
        <v>7871.5200700299611</v>
      </c>
      <c r="F53" s="4">
        <f>+F12-F30</f>
        <v>8317.776455780011</v>
      </c>
      <c r="G53" s="4"/>
      <c r="H53" s="4"/>
      <c r="I53" s="4"/>
    </row>
    <row r="54" spans="2:9" ht="14.1" customHeight="1">
      <c r="B54" s="125" t="str">
        <f>IF(Indice_index!$Z$1=1,"Saldo de capital","Capital balance")</f>
        <v>Saldo de capital</v>
      </c>
      <c r="C54" s="4">
        <f>+C22-C43</f>
        <v>-5523.0653976099993</v>
      </c>
      <c r="D54" s="4">
        <f>+D22-D43</f>
        <v>-6783.427899999997</v>
      </c>
      <c r="E54" s="4">
        <f>+E22-E43</f>
        <v>-3143.9504246400024</v>
      </c>
      <c r="F54" s="4">
        <f>+F22-F43</f>
        <v>-3339.6281545200009</v>
      </c>
      <c r="G54" s="4"/>
      <c r="H54" s="4"/>
      <c r="I54" s="4"/>
    </row>
    <row r="55" spans="2:9" ht="14.1" customHeight="1">
      <c r="B55" s="125" t="str">
        <f>IF(Indice_index!$Z$1=1,"Saldo primário","Primary balance")</f>
        <v>Saldo primário</v>
      </c>
      <c r="C55" s="4">
        <f>+C51+C36</f>
        <v>6089.560499510003</v>
      </c>
      <c r="D55" s="4">
        <f>+D51+D36</f>
        <v>4604.7093080020186</v>
      </c>
      <c r="E55" s="4">
        <f>+E51+E36</f>
        <v>9586.1485490299565</v>
      </c>
      <c r="F55" s="4">
        <f>+F51+F36</f>
        <v>9790.0190087900082</v>
      </c>
      <c r="G55" s="4"/>
      <c r="H55" s="4"/>
      <c r="I55" s="4"/>
    </row>
    <row r="56" spans="2:9" ht="14.1" customHeight="1">
      <c r="B56" s="125" t="str">
        <f>IF(Indice_index!$Z$1=1,"Ativos financeiros líquidos de reembolsos","Financial assets net of reimbursements")</f>
        <v>Ativos financeiros líquidos de reembolsos</v>
      </c>
      <c r="C56" s="4">
        <v>3520.3529087000006</v>
      </c>
      <c r="D56" s="4">
        <v>10527.073883999998</v>
      </c>
      <c r="E56" s="4">
        <v>3821.2908727800027</v>
      </c>
      <c r="F56" s="4">
        <v>1738.9674996199999</v>
      </c>
      <c r="G56" s="4"/>
      <c r="H56" s="4"/>
      <c r="I56" s="4"/>
    </row>
    <row r="57" spans="2:9" ht="14.1" customHeight="1">
      <c r="B57" s="287" t="str">
        <f>IF(Indice_index!$Z$1=1,"dos quais Receitas de:","of which revenue from:")</f>
        <v>dos quais Receitas de:</v>
      </c>
      <c r="C57" s="4"/>
      <c r="D57" s="4"/>
      <c r="E57" s="4"/>
      <c r="F57" s="4"/>
      <c r="G57" s="4"/>
      <c r="H57" s="4"/>
      <c r="I57" s="4"/>
    </row>
    <row r="58" spans="2:9" ht="14.1" customHeight="1">
      <c r="B58" s="307" t="str">
        <f>IF(Indice_index!$Z$1=1,"Alienação de partes de capital","Disposal of Capital Shares")</f>
        <v>Alienação de partes de capital</v>
      </c>
      <c r="C58" s="4">
        <v>0</v>
      </c>
      <c r="D58" s="4">
        <v>0</v>
      </c>
      <c r="E58" s="4">
        <v>0</v>
      </c>
      <c r="F58" s="4">
        <v>0</v>
      </c>
      <c r="G58" s="4"/>
      <c r="H58" s="4"/>
      <c r="I58" s="4"/>
    </row>
    <row r="59" spans="2:9" ht="14.1" customHeight="1">
      <c r="B59" s="173" t="str">
        <f>IF(Indice_index!$Z$1=1,"Passivos financeiros líquidos de amortizações","Financial liabilities net of amortizations")</f>
        <v>Passivos financeiros líquidos de amortizações</v>
      </c>
      <c r="C59" s="19">
        <v>5806.7710468800069</v>
      </c>
      <c r="D59" s="19">
        <v>18272.224503000005</v>
      </c>
      <c r="E59" s="19">
        <v>551.51811687002566</v>
      </c>
      <c r="F59" s="19">
        <v>15920.286027630005</v>
      </c>
      <c r="G59" s="19"/>
      <c r="H59" s="19"/>
      <c r="I59" s="19"/>
    </row>
    <row r="60" spans="2:9" ht="15">
      <c r="B60" s="9" t="str">
        <f>IF(Indice_index!$Z$1=1,"Nota:","Note:")</f>
        <v>Nota:</v>
      </c>
      <c r="C60" s="9"/>
      <c r="D60" s="9"/>
      <c r="E60" s="9"/>
      <c r="F60" s="9"/>
      <c r="G60" s="9"/>
      <c r="H60" s="9"/>
      <c r="I60" s="9"/>
    </row>
    <row r="61" spans="2:9" ht="15">
      <c r="B61" s="392"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392"/>
      <c r="D61" s="392"/>
      <c r="E61" s="392"/>
      <c r="F61" s="392"/>
      <c r="G61" s="392"/>
      <c r="H61" s="392"/>
      <c r="I61" s="392"/>
    </row>
    <row r="62" spans="2:9" ht="15">
      <c r="B62" s="152" t="str">
        <f>IF(Indice_index!$Z$1=1,"Fonte: Entidade Orçamental.","Source: Budgetary Entity.")</f>
        <v>Fonte: Entidade Orçamental.</v>
      </c>
      <c r="C62" s="152"/>
      <c r="D62" s="152"/>
      <c r="E62" s="29"/>
      <c r="F62" s="189"/>
      <c r="I62" s="153"/>
    </row>
    <row r="63" spans="2:9" ht="14.85" customHeight="1"/>
  </sheetData>
  <mergeCells count="4">
    <mergeCell ref="B10:B11"/>
    <mergeCell ref="E10:F10"/>
    <mergeCell ref="H10:I10"/>
    <mergeCell ref="B61:I61"/>
  </mergeCells>
  <conditionalFormatting sqref="C12:I28">
    <cfRule type="cellIs" dxfId="72" priority="1" operator="equal">
      <formula>0</formula>
    </cfRule>
  </conditionalFormatting>
  <conditionalFormatting sqref="C30:I49">
    <cfRule type="cellIs" dxfId="71" priority="2" operator="equal">
      <formula>0</formula>
    </cfRule>
  </conditionalFormatting>
  <conditionalFormatting sqref="C52:I59">
    <cfRule type="cellIs" dxfId="70" priority="3"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D12" formula="1"/>
    <ignoredError sqref="B62"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47" customWidth="1"/>
    <col min="2" max="2" width="37.5703125" style="47" customWidth="1"/>
    <col min="3" max="4" width="10.42578125" style="47" customWidth="1"/>
    <col min="5" max="6" width="10.42578125" style="48" customWidth="1"/>
    <col min="7" max="9" width="10.42578125" style="47" customWidth="1"/>
    <col min="10" max="10" width="8.5703125" style="47" customWidth="1"/>
    <col min="11" max="16384" width="8.5703125" hidden="1"/>
  </cols>
  <sheetData>
    <row r="1" spans="1:10" ht="15" customHeight="1"/>
    <row r="2" spans="1:10" ht="15" customHeight="1"/>
    <row r="3" spans="1:10"/>
    <row r="4" spans="1:10" ht="15" customHeight="1"/>
    <row r="5" spans="1:10" ht="18" customHeight="1">
      <c r="A5"/>
      <c r="B5" s="269" t="str">
        <f>IF(Indice_index!$Z$1=1,"ANEXOS ESTATÍSTICOS","STATISTICAL ANNEXES")</f>
        <v>ANEXOS ESTATÍSTICOS</v>
      </c>
      <c r="C5"/>
      <c r="D5"/>
      <c r="E5"/>
      <c r="F5"/>
      <c r="G5"/>
      <c r="H5"/>
      <c r="I5"/>
      <c r="J5"/>
    </row>
    <row r="6" spans="1:10" ht="18" customHeight="1">
      <c r="A6"/>
      <c r="B6" s="270" t="str">
        <f>IF(Indice_index!$Z$1=1,"Setembro de 2025","September 2025")</f>
        <v>Setembro de 2025</v>
      </c>
      <c r="C6"/>
      <c r="D6"/>
      <c r="E6"/>
      <c r="F6"/>
      <c r="G6"/>
      <c r="H6"/>
      <c r="I6"/>
      <c r="J6"/>
    </row>
    <row r="7" spans="1:10" ht="44.25" customHeight="1">
      <c r="B7" s="12"/>
      <c r="C7" s="13"/>
      <c r="D7" s="11"/>
      <c r="E7" s="11"/>
      <c r="F7" s="11"/>
      <c r="G7" s="11"/>
      <c r="H7" s="11"/>
      <c r="I7" s="11"/>
    </row>
    <row r="8" spans="1:10">
      <c r="B8" s="1" t="str">
        <f>IF(Indice_index!$Z$1=1,"Quadro 4 - Conta Consolidada da Administração Central","4 - Central Government Account")</f>
        <v>Quadro 4 - Conta Consolidada da Administração Central</v>
      </c>
      <c r="C8" s="2"/>
      <c r="D8" s="2"/>
      <c r="E8" s="2"/>
      <c r="F8" s="2"/>
      <c r="G8" s="2"/>
      <c r="H8" s="2"/>
      <c r="I8" s="2"/>
    </row>
    <row r="9" spans="1:10" ht="15">
      <c r="B9" s="3" t="str">
        <f>+'3 - Conta AC + SS'!B9</f>
        <v>Período: janeiro a setembro</v>
      </c>
      <c r="C9" s="3"/>
      <c r="D9" s="3"/>
      <c r="E9" s="3"/>
      <c r="F9" s="3"/>
      <c r="G9" s="3"/>
      <c r="H9" s="3"/>
      <c r="I9" s="3" t="str">
        <f>IF(Indice_index!$Z$1=1,"€ Milhões","€ Millions")</f>
        <v>€ Milhões</v>
      </c>
    </row>
    <row r="10" spans="1:10"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22" t="str">
        <f>IF(Indice_index!$Z$1=1,"Grau de Execução (%)","Execution Rate (%)")</f>
        <v>Grau de Execução (%)</v>
      </c>
      <c r="H10" s="391" t="str">
        <f>IF(Indice_index!$Z$1=1,"Variação Homóloga Acumulada","YOY Change Rate")</f>
        <v>Variação Homóloga Acumulada</v>
      </c>
      <c r="I10" s="388"/>
    </row>
    <row r="11" spans="1:10" ht="26.85" customHeight="1">
      <c r="B11" s="389"/>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+C14+C15+C16+C17+C20+C21</f>
        <v>80663.867154730004</v>
      </c>
      <c r="D12" s="134">
        <f>+D14+D15+D16+D17+D20+D21</f>
        <v>86430.714543000024</v>
      </c>
      <c r="E12" s="134">
        <f>+E14+E15+E16+E17+E20+E21</f>
        <v>59818.553768920006</v>
      </c>
      <c r="F12" s="134">
        <f>+F14+F15+F16+F17+F20+F21</f>
        <v>62265.800282190015</v>
      </c>
      <c r="G12" s="134">
        <f>IFERROR(IF(F12/D12*100&lt;-500,"-",IF(F12/D12*100&gt;500,"-",F12/D12*100)),"-")</f>
        <v>72.041288344564407</v>
      </c>
      <c r="H12" s="134">
        <f>IF(IFERROR((F12-E12)/E12*100,"")&gt;500,"-",IFERROR((F12-E12)/E12*100,""))</f>
        <v>4.0911161488854448</v>
      </c>
      <c r="I12" s="134">
        <f t="shared" ref="I12:I20" si="0">IFERROR((F12-E12)/$E$29*100,"")</f>
        <v>3.9686328767103221</v>
      </c>
    </row>
    <row r="13" spans="1:10" ht="14.1" customHeight="1">
      <c r="B13" s="125" t="str">
        <f>IF(Indice_index!$Z$1=1,"Receita fiscal","Tax")</f>
        <v>Receita fiscal</v>
      </c>
      <c r="C13" s="4">
        <f>+C14+C15</f>
        <v>61377.792092659998</v>
      </c>
      <c r="D13" s="4">
        <f>+D14+D15</f>
        <v>64141.836794000003</v>
      </c>
      <c r="E13" s="4">
        <f>+E14+E15</f>
        <v>45980.454115730005</v>
      </c>
      <c r="F13" s="4">
        <f>+F14+F15</f>
        <v>48591.909697880008</v>
      </c>
      <c r="G13" s="4">
        <f t="shared" ref="G13:G27" si="1">IFERROR(IF(F13/D13*100&lt;-500,"-",IF(F13/D13*100&gt;500,"-",F13/D13*100)),"-")</f>
        <v>75.756966321278512</v>
      </c>
      <c r="H13" s="4">
        <f t="shared" ref="H13:H27" si="2">IF(IFERROR((F13-E13)/E13*100,"")&gt;500,"-",IFERROR((F13-E13)/E13*100,""))</f>
        <v>5.6794906278592387</v>
      </c>
      <c r="I13" s="4">
        <f t="shared" si="0"/>
        <v>4.2349262418770186</v>
      </c>
    </row>
    <row r="14" spans="1:10" ht="14.1" customHeight="1">
      <c r="B14" s="172" t="str">
        <f>IF(Indice_index!$Z$1=1,"Impostos diretos ","Direct taxes")</f>
        <v xml:space="preserve">Impostos diretos </v>
      </c>
      <c r="C14" s="4">
        <v>27679.896564609997</v>
      </c>
      <c r="D14" s="4">
        <v>27974.777635999999</v>
      </c>
      <c r="E14" s="4">
        <v>21409.548414920002</v>
      </c>
      <c r="F14" s="4">
        <v>21997.651640730001</v>
      </c>
      <c r="G14" s="4">
        <f t="shared" si="1"/>
        <v>78.633874867415585</v>
      </c>
      <c r="H14" s="4">
        <f t="shared" si="2"/>
        <v>2.7469202731999616</v>
      </c>
      <c r="I14" s="4">
        <f t="shared" si="0"/>
        <v>0.95371094991583472</v>
      </c>
    </row>
    <row r="15" spans="1:10" ht="14.1" customHeight="1">
      <c r="B15" s="172" t="str">
        <f>IF(Indice_index!$Z$1=1,"Impostos indiretos","Indirect taxes")</f>
        <v>Impostos indiretos</v>
      </c>
      <c r="C15" s="4">
        <v>33697.895528050001</v>
      </c>
      <c r="D15" s="4">
        <v>36167.059158000004</v>
      </c>
      <c r="E15" s="4">
        <v>24570.905700810003</v>
      </c>
      <c r="F15" s="4">
        <v>26594.258057150004</v>
      </c>
      <c r="G15" s="4">
        <f t="shared" si="1"/>
        <v>73.531712769263038</v>
      </c>
      <c r="H15" s="4">
        <f t="shared" si="2"/>
        <v>8.2347487755540882</v>
      </c>
      <c r="I15" s="4">
        <f t="shared" si="0"/>
        <v>3.2812152919611779</v>
      </c>
    </row>
    <row r="16" spans="1:10" ht="14.1" customHeight="1">
      <c r="B16" s="125" t="str">
        <f>IF(Indice_index!$Z$1=1,"Contribuições para Segurança Social, CGA e ADSE","Social security, CGA and ADSE contributions")</f>
        <v>Contribuições para Segurança Social, CGA e ADSE</v>
      </c>
      <c r="C16" s="4">
        <v>4489.8988306699994</v>
      </c>
      <c r="D16" s="4">
        <v>4453.2706690000005</v>
      </c>
      <c r="E16" s="4">
        <v>3176.0613192800001</v>
      </c>
      <c r="F16" s="4">
        <v>3292.9950243699996</v>
      </c>
      <c r="G16" s="4">
        <f t="shared" si="1"/>
        <v>73.945539562486431</v>
      </c>
      <c r="H16" s="4">
        <f t="shared" si="2"/>
        <v>3.6817206387094505</v>
      </c>
      <c r="I16" s="4">
        <f t="shared" si="0"/>
        <v>0.1896281980173852</v>
      </c>
    </row>
    <row r="17" spans="2:9" ht="14.1" customHeight="1">
      <c r="B17" s="125" t="str">
        <f>IF(Indice_index!$Z$1=1,"Transferências Correntes","Current transfers")</f>
        <v>Transferências Correntes</v>
      </c>
      <c r="C17" s="4">
        <f>+C18+C19</f>
        <v>3943.0457918499997</v>
      </c>
      <c r="D17" s="4">
        <f>+D18+D19</f>
        <v>5941.8302469999999</v>
      </c>
      <c r="E17" s="4">
        <f>+E18+E19</f>
        <v>2840.8169373899996</v>
      </c>
      <c r="F17" s="4">
        <f>+F18+F19</f>
        <v>2809.3165322600003</v>
      </c>
      <c r="G17" s="4">
        <f t="shared" si="1"/>
        <v>47.280322989341713</v>
      </c>
      <c r="H17" s="4">
        <f t="shared" si="2"/>
        <v>-1.108850229502655</v>
      </c>
      <c r="I17" s="4">
        <f t="shared" si="0"/>
        <v>-5.1083347243824136E-2</v>
      </c>
    </row>
    <row r="18" spans="2:9" ht="14.1" customHeight="1">
      <c r="B18" s="172" t="str">
        <f>IF(Indice_index!$Z$1=1,"Administrações Públicas","General Government subsectors")</f>
        <v>Administrações Públicas</v>
      </c>
      <c r="C18" s="4">
        <v>2190.5329622299996</v>
      </c>
      <c r="D18" s="4">
        <v>2231.9462819999999</v>
      </c>
      <c r="E18" s="4">
        <v>1632.2717778399999</v>
      </c>
      <c r="F18" s="4">
        <v>1649.2901756300002</v>
      </c>
      <c r="G18" s="4">
        <f t="shared" si="1"/>
        <v>73.8947074547021</v>
      </c>
      <c r="H18" s="4">
        <f t="shared" si="2"/>
        <v>1.0426203541006471</v>
      </c>
      <c r="I18" s="4">
        <f t="shared" si="0"/>
        <v>2.7598271204841977E-2</v>
      </c>
    </row>
    <row r="19" spans="2:9" ht="14.1" customHeight="1">
      <c r="B19" s="172" t="str">
        <f>IF(Indice_index!$Z$1=1,"Outras","Others")</f>
        <v>Outras</v>
      </c>
      <c r="C19" s="4">
        <v>1752.51282962</v>
      </c>
      <c r="D19" s="4">
        <v>3709.883965</v>
      </c>
      <c r="E19" s="4">
        <v>1208.5451595499997</v>
      </c>
      <c r="F19" s="4">
        <v>1160.02635663</v>
      </c>
      <c r="G19" s="4">
        <f t="shared" si="1"/>
        <v>31.268534745937803</v>
      </c>
      <c r="H19" s="4">
        <f t="shared" si="2"/>
        <v>-4.0146454219439809</v>
      </c>
      <c r="I19" s="4">
        <f t="shared" si="0"/>
        <v>-7.8681618448666099E-2</v>
      </c>
    </row>
    <row r="20" spans="2:9" ht="14.1" customHeight="1">
      <c r="B20" s="125" t="str">
        <f>IF(Indice_index!$Z$1=1,"Outras receitas correntes","Other current revenue")</f>
        <v>Outras receitas correntes</v>
      </c>
      <c r="C20" s="4">
        <v>10626.245463709998</v>
      </c>
      <c r="D20" s="4">
        <v>11544.463062999999</v>
      </c>
      <c r="E20" s="4">
        <v>7604.6617464100009</v>
      </c>
      <c r="F20" s="4">
        <v>7508.4778606599921</v>
      </c>
      <c r="G20" s="4">
        <f t="shared" si="1"/>
        <v>65.039645583211751</v>
      </c>
      <c r="H20" s="4">
        <f t="shared" si="2"/>
        <v>-1.2648016303343823</v>
      </c>
      <c r="I20" s="4">
        <f t="shared" si="0"/>
        <v>-0.15597878232838194</v>
      </c>
    </row>
    <row r="21" spans="2:9" ht="14.1" customHeight="1">
      <c r="B21" s="125" t="str">
        <f>IF(Indice_index!$Z$1=1,"Diferenças de consolidação","Consolidation differences")</f>
        <v>Diferenças de consolidação</v>
      </c>
      <c r="C21" s="4">
        <v>226.88497584000336</v>
      </c>
      <c r="D21" s="4">
        <v>349.31377000000089</v>
      </c>
      <c r="E21" s="4">
        <v>216.55965011000018</v>
      </c>
      <c r="F21" s="4">
        <v>63.101167020009896</v>
      </c>
      <c r="G21" s="4"/>
      <c r="H21" s="4"/>
      <c r="I21" s="4"/>
    </row>
    <row r="22" spans="2:9" ht="14.1" customHeight="1">
      <c r="B22" s="174" t="str">
        <f>IF(Indice_index!$Z$1=1,"Receita de capital","Capital revenue")</f>
        <v>Receita de capital</v>
      </c>
      <c r="C22" s="134">
        <f>+C23+C24+C27+C28</f>
        <v>2473.338285150001</v>
      </c>
      <c r="D22" s="134">
        <f>+D23+D24+D27+D28</f>
        <v>5865.8479220000008</v>
      </c>
      <c r="E22" s="134">
        <f>+E23+E24+E27+E28</f>
        <v>1846.1703135600001</v>
      </c>
      <c r="F22" s="134">
        <f>+F23+F24+F27+F28</f>
        <v>1770.4423998299999</v>
      </c>
      <c r="G22" s="134">
        <f t="shared" si="1"/>
        <v>30.182207642818593</v>
      </c>
      <c r="H22" s="134">
        <f t="shared" si="2"/>
        <v>-4.101892072133519</v>
      </c>
      <c r="I22" s="134">
        <f t="shared" ref="I22:I27" si="3">IFERROR((F22-E22)/$E$29*100,"")</f>
        <v>-0.12280589081807919</v>
      </c>
    </row>
    <row r="23" spans="2:9" ht="14.1" customHeight="1">
      <c r="B23" s="125" t="str">
        <f>IF(Indice_index!$Z$1=1,"Venda de bens de investimento","Sale of investment goods")</f>
        <v>Venda de bens de investimento</v>
      </c>
      <c r="C23" s="4">
        <v>89.935220340000015</v>
      </c>
      <c r="D23" s="4">
        <v>929.37795600000004</v>
      </c>
      <c r="E23" s="4">
        <v>60.047383429999996</v>
      </c>
      <c r="F23" s="4">
        <v>30.707459749999995</v>
      </c>
      <c r="G23" s="4">
        <f t="shared" si="1"/>
        <v>3.3040873792793071</v>
      </c>
      <c r="H23" s="4">
        <f t="shared" si="2"/>
        <v>-48.861285878014826</v>
      </c>
      <c r="I23" s="4">
        <f t="shared" si="3"/>
        <v>-4.7579753443405044E-2</v>
      </c>
    </row>
    <row r="24" spans="2:9" ht="14.1" customHeight="1">
      <c r="B24" s="125" t="str">
        <f>IF(Indice_index!$Z$1=1,"Transferências de Capital","Capital transfers")</f>
        <v>Transferências de Capital</v>
      </c>
      <c r="C24" s="4">
        <f>+C25+C26</f>
        <v>2218.7123366200012</v>
      </c>
      <c r="D24" s="4">
        <f>+D25+D26</f>
        <v>4828.0520470000001</v>
      </c>
      <c r="E24" s="4">
        <f>+E25+E26</f>
        <v>1627.37805473</v>
      </c>
      <c r="F24" s="4">
        <f>+F25+F26</f>
        <v>1614.6873344699998</v>
      </c>
      <c r="G24" s="4">
        <f t="shared" si="1"/>
        <v>33.443867604395763</v>
      </c>
      <c r="H24" s="4">
        <f t="shared" si="2"/>
        <v>-0.77982618870363174</v>
      </c>
      <c r="I24" s="4">
        <f t="shared" si="3"/>
        <v>-2.0580194671796011E-2</v>
      </c>
    </row>
    <row r="25" spans="2:9" ht="14.1" customHeight="1">
      <c r="B25" s="172" t="str">
        <f>IF(Indice_index!$Z$1=1,"Administrações Públicas","General Government subsectors")</f>
        <v>Administrações Públicas</v>
      </c>
      <c r="C25" s="4">
        <v>5.0209281200000007</v>
      </c>
      <c r="D25" s="4">
        <v>20.510462999999998</v>
      </c>
      <c r="E25" s="4">
        <v>4.2553472600000006</v>
      </c>
      <c r="F25" s="4">
        <v>4.3691574700000002</v>
      </c>
      <c r="G25" s="4">
        <f t="shared" si="1"/>
        <v>21.302090888928255</v>
      </c>
      <c r="H25" s="4">
        <f t="shared" si="2"/>
        <v>2.6745222668384425</v>
      </c>
      <c r="I25" s="4">
        <f t="shared" si="3"/>
        <v>1.8456291128096522E-4</v>
      </c>
    </row>
    <row r="26" spans="2:9" ht="14.1" customHeight="1">
      <c r="B26" s="172" t="str">
        <f>IF(Indice_index!$Z$1=1,"Outras","Others")</f>
        <v>Outras</v>
      </c>
      <c r="C26" s="4">
        <v>2213.6914085000012</v>
      </c>
      <c r="D26" s="4">
        <v>4807.5415840000005</v>
      </c>
      <c r="E26" s="4">
        <v>1623.12270747</v>
      </c>
      <c r="F26" s="4">
        <v>1610.3181769999999</v>
      </c>
      <c r="G26" s="4">
        <f t="shared" si="1"/>
        <v>33.495668188483421</v>
      </c>
      <c r="H26" s="4">
        <f t="shared" si="2"/>
        <v>-0.78888246779313875</v>
      </c>
      <c r="I26" s="4">
        <f t="shared" si="3"/>
        <v>-2.0764757583076787E-2</v>
      </c>
    </row>
    <row r="27" spans="2:9" ht="14.1" customHeight="1">
      <c r="B27" s="125" t="str">
        <f>IF(Indice_index!$Z$1=1,"Outras receitas de capital","Other capital revenue")</f>
        <v>Outras receitas de capital</v>
      </c>
      <c r="C27" s="4">
        <v>164.69072819000002</v>
      </c>
      <c r="D27" s="4">
        <v>11.138632000000001</v>
      </c>
      <c r="E27" s="4">
        <v>158.74487540000001</v>
      </c>
      <c r="F27" s="4">
        <v>122.77290349000002</v>
      </c>
      <c r="G27" s="4" t="str">
        <f t="shared" si="1"/>
        <v>-</v>
      </c>
      <c r="H27" s="4">
        <f t="shared" si="2"/>
        <v>-22.66024135856923</v>
      </c>
      <c r="I27" s="4">
        <f t="shared" si="3"/>
        <v>-5.833476504635856E-2</v>
      </c>
    </row>
    <row r="28" spans="2:9" ht="14.1" customHeight="1">
      <c r="B28" s="125" t="str">
        <f>IF(Indice_index!$Z$1=1,"Diferenças de consolidação","Consolidation differences")</f>
        <v>Diferenças de consolidação</v>
      </c>
      <c r="C28" s="4">
        <v>0</v>
      </c>
      <c r="D28" s="4">
        <v>97.279287000000068</v>
      </c>
      <c r="E28" s="4">
        <v>0</v>
      </c>
      <c r="F28" s="4">
        <v>2.2747021199999935</v>
      </c>
      <c r="G28" s="4"/>
      <c r="H28" s="4"/>
      <c r="I28" s="4"/>
    </row>
    <row r="29" spans="2:9" ht="14.1" customHeight="1">
      <c r="B29" s="30" t="str">
        <f>IF(Indice_index!$Z$1=1,"Receita efetiva","Effective revenue")</f>
        <v>Receita efetiva</v>
      </c>
      <c r="C29" s="18">
        <f>+C12+C22</f>
        <v>83137.20543988001</v>
      </c>
      <c r="D29" s="18">
        <f>+D12+D22</f>
        <v>92296.562465000025</v>
      </c>
      <c r="E29" s="18">
        <f>+E12+E22</f>
        <v>61664.72408248001</v>
      </c>
      <c r="F29" s="18">
        <f>+F12+F22</f>
        <v>64036.242682020013</v>
      </c>
      <c r="G29" s="18">
        <f>IFERROR(IF(F29/D29*100&lt;-500,"-",IF(F29/D29*100&gt;500,"-",F29/D29*100)),"-")</f>
        <v>69.380961730078866</v>
      </c>
      <c r="H29" s="18">
        <f t="shared" ref="H29:H48" si="4">IF(IFERROR((F29-E29)/E29*100,"")&gt;500,"-",IFERROR((F29-E29)/E29*100,""))</f>
        <v>3.8458269858922325</v>
      </c>
      <c r="I29" s="18"/>
    </row>
    <row r="30" spans="2:9" ht="14.1" customHeight="1">
      <c r="B30" s="174" t="str">
        <f>IF(Indice_index!$Z$1=1,"Despesa corrente","Current expenditure")</f>
        <v>Despesa corrente</v>
      </c>
      <c r="C30" s="134">
        <f>+C31+C35+C36+C37+C40+C41+C42</f>
        <v>81443.388169690006</v>
      </c>
      <c r="D30" s="134">
        <f>+D31+D35+D36+D37+D40+D41+D42</f>
        <v>87798.087520000001</v>
      </c>
      <c r="E30" s="134">
        <f>+E31+E35+E36+E37+E40+E41+E42</f>
        <v>56360.116775679999</v>
      </c>
      <c r="F30" s="134">
        <f>+F31+F35+F36+F37+F40+F41+F42</f>
        <v>58780.79034621</v>
      </c>
      <c r="G30" s="134">
        <f t="shared" ref="G30:G48" si="5">IFERROR(IF(F30/D30*100&lt;-500,"-",IF(F30/D30*100&gt;500,"-",F30/D30*100)),"-")</f>
        <v>66.949966686711718</v>
      </c>
      <c r="H30" s="134">
        <f t="shared" si="4"/>
        <v>4.2950116305907811</v>
      </c>
      <c r="I30" s="134">
        <f t="shared" ref="I30:I41" si="6">IFERROR((F30-E30)/$E$50*100,"")</f>
        <v>3.952411142018502</v>
      </c>
    </row>
    <row r="31" spans="2:9" ht="14.1" customHeight="1">
      <c r="B31" s="125" t="str">
        <f>IF(Indice_index!$Z$1=1,"Despesas com o pessoal","Employees")</f>
        <v>Despesas com o pessoal</v>
      </c>
      <c r="C31" s="4">
        <f>+C32+C33+C34</f>
        <v>21934.96514801</v>
      </c>
      <c r="D31" s="4">
        <f>+D32+D33+D34</f>
        <v>23213.595982999999</v>
      </c>
      <c r="E31" s="4">
        <f>+E32+E33+E34</f>
        <v>15603.445381080001</v>
      </c>
      <c r="F31" s="4">
        <f>+F32+F33+F34</f>
        <v>17010.913022460001</v>
      </c>
      <c r="G31" s="4">
        <f t="shared" si="5"/>
        <v>73.279956431212099</v>
      </c>
      <c r="H31" s="4">
        <f t="shared" si="4"/>
        <v>9.0202362811910071</v>
      </c>
      <c r="I31" s="4">
        <f t="shared" si="6"/>
        <v>2.298075566877376</v>
      </c>
    </row>
    <row r="32" spans="2:9" ht="14.1" customHeight="1">
      <c r="B32" s="172" t="str">
        <f>IF(Indice_index!$Z$1=1,"Remunerações Certas e Permanentes","Certain and permanent wages")</f>
        <v>Remunerações Certas e Permanentes</v>
      </c>
      <c r="C32" s="4">
        <v>15552.714432829998</v>
      </c>
      <c r="D32" s="4">
        <v>16803.161421000001</v>
      </c>
      <c r="E32" s="4">
        <v>11045.75251758</v>
      </c>
      <c r="F32" s="4">
        <v>12055.062233560002</v>
      </c>
      <c r="G32" s="4">
        <f t="shared" si="5"/>
        <v>71.742822267326488</v>
      </c>
      <c r="H32" s="4">
        <f t="shared" si="4"/>
        <v>9.1375369344335997</v>
      </c>
      <c r="I32" s="4">
        <f t="shared" si="6"/>
        <v>1.6479739423574817</v>
      </c>
    </row>
    <row r="33" spans="2:9" ht="14.1" customHeight="1">
      <c r="B33" s="172" t="str">
        <f>IF(Indice_index!$Z$1=1,"Abonos Variáveis ou Eventuais","Variable or contingent bonuses")</f>
        <v>Abonos Variáveis ou Eventuais</v>
      </c>
      <c r="C33" s="4">
        <v>1682.6525060599997</v>
      </c>
      <c r="D33" s="4">
        <v>1720.3525790000001</v>
      </c>
      <c r="E33" s="4">
        <v>1234.0250782199998</v>
      </c>
      <c r="F33" s="4">
        <v>1355.06160817</v>
      </c>
      <c r="G33" s="4">
        <f t="shared" si="5"/>
        <v>78.76650546585428</v>
      </c>
      <c r="H33" s="4">
        <f t="shared" si="4"/>
        <v>9.8082714919041525</v>
      </c>
      <c r="I33" s="4">
        <f t="shared" si="6"/>
        <v>0.19762521282904538</v>
      </c>
    </row>
    <row r="34" spans="2:9" ht="14.1" customHeight="1">
      <c r="B34" s="172" t="str">
        <f>IF(Indice_index!$Z$1=1,"Segurança social","Social security")</f>
        <v>Segurança social</v>
      </c>
      <c r="C34" s="4">
        <v>4699.5982091200003</v>
      </c>
      <c r="D34" s="4">
        <v>4690.081983</v>
      </c>
      <c r="E34" s="4">
        <v>3323.6677852800003</v>
      </c>
      <c r="F34" s="4">
        <v>3600.7891807300011</v>
      </c>
      <c r="G34" s="4">
        <f t="shared" si="5"/>
        <v>76.774546666383955</v>
      </c>
      <c r="H34" s="4">
        <f t="shared" si="4"/>
        <v>8.3378187398069006</v>
      </c>
      <c r="I34" s="4">
        <f t="shared" si="6"/>
        <v>0.45247641169085234</v>
      </c>
    </row>
    <row r="35" spans="2:9" ht="14.1" customHeight="1">
      <c r="B35" s="125" t="str">
        <f>IF(Indice_index!$Z$1=1,"Aquisição de bens e serviços","Purchase of goods and services")</f>
        <v>Aquisição de bens e serviços</v>
      </c>
      <c r="C35" s="4">
        <v>14008.796544820003</v>
      </c>
      <c r="D35" s="4">
        <v>15418.300418999999</v>
      </c>
      <c r="E35" s="4">
        <v>8667.1807772600023</v>
      </c>
      <c r="F35" s="4">
        <v>8715.1473012500046</v>
      </c>
      <c r="G35" s="4">
        <f t="shared" si="5"/>
        <v>56.52469509875624</v>
      </c>
      <c r="H35" s="4">
        <f t="shared" si="4"/>
        <v>0.55342706264823294</v>
      </c>
      <c r="I35" s="4">
        <f t="shared" si="6"/>
        <v>7.8318459031414961E-2</v>
      </c>
    </row>
    <row r="36" spans="2:9" ht="14.1" customHeight="1">
      <c r="B36" s="125" t="str">
        <f>IF(Indice_index!$Z$1=1,"Juros e outros encargos","Interests and other charges")</f>
        <v>Juros e outros encargos</v>
      </c>
      <c r="C36" s="4">
        <v>6822.2967010699995</v>
      </c>
      <c r="D36" s="4">
        <v>6944.8578539999999</v>
      </c>
      <c r="E36" s="4">
        <v>4935.4695460899993</v>
      </c>
      <c r="F36" s="4">
        <v>4871.7307793700002</v>
      </c>
      <c r="G36" s="4">
        <f t="shared" si="5"/>
        <v>70.148747199542044</v>
      </c>
      <c r="H36" s="4">
        <f t="shared" si="4"/>
        <v>-1.2914428125788877</v>
      </c>
      <c r="I36" s="4">
        <f t="shared" si="6"/>
        <v>-0.1040709556338424</v>
      </c>
    </row>
    <row r="37" spans="2:9" ht="14.1" customHeight="1">
      <c r="B37" s="125" t="str">
        <f>IF(Indice_index!$Z$1=1,"Transferências Correntes","Current transfers")</f>
        <v>Transferências Correntes</v>
      </c>
      <c r="C37" s="4">
        <f>+C38+C39</f>
        <v>36941.302092279999</v>
      </c>
      <c r="D37" s="4">
        <f>+D38+D39</f>
        <v>38594.296162999999</v>
      </c>
      <c r="E37" s="4">
        <f>+E38+E39</f>
        <v>25983.721541809999</v>
      </c>
      <c r="F37" s="4">
        <f>+F38+F39</f>
        <v>27089.558460269996</v>
      </c>
      <c r="G37" s="4">
        <f t="shared" si="5"/>
        <v>70.190575171676556</v>
      </c>
      <c r="H37" s="4">
        <f t="shared" si="4"/>
        <v>4.2558835026022468</v>
      </c>
      <c r="I37" s="4">
        <f t="shared" si="6"/>
        <v>1.8055809800161284</v>
      </c>
    </row>
    <row r="38" spans="2:9" ht="14.1" customHeight="1">
      <c r="B38" s="172" t="str">
        <f>IF(Indice_index!$Z$1=1,"Administrações Públicas","General Government subsectors")</f>
        <v>Administrações Públicas</v>
      </c>
      <c r="C38" s="4">
        <v>18042.569845179998</v>
      </c>
      <c r="D38" s="4">
        <v>19164.802692999998</v>
      </c>
      <c r="E38" s="4">
        <v>12956.337331720002</v>
      </c>
      <c r="F38" s="4">
        <v>13949.893285729999</v>
      </c>
      <c r="G38" s="4">
        <f t="shared" si="5"/>
        <v>72.789130726742314</v>
      </c>
      <c r="H38" s="4">
        <f t="shared" si="4"/>
        <v>7.6684940239827668</v>
      </c>
      <c r="I38" s="4">
        <f t="shared" si="6"/>
        <v>1.6222516206462885</v>
      </c>
    </row>
    <row r="39" spans="2:9" ht="14.1" customHeight="1">
      <c r="B39" s="172" t="str">
        <f>IF(Indice_index!$Z$1=1,"Outras","Others")</f>
        <v>Outras</v>
      </c>
      <c r="C39" s="4">
        <v>18898.732247100001</v>
      </c>
      <c r="D39" s="4">
        <v>19429.493470000001</v>
      </c>
      <c r="E39" s="4">
        <v>13027.384210089996</v>
      </c>
      <c r="F39" s="4">
        <v>13139.665174539999</v>
      </c>
      <c r="G39" s="4">
        <f t="shared" si="5"/>
        <v>67.627420111740051</v>
      </c>
      <c r="H39" s="4">
        <f t="shared" si="4"/>
        <v>0.86188418671984002</v>
      </c>
      <c r="I39" s="4">
        <f t="shared" si="6"/>
        <v>0.18332935936984279</v>
      </c>
    </row>
    <row r="40" spans="2:9" ht="14.1" customHeight="1">
      <c r="B40" s="125" t="str">
        <f>IF(Indice_index!$Z$1=1,"Subsídios","Subsidies")</f>
        <v>Subsídios</v>
      </c>
      <c r="C40" s="4">
        <v>1015.13157583</v>
      </c>
      <c r="D40" s="4">
        <v>1262.9597369999999</v>
      </c>
      <c r="E40" s="4">
        <v>688.00052544999994</v>
      </c>
      <c r="F40" s="4">
        <v>729.56418140999995</v>
      </c>
      <c r="G40" s="4">
        <f t="shared" si="5"/>
        <v>57.766226431175618</v>
      </c>
      <c r="H40" s="4">
        <f t="shared" si="4"/>
        <v>6.0412244500561245</v>
      </c>
      <c r="I40" s="4">
        <f t="shared" si="6"/>
        <v>6.7864027153136428E-2</v>
      </c>
    </row>
    <row r="41" spans="2:9" ht="14.1" customHeight="1">
      <c r="B41" s="125" t="str">
        <f>IF(Indice_index!$Z$1=1,"Outras despesas correntes","Other current expenditure")</f>
        <v>Outras despesas correntes</v>
      </c>
      <c r="C41" s="4">
        <v>716.64125847000003</v>
      </c>
      <c r="D41" s="4">
        <v>2363.038665</v>
      </c>
      <c r="E41" s="4">
        <v>423.35837965999997</v>
      </c>
      <c r="F41" s="4">
        <v>298.90012401999996</v>
      </c>
      <c r="G41" s="4">
        <f t="shared" si="5"/>
        <v>12.648973055208131</v>
      </c>
      <c r="H41" s="4">
        <f>IF(IFERROR((F41-E41)/E41*100,"")&gt;500,"-",IFERROR((F41-E41)/E41*100,""))</f>
        <v>-29.397848635936462</v>
      </c>
      <c r="I41" s="4">
        <f t="shared" si="6"/>
        <v>-0.20321211513042639</v>
      </c>
    </row>
    <row r="42" spans="2:9" ht="14.1" customHeight="1">
      <c r="B42" s="125" t="str">
        <f>IF(Indice_index!$Z$1=1,"Diferenças de consolidação","Consolidation differences")</f>
        <v>Diferenças de consolidação</v>
      </c>
      <c r="C42" s="4">
        <v>4.254849210000855</v>
      </c>
      <c r="D42" s="4">
        <v>1.0386989999985969</v>
      </c>
      <c r="E42" s="4">
        <v>58.940624329999721</v>
      </c>
      <c r="F42" s="4">
        <v>64.976477429990709</v>
      </c>
      <c r="G42" s="4"/>
      <c r="H42" s="4"/>
      <c r="I42" s="4"/>
    </row>
    <row r="43" spans="2:9" ht="14.1" customHeight="1">
      <c r="B43" s="174" t="str">
        <f>IF(Indice_index!$Z$1=1,"Despesa de capital","Capital expenditure")</f>
        <v>Despesa de capital</v>
      </c>
      <c r="C43" s="134">
        <f>+C44+C45+C48+C49</f>
        <v>7830.9780549300012</v>
      </c>
      <c r="D43" s="134">
        <f>+D44+D45+D48+D49</f>
        <v>12394.571506</v>
      </c>
      <c r="E43" s="134">
        <f>+E44+E45+E48+E49</f>
        <v>4885.3732189099992</v>
      </c>
      <c r="F43" s="134">
        <f>+F44+F45+F48+F49</f>
        <v>5022.7311317999993</v>
      </c>
      <c r="G43" s="134">
        <f t="shared" si="5"/>
        <v>40.523636733779632</v>
      </c>
      <c r="H43" s="134">
        <f t="shared" si="4"/>
        <v>2.8116155457340213</v>
      </c>
      <c r="I43" s="134">
        <f t="shared" ref="I43:I48" si="7">IFERROR((F43-E43)/$E$50*100,"")</f>
        <v>0.2242743308970723</v>
      </c>
    </row>
    <row r="44" spans="2:9" ht="14.1" customHeight="1">
      <c r="B44" s="125" t="str">
        <f>IF(Indice_index!$Z$1=1,"Investimento","Investments")</f>
        <v>Investimento</v>
      </c>
      <c r="C44" s="4">
        <v>4569.3133462300002</v>
      </c>
      <c r="D44" s="4">
        <v>7901.6655609999998</v>
      </c>
      <c r="E44" s="4">
        <v>2575.6912986299999</v>
      </c>
      <c r="F44" s="4">
        <v>2749.0469165799996</v>
      </c>
      <c r="G44" s="4">
        <f t="shared" si="5"/>
        <v>34.790727288540069</v>
      </c>
      <c r="H44" s="4">
        <f t="shared" si="4"/>
        <v>6.7304501141967927</v>
      </c>
      <c r="I44" s="4">
        <f t="shared" si="7"/>
        <v>0.28305042210506065</v>
      </c>
    </row>
    <row r="45" spans="2:9" ht="14.1" customHeight="1">
      <c r="B45" s="125" t="str">
        <f>IF(Indice_index!$Z$1=1,"Transferências de capital","Capital transfers")</f>
        <v>Transferências de capital</v>
      </c>
      <c r="C45" s="4">
        <f>+C46+C47</f>
        <v>2721.7844796500003</v>
      </c>
      <c r="D45" s="4">
        <f>+D46+D47</f>
        <v>4239.3131540000004</v>
      </c>
      <c r="E45" s="4">
        <f>+E46+E47</f>
        <v>1674.3472771899999</v>
      </c>
      <c r="F45" s="4">
        <f>+F46+F47</f>
        <v>2106.3916006999993</v>
      </c>
      <c r="G45" s="4">
        <f t="shared" si="5"/>
        <v>49.687096097454258</v>
      </c>
      <c r="H45" s="4">
        <f t="shared" si="4"/>
        <v>25.803746295397257</v>
      </c>
      <c r="I45" s="4">
        <f t="shared" si="7"/>
        <v>0.70543043013969409</v>
      </c>
    </row>
    <row r="46" spans="2:9" ht="14.1" customHeight="1">
      <c r="B46" s="172" t="str">
        <f>IF(Indice_index!$Z$1=1,"Administrações Públicas","General Government subsectors")</f>
        <v>Administrações Públicas</v>
      </c>
      <c r="C46" s="4">
        <v>1354.2785625500001</v>
      </c>
      <c r="D46" s="4">
        <v>1468.3640800000001</v>
      </c>
      <c r="E46" s="4">
        <v>781.56443966999996</v>
      </c>
      <c r="F46" s="4">
        <v>1180.5625452099996</v>
      </c>
      <c r="G46" s="4">
        <f t="shared" si="5"/>
        <v>80.399851868482074</v>
      </c>
      <c r="H46" s="4">
        <f t="shared" si="4"/>
        <v>51.051210276208145</v>
      </c>
      <c r="I46" s="4">
        <f t="shared" si="7"/>
        <v>0.65147344820858544</v>
      </c>
    </row>
    <row r="47" spans="2:9" ht="14.1" customHeight="1">
      <c r="B47" s="172" t="str">
        <f>IF(Indice_index!$Z$1=1,"Outras","Others")</f>
        <v>Outras</v>
      </c>
      <c r="C47" s="4">
        <v>1367.5059171</v>
      </c>
      <c r="D47" s="4">
        <v>2770.9490740000001</v>
      </c>
      <c r="E47" s="4">
        <v>892.78283751999993</v>
      </c>
      <c r="F47" s="4">
        <v>925.82905548999986</v>
      </c>
      <c r="G47" s="4">
        <f t="shared" si="5"/>
        <v>33.411983792019697</v>
      </c>
      <c r="H47" s="4">
        <f t="shared" si="4"/>
        <v>3.7014844574966013</v>
      </c>
      <c r="I47" s="4">
        <f t="shared" si="7"/>
        <v>5.3956981931108733E-2</v>
      </c>
    </row>
    <row r="48" spans="2:9" ht="14.1" customHeight="1">
      <c r="B48" s="125" t="str">
        <f>IF(Indice_index!$Z$1=1,"Outras despesas de capital","Other capital expenditure")</f>
        <v>Outras despesas de capital</v>
      </c>
      <c r="C48" s="4">
        <v>314.99973122000006</v>
      </c>
      <c r="D48" s="4">
        <v>253.59279100000001</v>
      </c>
      <c r="E48" s="4">
        <v>135.64511695000002</v>
      </c>
      <c r="F48" s="4">
        <v>84.030740620000003</v>
      </c>
      <c r="G48" s="4">
        <f t="shared" si="5"/>
        <v>33.136092035045273</v>
      </c>
      <c r="H48" s="4">
        <f t="shared" si="4"/>
        <v>-38.051038983604194</v>
      </c>
      <c r="I48" s="4">
        <f t="shared" si="7"/>
        <v>-8.4274574886345544E-2</v>
      </c>
    </row>
    <row r="49" spans="2:9" ht="14.1" customHeight="1">
      <c r="B49" s="125" t="str">
        <f>IF(Indice_index!$Z$1=1,"Diferenças de consolidação","Consolidation differences")</f>
        <v>Diferenças de consolidação</v>
      </c>
      <c r="C49" s="4">
        <v>224.88049783000037</v>
      </c>
      <c r="D49" s="4">
        <v>0</v>
      </c>
      <c r="E49" s="4">
        <v>499.68952613999988</v>
      </c>
      <c r="F49" s="4">
        <v>83.261873899999671</v>
      </c>
      <c r="G49" s="4"/>
      <c r="H49" s="4"/>
      <c r="I49" s="4"/>
    </row>
    <row r="50" spans="2:9" ht="14.1" customHeight="1">
      <c r="B50" s="30" t="str">
        <f>IF(Indice_index!$Z$1=1,"Despesa efetiva","Effective Expenditure")</f>
        <v>Despesa efetiva</v>
      </c>
      <c r="C50" s="18">
        <f>+C30+C43</f>
        <v>89274.366224620011</v>
      </c>
      <c r="D50" s="18">
        <f>+D30+D43</f>
        <v>100192.65902600001</v>
      </c>
      <c r="E50" s="18">
        <f>+E30+E43</f>
        <v>61245.489994589996</v>
      </c>
      <c r="F50" s="18">
        <f>+F30+F43</f>
        <v>63803.52147801</v>
      </c>
      <c r="G50" s="18">
        <f>IFERROR(IF(F50/D50*100&lt;-500,"-",IF(F50/D50*100&gt;500,"-",F50/D50*100)),"-")</f>
        <v>63.680834602316509</v>
      </c>
      <c r="H50" s="18">
        <f>IFERROR((F50-E50)/E50*100,"")</f>
        <v>4.1766854729155769</v>
      </c>
      <c r="I50" s="18"/>
    </row>
    <row r="51" spans="2:9" ht="14.1" customHeight="1">
      <c r="B51" s="30" t="str">
        <f>IF(Indice_index!$Z$1=1,"Saldo global","Overall balance")</f>
        <v>Saldo global</v>
      </c>
      <c r="C51" s="18">
        <f>+C29-C50</f>
        <v>-6137.160784740001</v>
      </c>
      <c r="D51" s="18">
        <f>+D29-D50</f>
        <v>-7896.0965609999839</v>
      </c>
      <c r="E51" s="18">
        <f>+E29-E50</f>
        <v>419.23408789001405</v>
      </c>
      <c r="F51" s="18">
        <f>+F29-F50</f>
        <v>232.72120401001303</v>
      </c>
      <c r="G51" s="18"/>
      <c r="H51" s="18"/>
      <c r="I51" s="18"/>
    </row>
    <row r="52" spans="2:9" ht="14.1" customHeight="1">
      <c r="B52" s="281" t="str">
        <f>IF(Indice_index!$Z$1=1,"   Por memória:","   Memo item:")</f>
        <v xml:space="preserve">   Por memória:</v>
      </c>
      <c r="C52" s="4"/>
      <c r="D52" s="4"/>
      <c r="E52" s="4"/>
      <c r="F52" s="4"/>
      <c r="G52" s="4"/>
      <c r="H52" s="4"/>
      <c r="I52" s="4"/>
    </row>
    <row r="53" spans="2:9" ht="14.1" customHeight="1">
      <c r="B53" s="172" t="str">
        <f>IF(Indice_index!$Z$1=1,"Despesa primária","Primary expenditure")</f>
        <v>Despesa primária</v>
      </c>
      <c r="C53" s="4">
        <f>+C50-C36</f>
        <v>82452.069523550017</v>
      </c>
      <c r="D53" s="4">
        <f>+D50-D36</f>
        <v>93247.801172000007</v>
      </c>
      <c r="E53" s="4">
        <f>+E50-E36</f>
        <v>56310.020448499999</v>
      </c>
      <c r="F53" s="4">
        <f>+F50-F36</f>
        <v>58931.790698639998</v>
      </c>
      <c r="G53" s="4">
        <f>IFERROR(IF(F53/D53*100&lt;-500,"-",IF(F53/D53*100&gt;500,"-",F53/D53*100)),"-")</f>
        <v>63.199121006550605</v>
      </c>
      <c r="H53" s="4">
        <f>IFERROR((F53-E53)/E53*100,"")</f>
        <v>4.6559568425975195</v>
      </c>
      <c r="I53" s="4">
        <f>IFERROR((F53-E53)/$E$50*100,"")</f>
        <v>4.2807564285494122</v>
      </c>
    </row>
    <row r="54" spans="2:9" ht="14.1" customHeight="1">
      <c r="B54" s="172" t="str">
        <f>IF(Indice_index!$Z$1=1,"Saldo corrente","Current balance")</f>
        <v>Saldo corrente</v>
      </c>
      <c r="C54" s="4">
        <f>+C12-C30</f>
        <v>-779.5210149600025</v>
      </c>
      <c r="D54" s="4">
        <f>+D12-D30</f>
        <v>-1367.3729769999773</v>
      </c>
      <c r="E54" s="4">
        <f>+E12-E30</f>
        <v>3458.4369932400077</v>
      </c>
      <c r="F54" s="4">
        <f>+F12-F30</f>
        <v>3485.0099359800151</v>
      </c>
      <c r="G54" s="4"/>
      <c r="H54" s="4"/>
      <c r="I54" s="4"/>
    </row>
    <row r="55" spans="2:9" ht="14.1" customHeight="1">
      <c r="B55" s="172" t="str">
        <f>IF(Indice_index!$Z$1=1,"Saldo de capital","Capital balance")</f>
        <v>Saldo de capital</v>
      </c>
      <c r="C55" s="4">
        <f>+C22-C43</f>
        <v>-5357.6397697800003</v>
      </c>
      <c r="D55" s="4">
        <f>+D22-D43</f>
        <v>-6528.7235839999994</v>
      </c>
      <c r="E55" s="4">
        <f>+E22-E43</f>
        <v>-3039.2029053499991</v>
      </c>
      <c r="F55" s="4">
        <f>+F22-F43</f>
        <v>-3252.2887319699994</v>
      </c>
      <c r="G55" s="4"/>
      <c r="H55" s="4"/>
      <c r="I55" s="4"/>
    </row>
    <row r="56" spans="2:9" ht="14.1" customHeight="1">
      <c r="B56" s="172" t="str">
        <f>IF(Indice_index!$Z$1=1,"Saldo primário","Primary balance")</f>
        <v>Saldo primário</v>
      </c>
      <c r="C56" s="4">
        <f>+C51+C36</f>
        <v>685.13591632999851</v>
      </c>
      <c r="D56" s="4">
        <f>+D51+D36</f>
        <v>-951.23870699998406</v>
      </c>
      <c r="E56" s="4">
        <f>+E51+E36</f>
        <v>5354.7036339800134</v>
      </c>
      <c r="F56" s="4">
        <f>+F51+F36</f>
        <v>5104.4519833800132</v>
      </c>
      <c r="G56" s="4"/>
      <c r="H56" s="4"/>
      <c r="I56" s="4"/>
    </row>
    <row r="57" spans="2:9" ht="14.1" customHeight="1">
      <c r="B57" s="172" t="str">
        <f>IF(Indice_index!$Z$1=1,"Transferências para a Administração Local","Transfers to Local Administration")</f>
        <v>Transferências para a Administração Local</v>
      </c>
      <c r="C57" s="4">
        <v>5534.7627212500001</v>
      </c>
      <c r="D57" s="4">
        <v>6003.386939</v>
      </c>
      <c r="E57" s="312">
        <v>4092.8894058900009</v>
      </c>
      <c r="F57" s="312">
        <v>4534.7354407999992</v>
      </c>
      <c r="G57" s="4"/>
      <c r="H57" s="4"/>
      <c r="I57" s="4"/>
    </row>
    <row r="58" spans="2:9" ht="14.1" customHeight="1">
      <c r="B58" s="308" t="str">
        <f>IF(Indice_index!$Z$1=1,"Transferências para as Regiões Autónomas","Transfers to the Autonomous Regions")</f>
        <v>Transferências para as Regiões Autónomas</v>
      </c>
      <c r="C58" s="19">
        <v>620.027061</v>
      </c>
      <c r="D58" s="19">
        <v>724.03376300000002</v>
      </c>
      <c r="E58" s="313">
        <v>465.02029425000001</v>
      </c>
      <c r="F58" s="313">
        <v>543.02532225000004</v>
      </c>
      <c r="G58" s="19"/>
      <c r="H58" s="19"/>
      <c r="I58" s="19"/>
    </row>
    <row r="59" spans="2:9" ht="15">
      <c r="B59" s="9" t="str">
        <f>IF(Indice_index!$Z$1=1,"Nota:","Note:")</f>
        <v>Nota:</v>
      </c>
      <c r="C59" s="9"/>
      <c r="D59" s="9"/>
      <c r="E59" s="9"/>
      <c r="F59" s="9"/>
      <c r="G59" s="9"/>
      <c r="H59" s="9"/>
      <c r="I59" s="9"/>
    </row>
    <row r="60" spans="2:9" ht="15">
      <c r="B60" s="392" t="str">
        <f>+'3 - Conta AC + SS'!$B$61</f>
        <v>Os dados de 2024 são mensalmente revistos e atualizados face ao publicado nas Sínteses de Execução Orçamental de 2024.</v>
      </c>
      <c r="C60" s="392"/>
      <c r="D60" s="392"/>
      <c r="E60" s="392"/>
      <c r="F60" s="392"/>
      <c r="G60" s="392"/>
      <c r="H60" s="392"/>
      <c r="I60" s="392"/>
    </row>
    <row r="61" spans="2:9" ht="15">
      <c r="B61" s="28" t="str">
        <f>IF(Indice_index!$Z$1=1,"Fonte: Entidade Orçamental","Source: Budgetary Entity")</f>
        <v>Fonte: Entidade Orçamental</v>
      </c>
      <c r="C61" s="28"/>
      <c r="D61" s="28"/>
      <c r="E61" s="146"/>
      <c r="F61" s="146"/>
      <c r="H61" s="49"/>
      <c r="I61" s="49"/>
    </row>
    <row r="62" spans="2:9">
      <c r="B62" s="48"/>
      <c r="C62" s="48"/>
      <c r="D62" s="48"/>
      <c r="E62" s="32"/>
      <c r="F62" s="32"/>
      <c r="G62" s="49"/>
      <c r="H62" s="48"/>
      <c r="I62" s="48"/>
    </row>
    <row r="63" spans="2:9" ht="15" hidden="1">
      <c r="B63" s="393"/>
      <c r="C63" s="393"/>
      <c r="D63" s="393"/>
      <c r="E63" s="393"/>
      <c r="F63" s="393"/>
      <c r="G63" s="393"/>
      <c r="H63" s="393"/>
      <c r="I63" s="393"/>
    </row>
  </sheetData>
  <mergeCells count="5">
    <mergeCell ref="B10:B11"/>
    <mergeCell ref="E10:F10"/>
    <mergeCell ref="H10:I10"/>
    <mergeCell ref="B60:I60"/>
    <mergeCell ref="B63:I63"/>
  </mergeCells>
  <conditionalFormatting sqref="C12:I28">
    <cfRule type="cellIs" dxfId="69" priority="3" operator="equal">
      <formula>0</formula>
    </cfRule>
  </conditionalFormatting>
  <conditionalFormatting sqref="C30:I49">
    <cfRule type="cellIs" dxfId="68" priority="2" operator="equal">
      <formula>0</formula>
    </cfRule>
  </conditionalFormatting>
  <conditionalFormatting sqref="C52:I58">
    <cfRule type="cellIs" dxfId="67"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0" customWidth="1"/>
    <col min="2" max="2" width="37.5703125" style="31" customWidth="1"/>
    <col min="3" max="4" width="10.42578125" style="31" customWidth="1"/>
    <col min="5" max="9" width="10.42578125" style="50" customWidth="1"/>
    <col min="10" max="10" width="8.5703125" style="50" customWidth="1"/>
    <col min="11" max="11" width="8.5703125" style="50" hidden="1" customWidth="1"/>
    <col min="12" max="15" width="0" hidden="1" customWidth="1"/>
    <col min="16" max="16384" width="9.42578125" hidden="1"/>
  </cols>
  <sheetData>
    <row r="1" spans="1:11" ht="14.85" customHeight="1"/>
    <row r="2" spans="1:11" ht="15"/>
    <row r="3" spans="1:11" ht="15"/>
    <row r="4" spans="1:11" ht="15"/>
    <row r="5" spans="1:11" ht="18" customHeight="1">
      <c r="A5"/>
      <c r="B5" s="269" t="str">
        <f>IF(Indice_index!$Z$1=1,"ANEXOS ESTATÍSTICOS","STATISTICAL ANNEXES")</f>
        <v>ANEXOS ESTATÍSTICOS</v>
      </c>
      <c r="C5"/>
      <c r="D5"/>
      <c r="E5"/>
      <c r="F5"/>
      <c r="G5"/>
      <c r="H5"/>
      <c r="I5"/>
      <c r="J5"/>
      <c r="K5"/>
    </row>
    <row r="6" spans="1:11" ht="18" customHeight="1">
      <c r="A6"/>
      <c r="B6" s="270" t="str">
        <f>IF(Indice_index!$Z$1=1,"Setembro de 2025","September 2025")</f>
        <v>Setembro de 2025</v>
      </c>
      <c r="C6"/>
      <c r="D6"/>
      <c r="E6"/>
      <c r="F6"/>
      <c r="G6"/>
      <c r="H6"/>
      <c r="I6"/>
      <c r="J6"/>
      <c r="K6"/>
    </row>
    <row r="7" spans="1:11" ht="50.1" customHeight="1">
      <c r="B7" s="12"/>
      <c r="C7" s="13"/>
      <c r="D7" s="11"/>
      <c r="E7" s="11"/>
      <c r="F7" s="11"/>
      <c r="G7" s="11"/>
      <c r="H7" s="11"/>
      <c r="I7" s="11"/>
    </row>
    <row r="8" spans="1:11" ht="15.75">
      <c r="B8" s="1" t="str">
        <f>IF(Indice_index!$Z$1=1,"Quadro 5 - Execução Orçamental do Estado","5 - State Budget Execution")</f>
        <v>Quadro 5 - Execução Orçamental do Estado</v>
      </c>
      <c r="C8" s="2"/>
      <c r="D8" s="2"/>
      <c r="E8" s="2"/>
      <c r="F8" s="2"/>
      <c r="G8" s="2"/>
      <c r="H8" s="2"/>
      <c r="I8" s="2"/>
    </row>
    <row r="9" spans="1:11" ht="15">
      <c r="B9" s="3" t="str">
        <f>+'3 - Conta AC + SS'!B9</f>
        <v>Período: janeiro a setembro</v>
      </c>
      <c r="C9" s="3"/>
      <c r="D9" s="3"/>
      <c r="E9" s="3"/>
      <c r="F9" s="3"/>
      <c r="G9" s="3"/>
      <c r="H9" s="3"/>
      <c r="I9" s="3" t="str">
        <f>IF(Indice_index!$Z$1=1,"€ Milhões","€ Millions")</f>
        <v>€ Milhões</v>
      </c>
    </row>
    <row r="10" spans="1:11"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22" t="str">
        <f>IF(Indice_index!$Z$1=1,"Grau de Execução (%)","Execution Rate (%)")</f>
        <v>Grau de Execução (%)</v>
      </c>
      <c r="H10" s="391" t="str">
        <f>IF(Indice_index!$Z$1=1,"Variação Homóloga Acumulada","YOY Change Rate")</f>
        <v>Variação Homóloga Acumulada</v>
      </c>
      <c r="I10" s="388"/>
    </row>
    <row r="11" spans="1:11" ht="26.85" customHeight="1">
      <c r="B11" s="389"/>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1" ht="14.1" customHeight="1">
      <c r="B12" s="174" t="str">
        <f>IF(Indice_index!$Z$1=1,"Receita corrente","Current revenue")</f>
        <v>Receita corrente</v>
      </c>
      <c r="C12" s="134">
        <f>+C13+C16+C17+C18+C23+C24</f>
        <v>66036.970812379994</v>
      </c>
      <c r="D12" s="134">
        <f>+D13+D16+D17+D18+D23+D24</f>
        <v>68445.574032999997</v>
      </c>
      <c r="E12" s="134">
        <f>+E13+E16+E17+E18+E23+E24</f>
        <v>49352.093948170004</v>
      </c>
      <c r="F12" s="134">
        <f>+F13+F16+F17+F18+F23+F24</f>
        <v>51777.277543810007</v>
      </c>
      <c r="G12" s="134">
        <f>IFERROR(IF(F12/D12*100&lt;-500,"-",IF(F12/D12*100&gt;500,"-",F12/D12*100)),"-")</f>
        <v>75.647371324326059</v>
      </c>
      <c r="H12" s="134">
        <f>IF(IFERROR((F12-E12)/E12*100,"")&gt;500,"-",IFERROR((F12-E12)/E12*100,""))</f>
        <v>4.9140439677938517</v>
      </c>
      <c r="I12" s="134">
        <f t="shared" ref="I12:I23" si="0">IFERROR((F12-E12)/$E$34*100,"-")</f>
        <v>4.8878512063733517</v>
      </c>
    </row>
    <row r="13" spans="1:11" ht="14.1" customHeight="1">
      <c r="B13" s="125" t="str">
        <f>IF(Indice_index!$Z$1=1,"Receita fiscal","Tax")</f>
        <v>Receita fiscal</v>
      </c>
      <c r="C13" s="4">
        <f>SUM(C14:C15)</f>
        <v>60629.394838939996</v>
      </c>
      <c r="D13" s="4">
        <f>SUM(D14:D15)</f>
        <v>63370.941067</v>
      </c>
      <c r="E13" s="4">
        <f>SUM(E14:E15)</f>
        <v>45396.116251300002</v>
      </c>
      <c r="F13" s="4">
        <f>SUM(F14:F15)</f>
        <v>48014.829193980004</v>
      </c>
      <c r="G13" s="4">
        <f t="shared" ref="G13:G32" si="1">IFERROR(IF(F13/D13*100&lt;-500,"-",IF(F13/D13*100&gt;500,"-",F13/D13*100)),"-")</f>
        <v>75.767896745001025</v>
      </c>
      <c r="H13" s="4">
        <f t="shared" ref="H13:H23" si="2">IF(IFERROR((F13-E13)/E13*100,"")&gt;500,"-",IFERROR((F13-E13)/E13*100,""))</f>
        <v>5.7685836563276718</v>
      </c>
      <c r="I13" s="4">
        <f t="shared" si="0"/>
        <v>5.2779011201607959</v>
      </c>
    </row>
    <row r="14" spans="1:11" ht="14.1" customHeight="1">
      <c r="B14" s="172" t="str">
        <f>IF(Indice_index!$Z$1=1,"Impostos diretos","Direct taxes")</f>
        <v>Impostos diretos</v>
      </c>
      <c r="C14" s="4">
        <v>27679.896564609997</v>
      </c>
      <c r="D14" s="4">
        <v>27974.777635999999</v>
      </c>
      <c r="E14" s="4">
        <v>21409.548414920002</v>
      </c>
      <c r="F14" s="4">
        <v>21997.651640730001</v>
      </c>
      <c r="G14" s="4">
        <f t="shared" si="1"/>
        <v>78.633874867415585</v>
      </c>
      <c r="H14" s="4">
        <f t="shared" si="2"/>
        <v>2.7469202731999616</v>
      </c>
      <c r="I14" s="4">
        <f t="shared" si="0"/>
        <v>1.1852962666065159</v>
      </c>
    </row>
    <row r="15" spans="1:11" ht="14.1" customHeight="1">
      <c r="B15" s="172" t="str">
        <f>IF(Indice_index!$Z$1=1,"Impostos indiretos","Indirect taxes")</f>
        <v>Impostos indiretos</v>
      </c>
      <c r="C15" s="4">
        <v>32949.498274329999</v>
      </c>
      <c r="D15" s="4">
        <v>35396.163431000001</v>
      </c>
      <c r="E15" s="4">
        <v>23986.567836380003</v>
      </c>
      <c r="F15" s="4">
        <v>26017.177553250003</v>
      </c>
      <c r="G15" s="4">
        <f t="shared" si="1"/>
        <v>73.502817908406797</v>
      </c>
      <c r="H15" s="4">
        <f t="shared" si="2"/>
        <v>8.4656117987426693</v>
      </c>
      <c r="I15" s="4">
        <f t="shared" si="0"/>
        <v>4.0926048535542732</v>
      </c>
    </row>
    <row r="16" spans="1:11" ht="14.1" customHeight="1">
      <c r="B16" s="125" t="str">
        <f>IF(Indice_index!$Z$1=1,"Contribuições para Segurança Social, CGA e ADSE","Social security, CGA and ADSE contributions")</f>
        <v>Contribuições para Segurança Social, CGA e ADSE</v>
      </c>
      <c r="C16" s="4">
        <v>84.298464389999992</v>
      </c>
      <c r="D16" s="4">
        <v>81.900053</v>
      </c>
      <c r="E16" s="4">
        <v>58.085472330000002</v>
      </c>
      <c r="F16" s="4">
        <v>63.591528400000009</v>
      </c>
      <c r="G16" s="4">
        <f t="shared" si="1"/>
        <v>77.645283575091227</v>
      </c>
      <c r="H16" s="4">
        <f t="shared" si="2"/>
        <v>9.4792309490375573</v>
      </c>
      <c r="I16" s="4">
        <f t="shared" si="0"/>
        <v>1.1097214599543175E-2</v>
      </c>
    </row>
    <row r="17" spans="2:9" ht="14.1" customHeight="1">
      <c r="B17" s="125" t="str">
        <f>IF(Indice_index!$Z$1=1,"Taxas, multas e outras penalidades","Taxes, fines and other penalties")</f>
        <v>Taxas, multas e outras penalidades</v>
      </c>
      <c r="C17" s="4">
        <v>944.89052092000009</v>
      </c>
      <c r="D17" s="4">
        <v>897.49934900000005</v>
      </c>
      <c r="E17" s="4">
        <v>733.97674216999997</v>
      </c>
      <c r="F17" s="4">
        <v>768.32646286000011</v>
      </c>
      <c r="G17" s="4">
        <f t="shared" si="1"/>
        <v>85.60746742781204</v>
      </c>
      <c r="H17" s="4">
        <f t="shared" si="2"/>
        <v>4.6799467498718421</v>
      </c>
      <c r="I17" s="4">
        <f t="shared" si="0"/>
        <v>6.923035600894259E-2</v>
      </c>
    </row>
    <row r="18" spans="2:9" ht="14.1" customHeight="1">
      <c r="B18" s="125" t="str">
        <f>IF(Indice_index!$Z$1=1,"Transferências correntes","Current transfers")</f>
        <v>Transferências correntes</v>
      </c>
      <c r="C18" s="4">
        <f>SUM(C19:C22)</f>
        <v>1181.8375162300001</v>
      </c>
      <c r="D18" s="4">
        <f>SUM(D19:D22)</f>
        <v>1305.3838210000001</v>
      </c>
      <c r="E18" s="4">
        <f>SUM(E19:E22)</f>
        <v>763.58917667999992</v>
      </c>
      <c r="F18" s="4">
        <f>SUM(F19:F22)</f>
        <v>761.48375955000006</v>
      </c>
      <c r="G18" s="4">
        <f t="shared" si="1"/>
        <v>58.334088970603226</v>
      </c>
      <c r="H18" s="4">
        <f t="shared" si="2"/>
        <v>-0.27572642388070268</v>
      </c>
      <c r="I18" s="4">
        <f t="shared" si="0"/>
        <v>-4.243375914833856E-3</v>
      </c>
    </row>
    <row r="19" spans="2:9" ht="14.1" customHeight="1">
      <c r="B19" s="172" t="str">
        <f>IF(Indice_index!$Z$1=1,"Administração Central","Central Administration")</f>
        <v>Administração Central</v>
      </c>
      <c r="C19" s="4">
        <v>640.03516144000002</v>
      </c>
      <c r="D19" s="4">
        <v>572.20419300000003</v>
      </c>
      <c r="E19" s="4">
        <v>368.52541851000001</v>
      </c>
      <c r="F19" s="4">
        <v>389.85771704999991</v>
      </c>
      <c r="G19" s="4">
        <f t="shared" si="1"/>
        <v>68.132621504575354</v>
      </c>
      <c r="H19" s="4">
        <f t="shared" si="2"/>
        <v>5.7885555428576332</v>
      </c>
      <c r="I19" s="4">
        <f t="shared" si="0"/>
        <v>4.2994312406248368E-2</v>
      </c>
    </row>
    <row r="20" spans="2:9" ht="14.1" customHeight="1">
      <c r="B20" s="172" t="str">
        <f>IF(Indice_index!$Z$1=1,"Outros subsetores das Administrações Públicas","Other General Government subsectors")</f>
        <v>Outros subsetores das Administrações Públicas</v>
      </c>
      <c r="C20" s="4">
        <v>263.31319848999999</v>
      </c>
      <c r="D20" s="4">
        <v>259.47413000000006</v>
      </c>
      <c r="E20" s="4">
        <v>206.58174152000004</v>
      </c>
      <c r="F20" s="4">
        <v>205.78416744000003</v>
      </c>
      <c r="G20" s="4">
        <f t="shared" si="1"/>
        <v>79.308163569138856</v>
      </c>
      <c r="H20" s="4">
        <f t="shared" si="2"/>
        <v>-0.38608159372244788</v>
      </c>
      <c r="I20" s="4">
        <f t="shared" si="0"/>
        <v>-1.6074755891095111E-3</v>
      </c>
    </row>
    <row r="21" spans="2:9" ht="14.1" customHeight="1">
      <c r="B21" s="172" t="str">
        <f>IF(Indice_index!$Z$1=1,"União Europeia","European Union")</f>
        <v>União Europeia</v>
      </c>
      <c r="C21" s="4">
        <v>252.98639382000002</v>
      </c>
      <c r="D21" s="4">
        <v>434.42332299999998</v>
      </c>
      <c r="E21" s="4">
        <v>168.09071851999988</v>
      </c>
      <c r="F21" s="4">
        <v>146.60720088000002</v>
      </c>
      <c r="G21" s="4">
        <f t="shared" si="1"/>
        <v>33.747543724764526</v>
      </c>
      <c r="H21" s="4">
        <f t="shared" si="2"/>
        <v>-12.780906542108506</v>
      </c>
      <c r="I21" s="4">
        <f t="shared" si="0"/>
        <v>-4.329908787219261E-2</v>
      </c>
    </row>
    <row r="22" spans="2:9" ht="14.1" customHeight="1">
      <c r="B22" s="172" t="str">
        <f>IF(Indice_index!$Z$1=1,"Outras transferências","Other transfers")</f>
        <v>Outras transferências</v>
      </c>
      <c r="C22" s="4">
        <v>25.502762479999973</v>
      </c>
      <c r="D22" s="4">
        <v>39.282174999999995</v>
      </c>
      <c r="E22" s="4">
        <v>20.391298130000024</v>
      </c>
      <c r="F22" s="4">
        <v>19.234674180000013</v>
      </c>
      <c r="G22" s="4">
        <f t="shared" si="1"/>
        <v>48.965400159232573</v>
      </c>
      <c r="H22" s="4">
        <f t="shared" si="2"/>
        <v>-5.6721447679604378</v>
      </c>
      <c r="I22" s="4">
        <f t="shared" si="0"/>
        <v>-2.3311248597803324E-3</v>
      </c>
    </row>
    <row r="23" spans="2:9" ht="14.1" customHeight="1">
      <c r="B23" s="125" t="str">
        <f>IF(Indice_index!$Z$1=1,"Outras receitas correntes","Other current revenue")</f>
        <v>Outras receitas correntes</v>
      </c>
      <c r="C23" s="4">
        <v>3053.1692087799997</v>
      </c>
      <c r="D23" s="4">
        <v>2789.8497429999998</v>
      </c>
      <c r="E23" s="4">
        <v>2224.2992939099995</v>
      </c>
      <c r="F23" s="4">
        <v>2133.7192805</v>
      </c>
      <c r="G23" s="4">
        <f t="shared" si="1"/>
        <v>76.481512520654775</v>
      </c>
      <c r="H23" s="4">
        <f t="shared" si="2"/>
        <v>-4.0722943022102411</v>
      </c>
      <c r="I23" s="4">
        <f t="shared" si="0"/>
        <v>-0.18256004560452327</v>
      </c>
    </row>
    <row r="24" spans="2:9" ht="14.1" customHeight="1">
      <c r="B24" s="125" t="str">
        <f>IF(Indice_index!$Z$1=1,"Diferenças de consolidação","Consolidation differences")</f>
        <v>Diferenças de consolidação</v>
      </c>
      <c r="C24" s="4">
        <v>143.38026312000002</v>
      </c>
      <c r="D24" s="4">
        <v>0</v>
      </c>
      <c r="E24" s="4">
        <v>176.02701177999995</v>
      </c>
      <c r="F24" s="4">
        <v>35.327318519999949</v>
      </c>
      <c r="G24" s="4"/>
      <c r="H24" s="4"/>
      <c r="I24" s="4"/>
    </row>
    <row r="25" spans="2:9" ht="14.1" customHeight="1">
      <c r="B25" s="174" t="str">
        <f>IF(Indice_index!$Z$1=1,"Receita de capital","Capital revenue")</f>
        <v>Receita de capital</v>
      </c>
      <c r="C25" s="134">
        <f>C26+C27+C32+C33</f>
        <v>324.41140662999999</v>
      </c>
      <c r="D25" s="134">
        <f>D26+D27+D32+D33</f>
        <v>785.80446500000005</v>
      </c>
      <c r="E25" s="134">
        <f>E26+E27+E32+E33</f>
        <v>264.46542004000003</v>
      </c>
      <c r="F25" s="134">
        <f>F26+F27+F32+F33</f>
        <v>185.04036080000003</v>
      </c>
      <c r="G25" s="134">
        <f t="shared" si="1"/>
        <v>23.547888697730933</v>
      </c>
      <c r="H25" s="134">
        <f t="shared" ref="H25:H32" si="3">IF(IFERROR((F25-E25)/E25*100,"")&gt;500,"-",IFERROR((F25-E25)/E25*100,""))</f>
        <v>-30.032304120511128</v>
      </c>
      <c r="I25" s="134">
        <f t="shared" ref="I25:I32" si="4">IFERROR((F25-E25)/$E$34*100,"-")</f>
        <v>-0.16007772455679123</v>
      </c>
    </row>
    <row r="26" spans="2:9" ht="14.1" customHeight="1">
      <c r="B26" s="125" t="str">
        <f>IF(Indice_index!$Z$1=1,"Venda de bens de investimento","Sale of investment goods")</f>
        <v>Venda de bens de investimento</v>
      </c>
      <c r="C26" s="4">
        <v>3.1043571999999999</v>
      </c>
      <c r="D26" s="4">
        <v>420.23154599999998</v>
      </c>
      <c r="E26" s="4">
        <v>3.0555873899999995</v>
      </c>
      <c r="F26" s="4">
        <v>9.5154319999999987E-2</v>
      </c>
      <c r="G26" s="4">
        <f t="shared" si="1"/>
        <v>2.2643307220919583E-2</v>
      </c>
      <c r="H26" s="4">
        <f t="shared" si="3"/>
        <v>-96.885891062667341</v>
      </c>
      <c r="I26" s="4">
        <f t="shared" si="4"/>
        <v>-5.966623054271653E-3</v>
      </c>
    </row>
    <row r="27" spans="2:9" ht="14.1" customHeight="1">
      <c r="B27" s="125" t="str">
        <f>IF(Indice_index!$Z$1=1,"Transferências de capital","Capital transfers")</f>
        <v>Transferências de capital</v>
      </c>
      <c r="C27" s="4">
        <f>SUM(C28:C31)</f>
        <v>175.98204077</v>
      </c>
      <c r="D27" s="4">
        <f>SUM(D28:D31)</f>
        <v>362.15110700000002</v>
      </c>
      <c r="E27" s="4">
        <f>SUM(E28:E31)</f>
        <v>119.88480408999999</v>
      </c>
      <c r="F27" s="4">
        <f>SUM(F28:F31)</f>
        <v>178.88136006000002</v>
      </c>
      <c r="G27" s="4">
        <f t="shared" si="1"/>
        <v>49.39412212261994</v>
      </c>
      <c r="H27" s="4">
        <f t="shared" si="3"/>
        <v>49.211037560448531</v>
      </c>
      <c r="I27" s="4">
        <f t="shared" si="4"/>
        <v>0.1189049718908964</v>
      </c>
    </row>
    <row r="28" spans="2:9" ht="14.1" customHeight="1">
      <c r="B28" s="172" t="str">
        <f>IF(Indice_index!$Z$1=1,"Administração Central","Central Administration")</f>
        <v>Administração Central</v>
      </c>
      <c r="C28" s="4">
        <v>43.974031889999999</v>
      </c>
      <c r="D28" s="4">
        <v>48.038671000000001</v>
      </c>
      <c r="E28" s="4">
        <v>21.033747090000002</v>
      </c>
      <c r="F28" s="4">
        <v>85.178931109999994</v>
      </c>
      <c r="G28" s="4">
        <f t="shared" si="1"/>
        <v>177.31325479424689</v>
      </c>
      <c r="H28" s="4">
        <f t="shared" si="3"/>
        <v>304.96318010068831</v>
      </c>
      <c r="I28" s="4">
        <f t="shared" si="4"/>
        <v>0.12928180598733469</v>
      </c>
    </row>
    <row r="29" spans="2:9" ht="14.1" customHeight="1">
      <c r="B29" s="172" t="str">
        <f>IF(Indice_index!$Z$1=1,"Outros subsetores das Administrações Públicas","Other General Government subsectors")</f>
        <v>Outros subsetores das Administrações Públicas</v>
      </c>
      <c r="C29" s="4">
        <v>2.0156020000001718E-2</v>
      </c>
      <c r="D29" s="4">
        <v>1.6809689999999975</v>
      </c>
      <c r="E29" s="4">
        <v>0</v>
      </c>
      <c r="F29" s="4">
        <v>2.1756240000001981E-2</v>
      </c>
      <c r="G29" s="4">
        <f t="shared" si="1"/>
        <v>1.2942677705538896</v>
      </c>
      <c r="H29" s="4" t="str">
        <f t="shared" si="3"/>
        <v>-</v>
      </c>
      <c r="I29" s="4">
        <f t="shared" si="4"/>
        <v>4.3848747831437696E-5</v>
      </c>
    </row>
    <row r="30" spans="2:9" ht="14.1" customHeight="1">
      <c r="B30" s="172" t="str">
        <f>IF(Indice_index!$Z$1=1,"União Europeia","European Union")</f>
        <v>União Europeia</v>
      </c>
      <c r="C30" s="4">
        <v>125.70676276</v>
      </c>
      <c r="D30" s="4">
        <v>312.18987700000002</v>
      </c>
      <c r="E30" s="4">
        <v>92.724584129999982</v>
      </c>
      <c r="F30" s="4">
        <v>89.515408640000018</v>
      </c>
      <c r="G30" s="4">
        <f t="shared" si="1"/>
        <v>28.673386049605966</v>
      </c>
      <c r="H30" s="4">
        <f t="shared" si="3"/>
        <v>-3.4609758783071989</v>
      </c>
      <c r="I30" s="4">
        <f t="shared" si="4"/>
        <v>-6.4679524958276861E-3</v>
      </c>
    </row>
    <row r="31" spans="2:9" ht="14.1" customHeight="1">
      <c r="B31" s="172" t="str">
        <f>IF(Indice_index!$Z$1=1,"Outras transferências","Other transfers")</f>
        <v>Outras transferências</v>
      </c>
      <c r="C31" s="4">
        <v>6.2810901000000001</v>
      </c>
      <c r="D31" s="4">
        <v>0.24158999999997377</v>
      </c>
      <c r="E31" s="4">
        <v>6.1264728700000006</v>
      </c>
      <c r="F31" s="4">
        <v>4.1652640699999921</v>
      </c>
      <c r="G31" s="4" t="str">
        <f t="shared" si="1"/>
        <v>-</v>
      </c>
      <c r="H31" s="4">
        <f t="shared" si="3"/>
        <v>-32.012037621248915</v>
      </c>
      <c r="I31" s="4">
        <f t="shared" si="4"/>
        <v>-3.9527303484420597E-3</v>
      </c>
    </row>
    <row r="32" spans="2:9" ht="14.1" customHeight="1">
      <c r="B32" s="125" t="str">
        <f>IF(Indice_index!$Z$1=1,"Outras receitas de capital","Other capital revenue")</f>
        <v>Outras receitas de capital</v>
      </c>
      <c r="C32" s="4">
        <v>145.32500866000001</v>
      </c>
      <c r="D32" s="4">
        <v>3.4218120000000001</v>
      </c>
      <c r="E32" s="4">
        <v>141.52502856000001</v>
      </c>
      <c r="F32" s="4">
        <v>3.7891442999999998</v>
      </c>
      <c r="G32" s="4">
        <f t="shared" si="1"/>
        <v>110.73502284754393</v>
      </c>
      <c r="H32" s="4">
        <f t="shared" si="3"/>
        <v>-97.322633078718241</v>
      </c>
      <c r="I32" s="4">
        <f t="shared" si="4"/>
        <v>-0.27760063578340188</v>
      </c>
    </row>
    <row r="33" spans="2:10" ht="14.1" customHeight="1">
      <c r="B33" s="125" t="str">
        <f>IF(Indice_index!$Z$1=1,"Diferenças de consolidação","Consolidation differences")</f>
        <v>Diferenças de consolidação</v>
      </c>
      <c r="C33" s="4">
        <v>0</v>
      </c>
      <c r="D33" s="4">
        <v>0</v>
      </c>
      <c r="E33" s="4">
        <v>0</v>
      </c>
      <c r="F33" s="4">
        <v>2.2747021199999935</v>
      </c>
      <c r="G33" s="4"/>
      <c r="H33" s="4"/>
      <c r="I33" s="4"/>
    </row>
    <row r="34" spans="2:10" ht="14.1" customHeight="1">
      <c r="B34" s="30" t="str">
        <f>IF(Indice_index!$Z$1=1,"Receita efetiva","Effective revenue")</f>
        <v>Receita efetiva</v>
      </c>
      <c r="C34" s="18">
        <f>+C12+C25</f>
        <v>66361.382219009989</v>
      </c>
      <c r="D34" s="18">
        <f>+D12+D25</f>
        <v>69231.378497999991</v>
      </c>
      <c r="E34" s="18">
        <f>+E12+E25</f>
        <v>49616.559368210001</v>
      </c>
      <c r="F34" s="18">
        <f>+F12+F25</f>
        <v>51962.317904610005</v>
      </c>
      <c r="G34" s="18">
        <f>IFERROR(IF(F34/D34*100&lt;-500,"-",IF(F34/D34*100&gt;500,"-",F34/D34*100)),"-")</f>
        <v>75.056020885256729</v>
      </c>
      <c r="H34" s="18">
        <f>IFERROR((F34-E34)/E34*100,"-")</f>
        <v>4.7277734818165635</v>
      </c>
      <c r="I34" s="18"/>
    </row>
    <row r="35" spans="2:10" ht="14.1" customHeight="1">
      <c r="B35" s="174" t="str">
        <f>IF(Indice_index!$Z$1=1,"Despesa corrente","Current Expenditure")</f>
        <v>Despesa corrente</v>
      </c>
      <c r="C35" s="134">
        <f>+C36+C40+C41+C42+C47+C48+C49</f>
        <v>67354.823346900012</v>
      </c>
      <c r="D35" s="134">
        <f>+D36+D40+D41+D42+D47+D48+D49</f>
        <v>71213.361628000013</v>
      </c>
      <c r="E35" s="134">
        <f>+E36+E40+E41+E42+E47+E48+E49</f>
        <v>48404.502808869991</v>
      </c>
      <c r="F35" s="134">
        <f>+F36+F40+F41+F42+F47+F48+F49</f>
        <v>50512.72026356998</v>
      </c>
      <c r="G35" s="134">
        <f>IFERROR(IF(F35/D35*100&lt;-500,"-",IF(F35/D35*100&gt;500,"-",F35/D35*100)),"-")</f>
        <v>70.931520586593322</v>
      </c>
      <c r="H35" s="134">
        <f t="shared" ref="H35:H48" si="5">IF(IFERROR((F35-E35)/E35*100,"")&gt;500,"-",IFERROR((F35-E35)/E35*100,""))</f>
        <v>4.3554159889308144</v>
      </c>
      <c r="I35" s="134">
        <f t="shared" ref="I35:I48" si="6">IFERROR((F35-E35)/$E$59*100,"-")</f>
        <v>4.1272403652769052</v>
      </c>
    </row>
    <row r="36" spans="2:10" ht="14.1" customHeight="1">
      <c r="B36" s="125" t="str">
        <f>IF(Indice_index!$Z$1=1,"Despesas com o pessoal","Employees")</f>
        <v>Despesas com o pessoal</v>
      </c>
      <c r="C36" s="4">
        <f>SUM(C37:C39)</f>
        <v>11320.009222369999</v>
      </c>
      <c r="D36" s="4">
        <f>SUM(D37:D39)</f>
        <v>11695.091603000001</v>
      </c>
      <c r="E36" s="4">
        <f>SUM(E37:E39)</f>
        <v>8043.7860581900004</v>
      </c>
      <c r="F36" s="4">
        <f>SUM(F37:F39)</f>
        <v>8662.4629914800043</v>
      </c>
      <c r="G36" s="4">
        <f t="shared" ref="G36:G57" si="7">IFERROR(IF(F36/D36*100&lt;-500,"-",IF(F36/D36*100&gt;500,"-",F36/D36*100)),"-")</f>
        <v>74.069218827306386</v>
      </c>
      <c r="H36" s="4">
        <f t="shared" si="5"/>
        <v>7.6913648475282494</v>
      </c>
      <c r="I36" s="4">
        <f t="shared" si="6"/>
        <v>1.2111788593950328</v>
      </c>
    </row>
    <row r="37" spans="2:10" ht="14.1" customHeight="1">
      <c r="B37" s="172" t="str">
        <f>IF(Indice_index!$Z$1=1,"Remunerações certas e permanentes","Certain and permanent wages")</f>
        <v>Remunerações certas e permanentes</v>
      </c>
      <c r="C37" s="4">
        <v>8170.8594972200008</v>
      </c>
      <c r="D37" s="4">
        <v>8725.9871120000007</v>
      </c>
      <c r="E37" s="4">
        <v>5780.2008401500007</v>
      </c>
      <c r="F37" s="4">
        <v>6249.3357162100028</v>
      </c>
      <c r="G37" s="4">
        <f t="shared" si="7"/>
        <v>71.61752173133398</v>
      </c>
      <c r="H37" s="4">
        <f t="shared" si="5"/>
        <v>8.1162383286292137</v>
      </c>
      <c r="I37" s="4">
        <f t="shared" si="6"/>
        <v>0.91842157597047136</v>
      </c>
    </row>
    <row r="38" spans="2:10" ht="14.1" customHeight="1">
      <c r="B38" s="172" t="str">
        <f>IF(Indice_index!$Z$1=1,"Abonos variáveis ou eventuais","Variable or contingent bonuses")</f>
        <v>Abonos variáveis ou eventuais</v>
      </c>
      <c r="C38" s="4">
        <v>458.76556926999984</v>
      </c>
      <c r="D38" s="4">
        <v>464.48323399999998</v>
      </c>
      <c r="E38" s="4">
        <v>341.96898301000004</v>
      </c>
      <c r="F38" s="4">
        <v>367.72651027000001</v>
      </c>
      <c r="G38" s="4">
        <f t="shared" si="7"/>
        <v>79.168952365242959</v>
      </c>
      <c r="H38" s="4">
        <f t="shared" si="5"/>
        <v>7.5321238298523534</v>
      </c>
      <c r="I38" s="4">
        <f t="shared" si="6"/>
        <v>5.0425304078663108E-2</v>
      </c>
    </row>
    <row r="39" spans="2:10" ht="14.1" customHeight="1">
      <c r="B39" s="172" t="str">
        <f>IF(Indice_index!$Z$1=1,"Segurança social","Social security")</f>
        <v>Segurança social</v>
      </c>
      <c r="C39" s="4">
        <v>2690.38415588</v>
      </c>
      <c r="D39" s="4">
        <v>2504.6212569999998</v>
      </c>
      <c r="E39" s="4">
        <v>1921.6162350299996</v>
      </c>
      <c r="F39" s="4">
        <v>2045.4007650000005</v>
      </c>
      <c r="G39" s="4">
        <f t="shared" si="7"/>
        <v>81.665072484849574</v>
      </c>
      <c r="H39" s="4">
        <f t="shared" si="5"/>
        <v>6.4416883930036333</v>
      </c>
      <c r="I39" s="4">
        <f t="shared" si="6"/>
        <v>0.2423319793458967</v>
      </c>
    </row>
    <row r="40" spans="2:10" ht="14.1" customHeight="1">
      <c r="B40" s="125" t="str">
        <f>IF(Indice_index!$Z$1=1,"Aquisição de bens e serviços","Purchase of goods and services")</f>
        <v>Aquisição de bens e serviços</v>
      </c>
      <c r="C40" s="4">
        <v>2130.3597161200005</v>
      </c>
      <c r="D40" s="4">
        <v>2426.2900049999998</v>
      </c>
      <c r="E40" s="4">
        <v>1155.3316225899998</v>
      </c>
      <c r="F40" s="4">
        <v>985.68267661999971</v>
      </c>
      <c r="G40" s="4">
        <f t="shared" si="7"/>
        <v>40.625097353933157</v>
      </c>
      <c r="H40" s="4">
        <f t="shared" si="5"/>
        <v>-14.684004371808367</v>
      </c>
      <c r="I40" s="4">
        <f t="shared" si="6"/>
        <v>-0.3321203778922821</v>
      </c>
      <c r="J40" s="51"/>
    </row>
    <row r="41" spans="2:10" ht="14.1" customHeight="1">
      <c r="B41" s="125" t="str">
        <f>IF(Indice_index!$Z$1=1,"Juros e outros encargos","Interests")</f>
        <v>Juros e outros encargos</v>
      </c>
      <c r="C41" s="4">
        <v>6801.4313721899998</v>
      </c>
      <c r="D41" s="4">
        <v>7000.2060430000001</v>
      </c>
      <c r="E41" s="4">
        <v>4986.1744089899994</v>
      </c>
      <c r="F41" s="4">
        <v>5009.5079232899998</v>
      </c>
      <c r="G41" s="4">
        <f t="shared" si="7"/>
        <v>71.562292488509826</v>
      </c>
      <c r="H41" s="4">
        <f t="shared" si="5"/>
        <v>0.46796426250013246</v>
      </c>
      <c r="I41" s="4">
        <f t="shared" si="6"/>
        <v>4.5679833391016091E-2</v>
      </c>
    </row>
    <row r="42" spans="2:10" ht="14.1" customHeight="1">
      <c r="B42" s="125" t="str">
        <f>IF(Indice_index!$Z$1=1,"Transferências correntes","Current transfers")</f>
        <v>Transferências correntes</v>
      </c>
      <c r="C42" s="4">
        <f>SUM(C43:C46)</f>
        <v>46715.78892235001</v>
      </c>
      <c r="D42" s="4">
        <f>SUM(D43:D46)</f>
        <v>48551.103077</v>
      </c>
      <c r="E42" s="4">
        <f>SUM(E43:E46)</f>
        <v>33963.26217278</v>
      </c>
      <c r="F42" s="4">
        <f>SUM(F43:F46)</f>
        <v>35532.656599159978</v>
      </c>
      <c r="G42" s="4">
        <f t="shared" si="7"/>
        <v>73.186095365962515</v>
      </c>
      <c r="H42" s="4">
        <f t="shared" si="5"/>
        <v>4.6208589104193187</v>
      </c>
      <c r="I42" s="4">
        <f t="shared" si="6"/>
        <v>3.0723908537783142</v>
      </c>
    </row>
    <row r="43" spans="2:10" ht="14.1" customHeight="1">
      <c r="B43" s="172" t="str">
        <f>IF(Indice_index!$Z$1=1,"Administração Central","Central Administration")</f>
        <v>Administração Central</v>
      </c>
      <c r="C43" s="4">
        <v>25970.956975510006</v>
      </c>
      <c r="D43" s="4">
        <v>27043.034221999998</v>
      </c>
      <c r="E43" s="4">
        <v>18943.128388279994</v>
      </c>
      <c r="F43" s="4">
        <v>19701.481918949983</v>
      </c>
      <c r="G43" s="4">
        <f t="shared" si="7"/>
        <v>72.852335123410342</v>
      </c>
      <c r="H43" s="4">
        <f t="shared" si="5"/>
        <v>4.0033172722367105</v>
      </c>
      <c r="I43" s="4">
        <f t="shared" si="6"/>
        <v>1.4846226113694894</v>
      </c>
    </row>
    <row r="44" spans="2:10" ht="14.1" customHeight="1">
      <c r="B44" s="172" t="str">
        <f>IF(Indice_index!$Z$1=1,"Outros subsetores das Administrações Públicas","Other General Government subsectors")</f>
        <v>Outros subsetores das Administrações Públicas</v>
      </c>
      <c r="C44" s="4">
        <v>16726.025449100005</v>
      </c>
      <c r="D44" s="4">
        <v>17852.057277000004</v>
      </c>
      <c r="E44" s="4">
        <v>12143.665877290001</v>
      </c>
      <c r="F44" s="4">
        <v>13111.455445979998</v>
      </c>
      <c r="G44" s="4">
        <f t="shared" si="7"/>
        <v>73.445067100878958</v>
      </c>
      <c r="H44" s="4">
        <f t="shared" si="5"/>
        <v>7.9695009601661635</v>
      </c>
      <c r="I44" s="4">
        <f t="shared" si="6"/>
        <v>1.8946338595606096</v>
      </c>
    </row>
    <row r="45" spans="2:10" ht="14.1" customHeight="1">
      <c r="B45" s="172" t="str">
        <f>IF(Indice_index!$Z$1=1,"União Europeia","European Union")</f>
        <v>União Europeia</v>
      </c>
      <c r="C45" s="4">
        <v>2496.7226769700005</v>
      </c>
      <c r="D45" s="4">
        <v>2835.4554659999999</v>
      </c>
      <c r="E45" s="4">
        <v>1766.7516171599998</v>
      </c>
      <c r="F45" s="4">
        <v>2122.1074358400001</v>
      </c>
      <c r="G45" s="4">
        <f t="shared" si="7"/>
        <v>74.841853849804039</v>
      </c>
      <c r="H45" s="4">
        <f t="shared" si="5"/>
        <v>20.113513140643057</v>
      </c>
      <c r="I45" s="4">
        <f t="shared" si="6"/>
        <v>0.69567722989032432</v>
      </c>
    </row>
    <row r="46" spans="2:10" ht="14.1" customHeight="1">
      <c r="B46" s="172" t="str">
        <f>IF(Indice_index!$Z$1=1,"Outras transferências","Other transfers")</f>
        <v>Outras transferências</v>
      </c>
      <c r="C46" s="4">
        <v>1522.0838207699999</v>
      </c>
      <c r="D46" s="4">
        <v>820.55611200000021</v>
      </c>
      <c r="E46" s="4">
        <v>1109.7162900500009</v>
      </c>
      <c r="F46" s="4">
        <v>597.61179838999988</v>
      </c>
      <c r="G46" s="4">
        <f t="shared" si="7"/>
        <v>72.83009530370785</v>
      </c>
      <c r="H46" s="4">
        <f t="shared" si="5"/>
        <v>-46.147334796439452</v>
      </c>
      <c r="I46" s="4">
        <f t="shared" si="6"/>
        <v>-1.0025428470420956</v>
      </c>
    </row>
    <row r="47" spans="2:10" ht="14.1" customHeight="1">
      <c r="B47" s="125" t="str">
        <f>IF(Indice_index!$Z$1=1,"Subsídios","Subsidies")</f>
        <v>Subsídios</v>
      </c>
      <c r="C47" s="4">
        <v>268.84527562</v>
      </c>
      <c r="D47" s="4">
        <v>352.88835499999999</v>
      </c>
      <c r="E47" s="4">
        <v>170.52653848999998</v>
      </c>
      <c r="F47" s="4">
        <v>248.82510465000001</v>
      </c>
      <c r="G47" s="4">
        <f t="shared" si="7"/>
        <v>70.510999052377358</v>
      </c>
      <c r="H47" s="4">
        <f t="shared" si="5"/>
        <v>45.915765870420003</v>
      </c>
      <c r="I47" s="4">
        <f t="shared" si="6"/>
        <v>0.15328447360988368</v>
      </c>
    </row>
    <row r="48" spans="2:10" ht="14.1" customHeight="1">
      <c r="B48" s="125" t="str">
        <f>IF(Indice_index!$Z$1=1,"Outras despesas correntes","Other current expenditure")</f>
        <v>Outras despesas correntes</v>
      </c>
      <c r="C48" s="4">
        <v>118.31294442999994</v>
      </c>
      <c r="D48" s="4">
        <v>1186.7730180000001</v>
      </c>
      <c r="E48" s="4">
        <v>85.334151759999955</v>
      </c>
      <c r="F48" s="4">
        <v>73.55468178000001</v>
      </c>
      <c r="G48" s="4">
        <f t="shared" si="7"/>
        <v>6.1978727746909392</v>
      </c>
      <c r="H48" s="4">
        <f t="shared" si="5"/>
        <v>-13.803933990144291</v>
      </c>
      <c r="I48" s="4">
        <f t="shared" si="6"/>
        <v>-2.3060573696816182E-2</v>
      </c>
    </row>
    <row r="49" spans="2:9" ht="14.1" customHeight="1">
      <c r="B49" s="125" t="str">
        <f>IF(Indice_index!$Z$1=1,"Diferenças de consolidação","Consolidation differences")</f>
        <v>Diferenças de consolidação</v>
      </c>
      <c r="C49" s="4">
        <v>7.5893820000000001E-2</v>
      </c>
      <c r="D49" s="4">
        <v>1.0095269999999443</v>
      </c>
      <c r="E49" s="4">
        <v>8.7856070000000036E-2</v>
      </c>
      <c r="F49" s="4">
        <v>3.0286590000000002E-2</v>
      </c>
      <c r="G49" s="4"/>
      <c r="H49" s="4"/>
      <c r="I49" s="4"/>
    </row>
    <row r="50" spans="2:9" ht="14.1" customHeight="1">
      <c r="B50" s="174" t="str">
        <f>IF(Indice_index!$Z$1=1,"Despesa de capital","Capital expenditure")</f>
        <v>Despesa de capital</v>
      </c>
      <c r="C50" s="134">
        <f>+C51+C52+C57+C58</f>
        <v>4662.4904830300002</v>
      </c>
      <c r="D50" s="134">
        <f>+D51+D52+D57+D58</f>
        <v>5008.4531230000011</v>
      </c>
      <c r="E50" s="134">
        <f>+E51+E52+E57+E58</f>
        <v>2676.0563084699997</v>
      </c>
      <c r="F50" s="134">
        <f>+F51+F52+F57+F58</f>
        <v>2777.6446309099997</v>
      </c>
      <c r="G50" s="134">
        <f t="shared" si="7"/>
        <v>55.459132045269598</v>
      </c>
      <c r="H50" s="134">
        <f t="shared" ref="H50:H57" si="8">IF(IFERROR((F50-E50)/E50*100,"")&gt;500,"-",IFERROR((F50-E50)/E50*100,""))</f>
        <v>3.7961952488989947</v>
      </c>
      <c r="I50" s="134">
        <f t="shared" ref="I50:I57" si="9">IFERROR((F50-E50)/$E$59*100,"-")</f>
        <v>0.19887864227687052</v>
      </c>
    </row>
    <row r="51" spans="2:9" ht="14.1" customHeight="1">
      <c r="B51" s="125" t="str">
        <f>IF(Indice_index!$Z$1=1,"Investimento","Investment")</f>
        <v>Investimento</v>
      </c>
      <c r="C51" s="4">
        <v>1044.4613917099998</v>
      </c>
      <c r="D51" s="4">
        <v>1255.525173</v>
      </c>
      <c r="E51" s="4">
        <v>376.77046169000005</v>
      </c>
      <c r="F51" s="4">
        <v>494.99862577000005</v>
      </c>
      <c r="G51" s="4">
        <f t="shared" si="7"/>
        <v>39.425623349887232</v>
      </c>
      <c r="H51" s="4">
        <f t="shared" si="8"/>
        <v>31.379361203022331</v>
      </c>
      <c r="I51" s="4">
        <f t="shared" si="9"/>
        <v>0.23145432650494591</v>
      </c>
    </row>
    <row r="52" spans="2:9" ht="14.1" customHeight="1">
      <c r="B52" s="125" t="str">
        <f>IF(Indice_index!$Z$1=1,"Transferências de capital","Capital transfers")</f>
        <v>Transferências de capital</v>
      </c>
      <c r="C52" s="4">
        <f>SUM(C53:C56)</f>
        <v>3599.8443487900004</v>
      </c>
      <c r="D52" s="4">
        <f>SUM(D53:D56)</f>
        <v>3751.3836050000004</v>
      </c>
      <c r="E52" s="4">
        <f>SUM(E53:E56)</f>
        <v>2296.0268791499998</v>
      </c>
      <c r="F52" s="4">
        <f>SUM(F53:F56)</f>
        <v>2281.5628028599995</v>
      </c>
      <c r="G52" s="4">
        <f t="shared" si="7"/>
        <v>60.819234796970314</v>
      </c>
      <c r="H52" s="4">
        <f t="shared" si="8"/>
        <v>-0.62996110460845267</v>
      </c>
      <c r="I52" s="4">
        <f t="shared" si="9"/>
        <v>-2.8316205891118159E-2</v>
      </c>
    </row>
    <row r="53" spans="2:9" ht="14.1" customHeight="1">
      <c r="B53" s="172" t="str">
        <f>IF(Indice_index!$Z$1=1,"Administração Central","Central Administration")</f>
        <v>Administração Central</v>
      </c>
      <c r="C53" s="4">
        <v>2647.5181640600008</v>
      </c>
      <c r="D53" s="4">
        <v>3023.9412619999998</v>
      </c>
      <c r="E53" s="4">
        <v>1677.0692100599997</v>
      </c>
      <c r="F53" s="4">
        <v>1561.8916740499997</v>
      </c>
      <c r="G53" s="4">
        <f t="shared" si="7"/>
        <v>51.650860209400449</v>
      </c>
      <c r="H53" s="4">
        <f t="shared" si="8"/>
        <v>-6.8677866911574501</v>
      </c>
      <c r="I53" s="4">
        <f t="shared" si="9"/>
        <v>-0.22548213645316476</v>
      </c>
    </row>
    <row r="54" spans="2:9" ht="14.1" customHeight="1">
      <c r="B54" s="172" t="str">
        <f>IF(Indice_index!$Z$1=1,"Outros subsetores das Administrações Públicas","Other General Government subsectors")</f>
        <v>Outros subsetores das Administrações Públicas</v>
      </c>
      <c r="C54" s="4">
        <v>896.83274508999966</v>
      </c>
      <c r="D54" s="4">
        <v>687.0983210000004</v>
      </c>
      <c r="E54" s="4">
        <v>586.54443504999995</v>
      </c>
      <c r="F54" s="4">
        <v>706.32023288999994</v>
      </c>
      <c r="G54" s="4">
        <f t="shared" si="7"/>
        <v>102.79754895369618</v>
      </c>
      <c r="H54" s="4">
        <f t="shared" si="8"/>
        <v>20.420583792562912</v>
      </c>
      <c r="I54" s="4">
        <f t="shared" si="9"/>
        <v>0.2344841166770637</v>
      </c>
    </row>
    <row r="55" spans="2:9" ht="14.1" customHeight="1">
      <c r="B55" s="172" t="str">
        <f>IF(Indice_index!$Z$1=1,"União Europeia","European Union")</f>
        <v>União Europeia</v>
      </c>
      <c r="C55" s="4">
        <v>0</v>
      </c>
      <c r="D55" s="4">
        <v>2.095E-2</v>
      </c>
      <c r="E55" s="4">
        <v>0</v>
      </c>
      <c r="F55" s="4">
        <v>2.095E-2</v>
      </c>
      <c r="G55" s="4">
        <f t="shared" si="7"/>
        <v>100</v>
      </c>
      <c r="H55" s="4" t="str">
        <f t="shared" si="8"/>
        <v>-</v>
      </c>
      <c r="I55" s="4">
        <f t="shared" si="9"/>
        <v>4.1013646604522463E-5</v>
      </c>
    </row>
    <row r="56" spans="2:9" ht="14.1" customHeight="1">
      <c r="B56" s="172" t="str">
        <f>IF(Indice_index!$Z$1=1,"Outras transferências","Other transfers")</f>
        <v>Outras transferências</v>
      </c>
      <c r="C56" s="4">
        <v>55.493439639999998</v>
      </c>
      <c r="D56" s="4">
        <v>40.323072000000003</v>
      </c>
      <c r="E56" s="4">
        <v>32.413234040000006</v>
      </c>
      <c r="F56" s="4">
        <v>13.32994592</v>
      </c>
      <c r="G56" s="4">
        <f t="shared" si="7"/>
        <v>33.057863051703997</v>
      </c>
      <c r="H56" s="4">
        <f t="shared" si="8"/>
        <v>-58.874989445514778</v>
      </c>
      <c r="I56" s="4">
        <f t="shared" si="9"/>
        <v>-3.7359199761621102E-2</v>
      </c>
    </row>
    <row r="57" spans="2:9" ht="14.1" customHeight="1">
      <c r="B57" s="125" t="str">
        <f>IF(Indice_index!$Z$1=1,"Outras despesas de capital","Other capital expenditure")</f>
        <v>Outras despesas de capital</v>
      </c>
      <c r="C57" s="4">
        <v>1.97412133</v>
      </c>
      <c r="D57" s="4">
        <v>1.5443450000000001</v>
      </c>
      <c r="E57" s="4">
        <v>1.3809637100000001</v>
      </c>
      <c r="F57" s="4">
        <v>1.0832022800000001</v>
      </c>
      <c r="G57" s="4">
        <f t="shared" si="7"/>
        <v>70.139915627660926</v>
      </c>
      <c r="H57" s="4">
        <f t="shared" si="8"/>
        <v>-21.561857697187424</v>
      </c>
      <c r="I57" s="4">
        <f t="shared" si="9"/>
        <v>-5.829251581134726E-4</v>
      </c>
    </row>
    <row r="58" spans="2:9" ht="14.1" customHeight="1">
      <c r="B58" s="125" t="str">
        <f>IF(Indice_index!$Z$1=1,"Diferenças de consolidação","Consolidation differences")</f>
        <v>Diferenças de consolidação</v>
      </c>
      <c r="C58" s="4">
        <v>16.210621199999935</v>
      </c>
      <c r="D58" s="4">
        <v>0</v>
      </c>
      <c r="E58" s="4">
        <v>1.8780039199999976</v>
      </c>
      <c r="F58" s="4">
        <v>0</v>
      </c>
      <c r="G58" s="4"/>
      <c r="H58" s="4"/>
      <c r="I58" s="4"/>
    </row>
    <row r="59" spans="2:9" ht="14.1" customHeight="1">
      <c r="B59" s="30" t="str">
        <f>IF(Indice_index!$Z$1=1,"Despesa efetiva","Effective Expenditure")</f>
        <v>Despesa efetiva</v>
      </c>
      <c r="C59" s="18">
        <f>+C35+C50</f>
        <v>72017.313829930004</v>
      </c>
      <c r="D59" s="18">
        <f>+D35+D50</f>
        <v>76221.814751000013</v>
      </c>
      <c r="E59" s="18">
        <f>+E35+E50</f>
        <v>51080.559117339988</v>
      </c>
      <c r="F59" s="18">
        <f>+F35+F50</f>
        <v>53290.364894479979</v>
      </c>
      <c r="G59" s="18">
        <f>IFERROR(IF(F59/D59*100&lt;-500,"-",IF(F59/D59*100&gt;500,"-",F59/D59*100)),"-")</f>
        <v>69.914846646682378</v>
      </c>
      <c r="H59" s="18">
        <f>IFERROR((F59-E59)/E59*100,"-")</f>
        <v>4.3261190075537801</v>
      </c>
      <c r="I59" s="18"/>
    </row>
    <row r="60" spans="2:9" ht="14.1" customHeight="1">
      <c r="B60" s="30" t="str">
        <f>IF(Indice_index!$Z$1=1,"Saldo global","Overall Balance")</f>
        <v>Saldo global</v>
      </c>
      <c r="C60" s="18">
        <f>+C34-C59</f>
        <v>-5655.9316109200154</v>
      </c>
      <c r="D60" s="18">
        <f>+D34-D59</f>
        <v>-6990.4362530000217</v>
      </c>
      <c r="E60" s="18">
        <f>+E34-E59</f>
        <v>-1463.9997491299873</v>
      </c>
      <c r="F60" s="18">
        <f>+F34-F59</f>
        <v>-1328.0469898699739</v>
      </c>
      <c r="G60" s="18"/>
      <c r="H60" s="18"/>
      <c r="I60" s="18"/>
    </row>
    <row r="61" spans="2:9" ht="14.1" customHeight="1">
      <c r="B61" s="125" t="str">
        <f>IF(Indice_index!$Z$1=1,"Despesa primária","Primary Expenditure")</f>
        <v>Despesa primária</v>
      </c>
      <c r="C61" s="4">
        <f>+C59-C41</f>
        <v>65215.882457740008</v>
      </c>
      <c r="D61" s="4">
        <f>+D59-D41</f>
        <v>69221.608708000014</v>
      </c>
      <c r="E61" s="4">
        <f>+E59-E41</f>
        <v>46094.384708349986</v>
      </c>
      <c r="F61" s="4">
        <f>+F59-F41</f>
        <v>48280.856971189976</v>
      </c>
      <c r="G61" s="4">
        <f>IFERROR(IF(F61/D61*100&lt;-500,"-",IF(F61/D61*100&gt;500,"-",F61/D61*100)),"-")</f>
        <v>69.748244619472572</v>
      </c>
      <c r="H61" s="4">
        <f>IF(IFERROR((F61-E61)/E61*100,"")&gt;500,"-",IFERROR((F61-E61)/E61*100,""))</f>
        <v>4.7434677275210735</v>
      </c>
      <c r="I61" s="4"/>
    </row>
    <row r="62" spans="2:9" ht="14.1" customHeight="1">
      <c r="B62" s="125" t="str">
        <f>IF(Indice_index!$Z$1=1,"Saldo corrente","Current balance")</f>
        <v>Saldo corrente</v>
      </c>
      <c r="C62" s="4">
        <f>+C12-C35</f>
        <v>-1317.8525345200178</v>
      </c>
      <c r="D62" s="4">
        <f>+D12-D35</f>
        <v>-2767.7875950000162</v>
      </c>
      <c r="E62" s="4">
        <f>+E12-E35</f>
        <v>947.59113930001331</v>
      </c>
      <c r="F62" s="4">
        <f>+F12-F35</f>
        <v>1264.5572802400275</v>
      </c>
      <c r="G62" s="4"/>
      <c r="H62" s="4"/>
      <c r="I62" s="4"/>
    </row>
    <row r="63" spans="2:9" ht="14.1" customHeight="1">
      <c r="B63" s="125" t="str">
        <f>IF(Indice_index!$Z$1=1,"Saldo de capital","Capital balance")</f>
        <v>Saldo de capital</v>
      </c>
      <c r="C63" s="4">
        <f>+C25-C50</f>
        <v>-4338.0790764000003</v>
      </c>
      <c r="D63" s="4">
        <f>+D25-D50</f>
        <v>-4222.648658000001</v>
      </c>
      <c r="E63" s="4">
        <f>+E25-E50</f>
        <v>-2411.5908884299997</v>
      </c>
      <c r="F63" s="4">
        <f>+F25-F50</f>
        <v>-2592.6042701099996</v>
      </c>
      <c r="G63" s="4"/>
      <c r="H63" s="4"/>
      <c r="I63" s="4"/>
    </row>
    <row r="64" spans="2:9" ht="14.1" customHeight="1">
      <c r="B64" s="125" t="str">
        <f>IF(Indice_index!$Z$1=1,"Saldo primário","Primary balance")</f>
        <v>Saldo primário</v>
      </c>
      <c r="C64" s="4">
        <f>+C60+C41</f>
        <v>1145.4997612699844</v>
      </c>
      <c r="D64" s="4">
        <f>+D60+D41</f>
        <v>9.7697899999784568</v>
      </c>
      <c r="E64" s="4">
        <f>+E60+E41</f>
        <v>3522.1746598600121</v>
      </c>
      <c r="F64" s="4">
        <f>+F60+F41</f>
        <v>3681.4609334200259</v>
      </c>
      <c r="G64" s="4"/>
      <c r="H64" s="4"/>
      <c r="I64" s="4"/>
    </row>
    <row r="65" spans="2:9" ht="14.1" customHeight="1">
      <c r="B65" s="125" t="str">
        <f>IF(Indice_index!$Z$1=1,"Ativos financeiros líquidos de reembolsos","Financial assets net of reimbursements")</f>
        <v>Ativos financeiros líquidos de reembolsos</v>
      </c>
      <c r="C65" s="4">
        <v>4116.01332826</v>
      </c>
      <c r="D65" s="4">
        <v>11218.854867</v>
      </c>
      <c r="E65" s="4">
        <v>2229.0800976199994</v>
      </c>
      <c r="F65" s="4">
        <v>1934.4030397400002</v>
      </c>
      <c r="G65" s="4"/>
      <c r="H65" s="4"/>
      <c r="I65" s="4"/>
    </row>
    <row r="66" spans="2:9" ht="14.1" customHeight="1">
      <c r="B66" s="287" t="str">
        <f>IF(Indice_index!$Z$1=1,"dos quais Receitas de:","of which revenue from:")</f>
        <v>dos quais Receitas de:</v>
      </c>
      <c r="C66" s="4"/>
      <c r="D66" s="4"/>
      <c r="E66" s="4"/>
      <c r="F66" s="4"/>
      <c r="G66" s="4"/>
      <c r="H66" s="4"/>
      <c r="I66" s="4"/>
    </row>
    <row r="67" spans="2:9" ht="14.1" customHeight="1">
      <c r="B67" s="172" t="str">
        <f>IF(Indice_index!$Z$1=1,"Alienação de partes de Capital","Disposal of Capital Shares")</f>
        <v>Alienação de partes de Capital</v>
      </c>
      <c r="C67" s="4">
        <v>0</v>
      </c>
      <c r="D67" s="4">
        <v>0</v>
      </c>
      <c r="E67" s="4">
        <v>0</v>
      </c>
      <c r="F67" s="4">
        <v>0</v>
      </c>
      <c r="G67" s="4"/>
      <c r="H67" s="4"/>
      <c r="I67" s="4"/>
    </row>
    <row r="68" spans="2:9" ht="14.1" customHeight="1">
      <c r="B68" s="172" t="str">
        <f>IF(Indice_index!$Z$1=1,"Outros Ativos","Other Assets")</f>
        <v>Outros Ativos</v>
      </c>
      <c r="C68" s="4">
        <v>485.00960067</v>
      </c>
      <c r="D68" s="4">
        <v>202.03254999999999</v>
      </c>
      <c r="E68" s="4">
        <v>254.41774728000001</v>
      </c>
      <c r="F68" s="4">
        <v>247.99652560000001</v>
      </c>
      <c r="G68" s="4">
        <f>IFERROR(IF(F68/D68*100&lt;-500,"-",IF(F68/D68*100&gt;500,"-",F68/D68*100)),"-")</f>
        <v>122.75077733761219</v>
      </c>
      <c r="H68" s="4">
        <f>IF(IFERROR((F68-E68)/E68*100,"")&gt;500,"-",IFERROR((F68-E68)/E68*100,""))</f>
        <v>-2.5238890559521825</v>
      </c>
      <c r="I68" s="4"/>
    </row>
    <row r="69" spans="2:9" ht="14.1" customHeight="1">
      <c r="B69" s="173" t="str">
        <f>IF(Indice_index!$Z$1=1,"Passivos financeiros líquidos de amortizações","Financial liabilities net of amortizations")</f>
        <v>Passivos financeiros líquidos de amortizações</v>
      </c>
      <c r="C69" s="19">
        <v>9774.0890019900107</v>
      </c>
      <c r="D69" s="19">
        <v>18209.291120000009</v>
      </c>
      <c r="E69" s="19">
        <v>-5880.1343129099987</v>
      </c>
      <c r="F69" s="19">
        <v>11493.403087599989</v>
      </c>
      <c r="G69" s="19"/>
      <c r="H69" s="19"/>
      <c r="I69" s="19"/>
    </row>
    <row r="70" spans="2:9" ht="15">
      <c r="B70" s="9" t="str">
        <f>IF(Indice_index!$Z$1=1,"Notas:","Notes:")</f>
        <v>Notas:</v>
      </c>
      <c r="C70" s="9"/>
      <c r="D70" s="9"/>
      <c r="E70" s="9"/>
      <c r="F70" s="9"/>
      <c r="G70" s="9"/>
      <c r="H70" s="9"/>
      <c r="I70" s="9"/>
    </row>
    <row r="71" spans="2:9" ht="15">
      <c r="B71" s="392" t="str">
        <f>+'3 - Conta AC + SS'!$B$61</f>
        <v>Os dados de 2024 são mensalmente revistos e atualizados face ao publicado nas Sínteses de Execução Orçamental de 2024.</v>
      </c>
      <c r="C71" s="392"/>
      <c r="D71" s="392"/>
      <c r="E71" s="392"/>
      <c r="F71" s="392"/>
      <c r="G71" s="392"/>
      <c r="H71" s="392"/>
      <c r="I71" s="392"/>
    </row>
    <row r="72" spans="2:9" ht="24" hidden="1" customHeight="1">
      <c r="B72" s="394"/>
      <c r="C72" s="394"/>
      <c r="D72" s="394"/>
      <c r="E72" s="394"/>
      <c r="F72" s="394"/>
      <c r="G72" s="394"/>
      <c r="H72" s="394"/>
      <c r="I72" s="394"/>
    </row>
    <row r="73" spans="2:9" ht="24" hidden="1" customHeight="1">
      <c r="B73" s="394"/>
      <c r="C73" s="394"/>
      <c r="D73" s="394"/>
      <c r="E73" s="394"/>
      <c r="F73" s="394"/>
      <c r="G73" s="394"/>
      <c r="H73" s="394"/>
      <c r="I73" s="394"/>
    </row>
    <row r="74" spans="2:9" ht="14.85" customHeight="1">
      <c r="B74" s="31" t="str">
        <f>IF(Indice_index!$Z$1=1,"Fonte: Entidade Orçamental.","Source: Budgetary Entity.")</f>
        <v>Fonte: Entidade Orçamental.</v>
      </c>
    </row>
    <row r="75" spans="2:9" ht="14.85" customHeight="1"/>
  </sheetData>
  <mergeCells count="6">
    <mergeCell ref="B73:I73"/>
    <mergeCell ref="B10:B11"/>
    <mergeCell ref="E10:F10"/>
    <mergeCell ref="H10:I10"/>
    <mergeCell ref="B71:I71"/>
    <mergeCell ref="B72:I72"/>
  </mergeCells>
  <conditionalFormatting sqref="C12:I33">
    <cfRule type="cellIs" dxfId="66" priority="1" operator="equal">
      <formula>0</formula>
    </cfRule>
  </conditionalFormatting>
  <conditionalFormatting sqref="C35:I58">
    <cfRule type="cellIs" dxfId="65" priority="3" operator="equal">
      <formula>0</formula>
    </cfRule>
  </conditionalFormatting>
  <conditionalFormatting sqref="C61:I69">
    <cfRule type="cellIs" dxfId="64" priority="2"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C13 D13 C18 C25 C27 D27 D25 D18 E13:F13 E18:F18 E27:F27 E36:F36 E42:F42 E52:F5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8.5703125" style="55" customWidth="1"/>
    <col min="2" max="2" width="44.5703125" style="55" bestFit="1" customWidth="1"/>
    <col min="3" max="9" width="10.42578125" style="55" customWidth="1"/>
    <col min="10" max="10" width="8.5703125" style="55" customWidth="1"/>
    <col min="11" max="16384" width="8.5703125" hidden="1"/>
  </cols>
  <sheetData>
    <row r="1" spans="1:10"/>
    <row r="2" spans="1:10"/>
    <row r="3" spans="1:10"/>
    <row r="4" spans="1:10"/>
    <row r="5" spans="1:10" ht="18" customHeight="1">
      <c r="A5"/>
      <c r="B5" s="269" t="str">
        <f>IF(Indice_index!$Z$1=1,"ANEXOS ESTATÍSTICOS","STATISTICAL ANNEXES")</f>
        <v>ANEXOS ESTATÍSTICOS</v>
      </c>
      <c r="C5"/>
      <c r="D5"/>
      <c r="E5"/>
      <c r="F5"/>
      <c r="G5"/>
      <c r="H5"/>
      <c r="I5"/>
      <c r="J5"/>
    </row>
    <row r="6" spans="1:10" ht="18" customHeight="1">
      <c r="A6"/>
      <c r="B6" s="270" t="str">
        <f>IF(Indice_index!$Z$1=1,"Setembro de 2025","September 2025")</f>
        <v>Setembro de 2025</v>
      </c>
      <c r="C6"/>
      <c r="D6"/>
      <c r="E6"/>
      <c r="F6"/>
      <c r="G6"/>
      <c r="H6"/>
      <c r="I6"/>
      <c r="J6"/>
    </row>
    <row r="7" spans="1:10" ht="48.75" customHeight="1">
      <c r="B7" s="12"/>
      <c r="C7" s="13"/>
      <c r="D7" s="11"/>
      <c r="E7" s="11"/>
      <c r="F7" s="11"/>
      <c r="G7" s="11"/>
      <c r="H7" s="11"/>
      <c r="I7" s="11"/>
    </row>
    <row r="8" spans="1:10" ht="15.75">
      <c r="B8" s="1" t="str">
        <f>IF(Indice_index!$Z$1=1,"Quadro 6 - Receita do Estado","6 - State Revenue")</f>
        <v>Quadro 6 - Receita do Estado</v>
      </c>
      <c r="C8" s="2"/>
      <c r="D8" s="2"/>
      <c r="E8" s="2"/>
      <c r="F8" s="2"/>
      <c r="G8" s="2"/>
      <c r="H8" s="2"/>
      <c r="I8" s="2"/>
    </row>
    <row r="9" spans="1:10">
      <c r="B9" s="3" t="str">
        <f>+'3 - Conta AC + SS'!B9</f>
        <v>Período: janeiro a setembro</v>
      </c>
      <c r="C9" s="3"/>
      <c r="D9" s="3"/>
      <c r="E9" s="3"/>
      <c r="F9" s="3"/>
      <c r="G9" s="3"/>
      <c r="H9" s="3"/>
      <c r="I9" s="3" t="str">
        <f>IF(Indice_index!$Z$1=1,"€ Milhões","€ Millions")</f>
        <v>€ Milhões</v>
      </c>
    </row>
    <row r="10" spans="1:10" ht="26.85" customHeight="1">
      <c r="B10" s="390"/>
      <c r="C10" s="22" t="str">
        <f>IF(Indice_index!$Z$1=1,"CGE","Final execution")</f>
        <v>CGE</v>
      </c>
      <c r="D10" s="22" t="str">
        <f>IF(Indice_index!$Z$1=1,"Orçamento Inicial","Budget")</f>
        <v>Orçamento Inicial</v>
      </c>
      <c r="E10" s="391" t="str">
        <f>IF(Indice_index!$Z$1=1,"Execução Acumulada","Accumulated Execution")</f>
        <v>Execução Acumulada</v>
      </c>
      <c r="F10" s="388"/>
      <c r="G10" s="22" t="str">
        <f>IF(Indice_index!$Z$1=1,"Grau de Execução (%)","Execution Rate (%)")</f>
        <v>Grau de Execução (%)</v>
      </c>
      <c r="H10" s="391" t="str">
        <f>IF(Indice_index!$Z$1=1,"Variação Homóloga Acumulada","YOY Change Rate")</f>
        <v>Variação Homóloga Acumulada</v>
      </c>
      <c r="I10" s="388"/>
    </row>
    <row r="11" spans="1:10" ht="26.85" customHeight="1">
      <c r="B11" s="389"/>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fiscal","Tax revenue")</f>
        <v>Receita fiscal</v>
      </c>
      <c r="C12" s="134">
        <f>SUM(C13,C17)</f>
        <v>60629.394838940003</v>
      </c>
      <c r="D12" s="134">
        <f>SUM(D13,D17)</f>
        <v>63370.941067</v>
      </c>
      <c r="E12" s="134">
        <f>SUM(E13,E17)</f>
        <v>45396.116251300002</v>
      </c>
      <c r="F12" s="134">
        <f>SUM(F13,F17)</f>
        <v>48014.829193979996</v>
      </c>
      <c r="G12" s="134">
        <f>IFERROR(IF(F12/D12*100&lt;-500,"-",IF(F12/D12*100&gt;500,"-",F12/D12*100)),"-")</f>
        <v>75.767896745001011</v>
      </c>
      <c r="H12" s="134">
        <f t="shared" ref="H12:H25" si="0">IF(IFERROR((F12-E12)/E12*100,"")&gt;500,"-",IFERROR((F12-E12)/E12*100,""))</f>
        <v>5.7685836563276558</v>
      </c>
      <c r="I12" s="134">
        <f t="shared" ref="I12:I51" si="1">IFERROR((F12-E12)/$E$62*100,"-")</f>
        <v>5.2779011201607817</v>
      </c>
    </row>
    <row r="13" spans="1:10" ht="14.1" customHeight="1">
      <c r="B13" s="125" t="str">
        <f>IF(Indice_index!$Z$1=1,"Impostos diretos","Direct taxes")</f>
        <v>Impostos diretos</v>
      </c>
      <c r="C13" s="4">
        <f>SUM(C14:C16)</f>
        <v>27679.89656461</v>
      </c>
      <c r="D13" s="4">
        <f>SUM(D14:D16)</f>
        <v>27974.777635999999</v>
      </c>
      <c r="E13" s="4">
        <f>SUM(E14:E16)</f>
        <v>21409.548414920002</v>
      </c>
      <c r="F13" s="4">
        <f>SUM(F14:F16)</f>
        <v>21997.651640730001</v>
      </c>
      <c r="G13" s="4">
        <f t="shared" ref="G13:G61" si="2">IFERROR(IF(F13/D13*100&lt;-500,"-",IF(F13/D13*100&gt;500,"-",F13/D13*100)),"-")</f>
        <v>78.633874867415585</v>
      </c>
      <c r="H13" s="4">
        <f t="shared" si="0"/>
        <v>2.7469202731999616</v>
      </c>
      <c r="I13" s="4">
        <f t="shared" si="1"/>
        <v>1.1852962666065159</v>
      </c>
    </row>
    <row r="14" spans="1:10" ht="14.1" customHeight="1">
      <c r="B14" s="172" t="str">
        <f>IF(Indice_index!$Z$1=1,"Imposto sobre o Rendimento Pessoas Singulares (IRS)","Personal income tax (IRS)")</f>
        <v>Imposto sobre o Rendimento Pessoas Singulares (IRS)</v>
      </c>
      <c r="C14" s="4">
        <v>17018.882313530001</v>
      </c>
      <c r="D14" s="4">
        <v>16610.190689999999</v>
      </c>
      <c r="E14" s="4">
        <v>13240.313374789999</v>
      </c>
      <c r="F14" s="4">
        <v>14184.823066340001</v>
      </c>
      <c r="G14" s="4">
        <f>IFERROR(IF(F14/D14*100&lt;-500,"-",IF(F14/D14*100&gt;500,"-",F14/D14*100)),"-")</f>
        <v>85.398315594774203</v>
      </c>
      <c r="H14" s="4">
        <f t="shared" si="0"/>
        <v>7.1335901561694142</v>
      </c>
      <c r="I14" s="4">
        <f t="shared" si="1"/>
        <v>1.9036178718896857</v>
      </c>
    </row>
    <row r="15" spans="1:10" ht="14.1" customHeight="1">
      <c r="B15" s="172" t="str">
        <f>IF(Indice_index!$Z$1=1,"Imposto sobre o Rendimento Pessoas Coletivas (IRC)","Corporate income tax (IRC)")</f>
        <v>Imposto sobre o Rendimento Pessoas Coletivas (IRC)</v>
      </c>
      <c r="C15" s="4">
        <v>10227.50133422</v>
      </c>
      <c r="D15" s="4">
        <v>10794.030607000001</v>
      </c>
      <c r="E15" s="4">
        <v>7804.9066854000002</v>
      </c>
      <c r="F15" s="4">
        <v>7466.7713190799996</v>
      </c>
      <c r="G15" s="4">
        <f t="shared" si="2"/>
        <v>69.175005991160972</v>
      </c>
      <c r="H15" s="4">
        <f t="shared" si="0"/>
        <v>-4.3323434853170353</v>
      </c>
      <c r="I15" s="4">
        <f t="shared" si="1"/>
        <v>-0.68149700548693948</v>
      </c>
    </row>
    <row r="16" spans="1:10" ht="14.1" customHeight="1">
      <c r="B16" s="172" t="str">
        <f>IF(Indice_index!$Z$1=1,"Outros","Others")</f>
        <v>Outros</v>
      </c>
      <c r="C16" s="4">
        <v>433.51291686000002</v>
      </c>
      <c r="D16" s="4">
        <v>570.55633899999998</v>
      </c>
      <c r="E16" s="4">
        <v>364.32835473</v>
      </c>
      <c r="F16" s="4">
        <v>346.05725531000002</v>
      </c>
      <c r="G16" s="4">
        <f t="shared" si="2"/>
        <v>60.652600217627239</v>
      </c>
      <c r="H16" s="4">
        <f t="shared" si="0"/>
        <v>-5.0150089013907539</v>
      </c>
      <c r="I16" s="4">
        <f t="shared" si="1"/>
        <v>-3.6824599796225543E-2</v>
      </c>
    </row>
    <row r="17" spans="2:9" ht="14.1" customHeight="1">
      <c r="B17" s="125" t="str">
        <f>IF(Indice_index!$Z$1=1,"Impostos indiretos","Indirect taxes")</f>
        <v>Impostos indiretos</v>
      </c>
      <c r="C17" s="4">
        <f>SUM(C18:C25)</f>
        <v>32949.498274329999</v>
      </c>
      <c r="D17" s="4">
        <f>SUM(D18:D25)</f>
        <v>35396.163431000001</v>
      </c>
      <c r="E17" s="4">
        <f>SUM(E18:E25)</f>
        <v>23986.567836380003</v>
      </c>
      <c r="F17" s="4">
        <f>SUM(F18:F25)</f>
        <v>26017.17755325</v>
      </c>
      <c r="G17" s="4">
        <f t="shared" si="2"/>
        <v>73.502817908406783</v>
      </c>
      <c r="H17" s="4">
        <f t="shared" si="0"/>
        <v>8.4656117987426551</v>
      </c>
      <c r="I17" s="4">
        <f t="shared" si="1"/>
        <v>4.0926048535542661</v>
      </c>
    </row>
    <row r="18" spans="2:9" ht="14.1" customHeight="1">
      <c r="B18" s="172" t="str">
        <f>IF(Indice_index!$Z$1=1,"Imposto sobre os produtos petrolíferos e energéticos (ISP)","Tax on oil and energy products (ISP)")</f>
        <v>Imposto sobre os produtos petrolíferos e energéticos (ISP)</v>
      </c>
      <c r="C18" s="4">
        <v>3448.6720316699998</v>
      </c>
      <c r="D18" s="4">
        <v>4194.6757390000002</v>
      </c>
      <c r="E18" s="4">
        <v>2527.0184464899999</v>
      </c>
      <c r="F18" s="4">
        <v>2837.5615582199998</v>
      </c>
      <c r="G18" s="4">
        <f t="shared" si="2"/>
        <v>67.646743986377061</v>
      </c>
      <c r="H18" s="4">
        <f t="shared" si="0"/>
        <v>12.288913528167585</v>
      </c>
      <c r="I18" s="4">
        <f t="shared" si="1"/>
        <v>0.62588602612572353</v>
      </c>
    </row>
    <row r="19" spans="2:9" ht="14.1" customHeight="1">
      <c r="B19" s="172" t="str">
        <f>IF(Indice_index!$Z$1=1,"Imposto sobre o Valor Acrescentado (IVA)","Value-added tax (IVA)")</f>
        <v>Imposto sobre o Valor Acrescentado (IVA)</v>
      </c>
      <c r="C19" s="4">
        <v>24183.489884930001</v>
      </c>
      <c r="D19" s="4">
        <v>25632.237483000001</v>
      </c>
      <c r="E19" s="4">
        <v>17419.72801888</v>
      </c>
      <c r="F19" s="4">
        <v>18935.0664277</v>
      </c>
      <c r="G19" s="4">
        <f t="shared" si="2"/>
        <v>73.872077848288711</v>
      </c>
      <c r="H19" s="4">
        <f t="shared" si="0"/>
        <v>8.6989785786416007</v>
      </c>
      <c r="I19" s="4">
        <f t="shared" si="1"/>
        <v>3.0540981239237195</v>
      </c>
    </row>
    <row r="20" spans="2:9" ht="14.1" customHeight="1">
      <c r="B20" s="172" t="str">
        <f>IF(Indice_index!$Z$1=1,"Imposto sobre Veículos (ISV)","Tax on vehicles (ISV)")</f>
        <v>Imposto sobre Veículos (ISV)</v>
      </c>
      <c r="C20" s="4">
        <v>456.38907854000001</v>
      </c>
      <c r="D20" s="4">
        <v>468.01345300000003</v>
      </c>
      <c r="E20" s="4">
        <v>350.31057429999998</v>
      </c>
      <c r="F20" s="4">
        <v>339.78623024000001</v>
      </c>
      <c r="G20" s="4">
        <f t="shared" si="2"/>
        <v>72.601808358701163</v>
      </c>
      <c r="H20" s="4">
        <f t="shared" si="0"/>
        <v>-3.0042895739102375</v>
      </c>
      <c r="I20" s="4">
        <f t="shared" si="1"/>
        <v>-2.1211354019728876E-2</v>
      </c>
    </row>
    <row r="21" spans="2:9" ht="14.1" customHeight="1">
      <c r="B21" s="172" t="str">
        <f>IF(Indice_index!$Z$1=1,"Imposto de consumo sobre o Tabaco","Tax on tobacco")</f>
        <v>Imposto de consumo sobre o Tabaco</v>
      </c>
      <c r="C21" s="4">
        <v>1525.4060425</v>
      </c>
      <c r="D21" s="4">
        <v>1637.161801</v>
      </c>
      <c r="E21" s="4">
        <v>1183.49192793</v>
      </c>
      <c r="F21" s="4">
        <v>1301.6136094999999</v>
      </c>
      <c r="G21" s="4">
        <f t="shared" si="2"/>
        <v>79.504274330427037</v>
      </c>
      <c r="H21" s="4">
        <f t="shared" si="0"/>
        <v>9.9807762758975507</v>
      </c>
      <c r="I21" s="4">
        <f t="shared" si="1"/>
        <v>0.23806907023400359</v>
      </c>
    </row>
    <row r="22" spans="2:9" ht="14.1" customHeight="1">
      <c r="B22" s="172" t="str">
        <f>IF(Indice_index!$Z$1=1,"Imposto sobre o Álcool e as Bebidas Alcoólicas (IABA)","Tax on alcoholic beverages (IABA)")</f>
        <v>Imposto sobre o Álcool e as Bebidas Alcoólicas (IABA)</v>
      </c>
      <c r="C22" s="4">
        <v>345.58241283000001</v>
      </c>
      <c r="D22" s="4">
        <v>364.69176599999997</v>
      </c>
      <c r="E22" s="4">
        <v>264.17294602999999</v>
      </c>
      <c r="F22" s="4">
        <v>266.56857909000001</v>
      </c>
      <c r="G22" s="4">
        <f t="shared" si="2"/>
        <v>73.094213783263768</v>
      </c>
      <c r="H22" s="4">
        <f t="shared" si="0"/>
        <v>0.90684269377378635</v>
      </c>
      <c r="I22" s="4">
        <f t="shared" si="1"/>
        <v>4.8282933974154955E-3</v>
      </c>
    </row>
    <row r="23" spans="2:9" ht="14.1" customHeight="1">
      <c r="B23" s="172" t="str">
        <f>IF(Indice_index!$Z$1=1,"Imposto do Selo","Stamp tax")</f>
        <v>Imposto do Selo</v>
      </c>
      <c r="C23" s="4">
        <v>2164.8862986600002</v>
      </c>
      <c r="D23" s="4">
        <v>2248.7513039999999</v>
      </c>
      <c r="E23" s="4">
        <v>1625.76200425</v>
      </c>
      <c r="F23" s="4">
        <v>1696.0715725800001</v>
      </c>
      <c r="G23" s="4">
        <f t="shared" si="2"/>
        <v>75.422816634417842</v>
      </c>
      <c r="H23" s="4">
        <f t="shared" si="0"/>
        <v>4.3247146966283916</v>
      </c>
      <c r="I23" s="4">
        <f t="shared" si="1"/>
        <v>0.14170585229061314</v>
      </c>
    </row>
    <row r="24" spans="2:9" ht="14.1" customHeight="1">
      <c r="B24" s="172" t="str">
        <f>IF(Indice_index!$Z$1=1,"Imposto Único de Circulação (IUC)","Tax on vehicle circulation (IUC)")</f>
        <v>Imposto Único de Circulação (IUC)</v>
      </c>
      <c r="C24" s="4">
        <v>517.32197352000003</v>
      </c>
      <c r="D24" s="4">
        <v>534.96294699999999</v>
      </c>
      <c r="E24" s="4">
        <v>392.1986349</v>
      </c>
      <c r="F24" s="4">
        <v>406.91641854</v>
      </c>
      <c r="G24" s="4">
        <f t="shared" si="2"/>
        <v>76.064411717097855</v>
      </c>
      <c r="H24" s="4">
        <f t="shared" si="0"/>
        <v>3.7526351012804082</v>
      </c>
      <c r="I24" s="4">
        <f t="shared" si="1"/>
        <v>2.96630476345159E-2</v>
      </c>
    </row>
    <row r="25" spans="2:9" ht="14.1" customHeight="1">
      <c r="B25" s="172" t="str">
        <f>IF(Indice_index!$Z$1=1,"Outros","Others")</f>
        <v>Outros</v>
      </c>
      <c r="C25" s="4">
        <v>307.75055167999983</v>
      </c>
      <c r="D25" s="4">
        <v>315.66893799999991</v>
      </c>
      <c r="E25" s="4">
        <v>223.88528359999992</v>
      </c>
      <c r="F25" s="4">
        <v>233.59315737999995</v>
      </c>
      <c r="G25" s="4">
        <f t="shared" si="2"/>
        <v>73.99941180782254</v>
      </c>
      <c r="H25" s="4">
        <f t="shared" si="0"/>
        <v>4.336092852509414</v>
      </c>
      <c r="I25" s="4">
        <f t="shared" si="1"/>
        <v>1.9565793968011402E-2</v>
      </c>
    </row>
    <row r="26" spans="2:9" ht="14.1" customHeight="1">
      <c r="B26" s="174" t="str">
        <f>IF(Indice_index!$Z$1=1,"Contribuições para Segurança Social, CGA e ADSE","Social security, CGA and ADSE contributions")</f>
        <v>Contribuições para Segurança Social, CGA e ADSE</v>
      </c>
      <c r="C26" s="134">
        <f>SUM(C27:C28)</f>
        <v>84.298464390000007</v>
      </c>
      <c r="D26" s="134">
        <f>SUM(D27:D28)</f>
        <v>81.900053</v>
      </c>
      <c r="E26" s="134">
        <f>SUM(E27:E28)</f>
        <v>58.085472330000002</v>
      </c>
      <c r="F26" s="134">
        <f>SUM(F27:F28)</f>
        <v>63.591528400000001</v>
      </c>
      <c r="G26" s="134">
        <f>IFERROR(IF(F26/D26*100&lt;-500,"-",IF(F26/D26*100&gt;500,"-",F26/D26*100)),"-")</f>
        <v>77.645283575091213</v>
      </c>
      <c r="H26" s="134">
        <f>IF(IFERROR((F26-E26)/E26*100,"")&gt;500,"-",IFERROR((F26-E26)/E26*100,""))</f>
        <v>9.4792309490375448</v>
      </c>
      <c r="I26" s="134">
        <f>IFERROR((F26-E26)/$E$62*100,"-")</f>
        <v>1.1097214599543159E-2</v>
      </c>
    </row>
    <row r="27" spans="2:9" ht="14.1" hidden="1" customHeight="1">
      <c r="B27" s="125"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 customHeight="1">
      <c r="B28" s="125" t="str">
        <f>IF(Indice_index!$Z$1=1,"Outros","Others")</f>
        <v>Outros</v>
      </c>
      <c r="C28" s="4">
        <v>84.298464390000007</v>
      </c>
      <c r="D28" s="4">
        <v>81.900053</v>
      </c>
      <c r="E28" s="4">
        <v>58.085472330000002</v>
      </c>
      <c r="F28" s="4">
        <v>63.591528400000001</v>
      </c>
      <c r="G28" s="4">
        <f t="shared" si="2"/>
        <v>77.645283575091213</v>
      </c>
      <c r="H28" s="4">
        <f>IF(IFERROR((F28-E28)/E28*100,"")&gt;500,"-",IFERROR((F28-E28)/E28*100,""))</f>
        <v>9.4792309490375448</v>
      </c>
      <c r="I28" s="4">
        <f t="shared" si="1"/>
        <v>1.1097214599543159E-2</v>
      </c>
    </row>
    <row r="29" spans="2:9" ht="14.1" customHeight="1">
      <c r="B29" s="174" t="str">
        <f>IF(Indice_index!$Z$1=1,"Receita não fiscal","Non-tax revenue")</f>
        <v>Receita não fiscal</v>
      </c>
      <c r="C29" s="134">
        <f>+C30+C53</f>
        <v>5647.6889156799998</v>
      </c>
      <c r="D29" s="134">
        <f>+D30+D53</f>
        <v>5778.537378</v>
      </c>
      <c r="E29" s="134">
        <f>+E30+E53</f>
        <v>4162.3576445800009</v>
      </c>
      <c r="F29" s="134">
        <f>+F30+F53</f>
        <v>3883.89718223</v>
      </c>
      <c r="G29" s="134">
        <f t="shared" si="2"/>
        <v>67.212461011617592</v>
      </c>
      <c r="H29" s="134">
        <f t="shared" ref="H29:H51" si="3">IF(IFERROR((F29-E29)/E29*100,"")&gt;500,"-",IFERROR((F29-E29)/E29*100,""))</f>
        <v>-6.6899696308556562</v>
      </c>
      <c r="I29" s="134">
        <f t="shared" si="1"/>
        <v>-0.56122485294378188</v>
      </c>
    </row>
    <row r="30" spans="2:9" ht="14.1" customHeight="1">
      <c r="B30" s="125" t="str">
        <f>IF(Indice_index!$Z$1=1,"Correntes","Current")</f>
        <v>Correntes</v>
      </c>
      <c r="C30" s="4">
        <f>SUM(C31,C36,C40,C45:C46,C50:C52)</f>
        <v>5323.2775090499999</v>
      </c>
      <c r="D30" s="4">
        <f>SUM(D31,D36,D40,D45:D46,D50:D52)</f>
        <v>4992.7329129999998</v>
      </c>
      <c r="E30" s="4">
        <f>SUM(E31,E36,E40,E45:E46,E50:E52)</f>
        <v>3897.8922245400008</v>
      </c>
      <c r="F30" s="4">
        <f>SUM(F31,F36,F40,F45:F46,F50:F52)</f>
        <v>3698.8568214299999</v>
      </c>
      <c r="G30" s="4">
        <f t="shared" si="2"/>
        <v>74.084812584285743</v>
      </c>
      <c r="H30" s="4">
        <f t="shared" si="3"/>
        <v>-5.1062315642523854</v>
      </c>
      <c r="I30" s="4">
        <f t="shared" si="1"/>
        <v>-0.40114712838699101</v>
      </c>
    </row>
    <row r="31" spans="2:9" ht="14.1" customHeight="1">
      <c r="B31" s="172" t="str">
        <f>IF(Indice_index!$Z$1=1,"Taxas, multas e outras penalidades","Taxes, fines and other penalties")</f>
        <v>Taxas, multas e outras penalidades</v>
      </c>
      <c r="C31" s="4">
        <f>SUM(C32:C35)</f>
        <v>944.89052092000009</v>
      </c>
      <c r="D31" s="4">
        <f>SUM(D32:D35)</f>
        <v>897.49934899999994</v>
      </c>
      <c r="E31" s="4">
        <f>SUM(E32:E35)</f>
        <v>733.97674216999997</v>
      </c>
      <c r="F31" s="4">
        <f>SUM(F32:F35)</f>
        <v>768.32646285999999</v>
      </c>
      <c r="G31" s="4">
        <f t="shared" si="2"/>
        <v>85.60746742781204</v>
      </c>
      <c r="H31" s="4">
        <f t="shared" si="3"/>
        <v>4.6799467498718261</v>
      </c>
      <c r="I31" s="4">
        <f t="shared" si="1"/>
        <v>6.9230356008942368E-2</v>
      </c>
    </row>
    <row r="32" spans="2:9" ht="14.1" customHeight="1">
      <c r="B32" s="307" t="str">
        <f>IF(Indice_index!$Z$1=1,"Taxas","Taxes")</f>
        <v>Taxas</v>
      </c>
      <c r="C32" s="4">
        <v>622.06269525000005</v>
      </c>
      <c r="D32" s="4">
        <v>656.35424</v>
      </c>
      <c r="E32" s="4">
        <v>474.86047332999999</v>
      </c>
      <c r="F32" s="4">
        <v>476.65802229000002</v>
      </c>
      <c r="G32" s="4">
        <f t="shared" si="2"/>
        <v>72.622067968967499</v>
      </c>
      <c r="H32" s="4">
        <f t="shared" si="3"/>
        <v>0.3785425532250688</v>
      </c>
      <c r="I32" s="4">
        <f t="shared" si="1"/>
        <v>3.6228811164841519E-3</v>
      </c>
    </row>
    <row r="33" spans="2:9" ht="14.1" customHeight="1">
      <c r="B33" s="307" t="str">
        <f>IF(Indice_index!$Z$1=1,"Juros de mora e compensatórios","Default and compensatory interests")</f>
        <v>Juros de mora e compensatórios</v>
      </c>
      <c r="C33" s="4">
        <v>94.502222979999999</v>
      </c>
      <c r="D33" s="4">
        <v>12.126776</v>
      </c>
      <c r="E33" s="4">
        <v>87.949604210000004</v>
      </c>
      <c r="F33" s="4">
        <v>115.49736286999999</v>
      </c>
      <c r="G33" s="4" t="str">
        <f t="shared" si="2"/>
        <v>-</v>
      </c>
      <c r="H33" s="4">
        <f t="shared" si="3"/>
        <v>31.322208789278172</v>
      </c>
      <c r="I33" s="4">
        <f t="shared" si="1"/>
        <v>5.5521299765195334E-2</v>
      </c>
    </row>
    <row r="34" spans="2:9" ht="14.1" customHeight="1">
      <c r="B34" s="307" t="str">
        <f>IF(Indice_index!$Z$1=1,"Multas do Código da Estrada","Highway code fines")</f>
        <v>Multas do Código da Estrada</v>
      </c>
      <c r="C34" s="4">
        <v>70.801520550000006</v>
      </c>
      <c r="D34" s="4">
        <v>99.205877000000001</v>
      </c>
      <c r="E34" s="4">
        <v>50.847565660000001</v>
      </c>
      <c r="F34" s="4">
        <v>68.354156709999998</v>
      </c>
      <c r="G34" s="4">
        <f t="shared" si="2"/>
        <v>68.901317922929096</v>
      </c>
      <c r="H34" s="4">
        <f t="shared" si="3"/>
        <v>34.429555914358787</v>
      </c>
      <c r="I34" s="4">
        <f t="shared" si="1"/>
        <v>3.5283766695875948E-2</v>
      </c>
    </row>
    <row r="35" spans="2:9" ht="14.1" customHeight="1">
      <c r="B35" s="307" t="str">
        <f>IF(Indice_index!$Z$1=1,"Outras multas e penalidades diversas","Other fines and diverse penalties")</f>
        <v>Outras multas e penalidades diversas</v>
      </c>
      <c r="C35" s="4">
        <v>157.52408213999999</v>
      </c>
      <c r="D35" s="4">
        <v>129.812456</v>
      </c>
      <c r="E35" s="4">
        <v>120.31909897</v>
      </c>
      <c r="F35" s="4">
        <v>107.81692099</v>
      </c>
      <c r="G35" s="4">
        <f t="shared" si="2"/>
        <v>83.055913363198357</v>
      </c>
      <c r="H35" s="4">
        <f t="shared" si="3"/>
        <v>-10.390850735274585</v>
      </c>
      <c r="I35" s="4">
        <f t="shared" si="1"/>
        <v>-2.5197591568613106E-2</v>
      </c>
    </row>
    <row r="36" spans="2:9" ht="14.1" customHeight="1">
      <c r="B36" s="172" t="str">
        <f>IF(Indice_index!$Z$1=1,"Rendimentos da propriedade","Property income")</f>
        <v>Rendimentos da propriedade</v>
      </c>
      <c r="C36" s="4">
        <f>SUM(C37:C39)</f>
        <v>754.84664043000009</v>
      </c>
      <c r="D36" s="4">
        <f>SUM(D37:D39)</f>
        <v>961.53126899999995</v>
      </c>
      <c r="E36" s="4">
        <f>SUM(E37:E39)</f>
        <v>735.37097490999997</v>
      </c>
      <c r="F36" s="4">
        <f>SUM(F37:F39)</f>
        <v>745.63474326000005</v>
      </c>
      <c r="G36" s="4">
        <f t="shared" si="2"/>
        <v>77.546593366169574</v>
      </c>
      <c r="H36" s="4">
        <f t="shared" si="3"/>
        <v>1.3957266060516234</v>
      </c>
      <c r="I36" s="4">
        <f t="shared" si="1"/>
        <v>2.0686175101001084E-2</v>
      </c>
    </row>
    <row r="37" spans="2:9" ht="14.1" customHeight="1">
      <c r="B37" s="307" t="str">
        <f>IF(Indice_index!$Z$1=1,"Juros","Interests")</f>
        <v>Juros</v>
      </c>
      <c r="C37" s="4">
        <v>75.114174920000011</v>
      </c>
      <c r="D37" s="4">
        <v>84.430563000000021</v>
      </c>
      <c r="E37" s="4">
        <v>63.928412969999997</v>
      </c>
      <c r="F37" s="4">
        <v>49.130532120000005</v>
      </c>
      <c r="G37" s="4">
        <f t="shared" si="2"/>
        <v>58.190458969224203</v>
      </c>
      <c r="H37" s="4">
        <f t="shared" si="3"/>
        <v>-23.147580492799445</v>
      </c>
      <c r="I37" s="4">
        <f t="shared" si="1"/>
        <v>-2.982448004945944E-2</v>
      </c>
    </row>
    <row r="38" spans="2:9" ht="14.1" customHeight="1">
      <c r="B38" s="307" t="str">
        <f>IF(Indice_index!$Z$1=1,"Dividendos e participações nos lucros","Dividends and profit participations")</f>
        <v>Dividendos e participações nos lucros</v>
      </c>
      <c r="C38" s="4">
        <v>674.86121721000006</v>
      </c>
      <c r="D38" s="4">
        <v>861.71002499999997</v>
      </c>
      <c r="E38" s="4">
        <v>668.69676443000003</v>
      </c>
      <c r="F38" s="4">
        <v>692.99245101000008</v>
      </c>
      <c r="G38" s="4">
        <f t="shared" si="2"/>
        <v>80.420609126602656</v>
      </c>
      <c r="H38" s="4">
        <f t="shared" si="3"/>
        <v>3.633289088920566</v>
      </c>
      <c r="I38" s="4">
        <f t="shared" si="1"/>
        <v>4.8966891072996538E-2</v>
      </c>
    </row>
    <row r="39" spans="2:9" ht="14.1" customHeight="1">
      <c r="B39" s="307" t="str">
        <f>IF(Indice_index!$Z$1=1,"Outros","Others")</f>
        <v>Outros</v>
      </c>
      <c r="C39" s="4">
        <v>4.8712482999999995</v>
      </c>
      <c r="D39" s="4">
        <v>15.390681000000001</v>
      </c>
      <c r="E39" s="4">
        <v>2.7457975100000001</v>
      </c>
      <c r="F39" s="4">
        <v>3.5117601299999999</v>
      </c>
      <c r="G39" s="4">
        <f t="shared" si="2"/>
        <v>22.817444725155433</v>
      </c>
      <c r="H39" s="4">
        <f t="shared" si="3"/>
        <v>27.895815959130932</v>
      </c>
      <c r="I39" s="4">
        <f t="shared" si="1"/>
        <v>1.5437640774639493E-3</v>
      </c>
    </row>
    <row r="40" spans="2:9" ht="14.1" customHeight="1">
      <c r="B40" s="172" t="str">
        <f>IF(Indice_index!$Z$1=1,"Transferências correntes","Current transfers")</f>
        <v>Transferências correntes</v>
      </c>
      <c r="C40" s="4">
        <f>SUM(C41:C44)</f>
        <v>1181.8375162299999</v>
      </c>
      <c r="D40" s="4">
        <f>SUM(D41:D44)</f>
        <v>1305.3838209999999</v>
      </c>
      <c r="E40" s="4">
        <f>SUM(E41:E44)</f>
        <v>763.58917668000004</v>
      </c>
      <c r="F40" s="4">
        <f>SUM(F41:F44)</f>
        <v>761.48375954999983</v>
      </c>
      <c r="G40" s="4">
        <f t="shared" si="2"/>
        <v>58.334088970603226</v>
      </c>
      <c r="H40" s="4">
        <f t="shared" si="3"/>
        <v>-0.27572642388074731</v>
      </c>
      <c r="I40" s="4">
        <f t="shared" si="1"/>
        <v>-4.2433759148345438E-3</v>
      </c>
    </row>
    <row r="41" spans="2:9" ht="14.1" customHeight="1">
      <c r="B41" s="307" t="str">
        <f>IF(Indice_index!$Z$1=1,"Administração Central","Central Administration")</f>
        <v>Administração Central</v>
      </c>
      <c r="C41" s="4">
        <v>640.03516144000002</v>
      </c>
      <c r="D41" s="4">
        <v>572.20419299999992</v>
      </c>
      <c r="E41" s="4">
        <v>368.52541851000001</v>
      </c>
      <c r="F41" s="4">
        <v>389.85771704999996</v>
      </c>
      <c r="G41" s="4">
        <f t="shared" si="2"/>
        <v>68.132621504575383</v>
      </c>
      <c r="H41" s="4">
        <f t="shared" si="3"/>
        <v>5.7885555428576492</v>
      </c>
      <c r="I41" s="4">
        <f t="shared" si="1"/>
        <v>4.2994312406248479E-2</v>
      </c>
    </row>
    <row r="42" spans="2:9" ht="14.1" customHeight="1">
      <c r="B42" s="307" t="str">
        <f>IF(Indice_index!$Z$1=1,"Outros subsetores das Administrações Públicas","Other General Government subsectors")</f>
        <v>Outros subsetores das Administrações Públicas</v>
      </c>
      <c r="C42" s="4">
        <v>263.31319848999999</v>
      </c>
      <c r="D42" s="4">
        <v>259.47413</v>
      </c>
      <c r="E42" s="4">
        <v>206.58174152000001</v>
      </c>
      <c r="F42" s="4">
        <v>205.78416744</v>
      </c>
      <c r="G42" s="4">
        <f t="shared" si="2"/>
        <v>79.308163569138856</v>
      </c>
      <c r="H42" s="4">
        <f t="shared" si="3"/>
        <v>-0.38608159372244794</v>
      </c>
      <c r="I42" s="4">
        <f t="shared" si="1"/>
        <v>-1.6074755891095111E-3</v>
      </c>
    </row>
    <row r="43" spans="2:9" ht="14.1" customHeight="1">
      <c r="B43" s="307" t="str">
        <f>IF(Indice_index!$Z$1=1,"União Europeia","European Union")</f>
        <v>União Europeia</v>
      </c>
      <c r="C43" s="4">
        <v>252.98639381999999</v>
      </c>
      <c r="D43" s="4">
        <v>434.42332299999998</v>
      </c>
      <c r="E43" s="4">
        <v>168.09071852</v>
      </c>
      <c r="F43" s="4">
        <v>146.60720087999999</v>
      </c>
      <c r="G43" s="4">
        <f t="shared" si="2"/>
        <v>33.747543724764519</v>
      </c>
      <c r="H43" s="4">
        <f t="shared" si="3"/>
        <v>-12.780906542108584</v>
      </c>
      <c r="I43" s="4">
        <f t="shared" si="1"/>
        <v>-4.3299087872192887E-2</v>
      </c>
    </row>
    <row r="44" spans="2:9" ht="14.1" customHeight="1">
      <c r="B44" s="307" t="str">
        <f>IF(Indice_index!$Z$1=1,"Outros","Others")</f>
        <v>Outros</v>
      </c>
      <c r="C44" s="4">
        <v>25.502762480000001</v>
      </c>
      <c r="D44" s="4">
        <v>39.282174999999995</v>
      </c>
      <c r="E44" s="4">
        <v>20.391298129999999</v>
      </c>
      <c r="F44" s="4">
        <v>19.234674179999999</v>
      </c>
      <c r="G44" s="4">
        <f t="shared" si="2"/>
        <v>48.96540015923253</v>
      </c>
      <c r="H44" s="4">
        <f t="shared" si="3"/>
        <v>-5.6721447679603916</v>
      </c>
      <c r="I44" s="4">
        <f t="shared" si="1"/>
        <v>-2.3311248597803111E-3</v>
      </c>
    </row>
    <row r="45" spans="2:9" ht="14.1" customHeight="1">
      <c r="B45" s="172" t="str">
        <f>IF(Indice_index!$Z$1=1,"Venda de bens e serviços correntes","Sale of current goods and services")</f>
        <v>Venda de bens e serviços correntes</v>
      </c>
      <c r="C45" s="4">
        <v>989.53601090999996</v>
      </c>
      <c r="D45" s="4">
        <v>1050.2333389999999</v>
      </c>
      <c r="E45" s="4">
        <v>341.88453802999999</v>
      </c>
      <c r="F45" s="4">
        <v>359.47714156000001</v>
      </c>
      <c r="G45" s="4">
        <f t="shared" si="2"/>
        <v>34.228311767581395</v>
      </c>
      <c r="H45" s="4">
        <f t="shared" si="3"/>
        <v>5.1457733746520846</v>
      </c>
      <c r="I45" s="4">
        <f t="shared" si="1"/>
        <v>3.545712107815327E-2</v>
      </c>
    </row>
    <row r="46" spans="2:9" ht="14.1" customHeight="1">
      <c r="B46" s="172" t="str">
        <f>IF(Indice_index!$Z$1=1,"Outras receitas correntes","Other current revenue")</f>
        <v>Outras receitas correntes</v>
      </c>
      <c r="C46" s="4">
        <f>SUM(C47:C49)</f>
        <v>358.07647166000004</v>
      </c>
      <c r="D46" s="4">
        <f>SUM(D47:D49)</f>
        <v>290.23055199999999</v>
      </c>
      <c r="E46" s="4">
        <f>SUM(E47:E49)</f>
        <v>296.25976599000001</v>
      </c>
      <c r="F46" s="4">
        <f>SUM(F47:F49)</f>
        <v>210.05276963</v>
      </c>
      <c r="G46" s="4">
        <f t="shared" si="2"/>
        <v>72.374451339637048</v>
      </c>
      <c r="H46" s="4">
        <f t="shared" si="3"/>
        <v>-29.098448812961614</v>
      </c>
      <c r="I46" s="4">
        <f t="shared" si="1"/>
        <v>-0.17374642147241268</v>
      </c>
    </row>
    <row r="47" spans="2:9" ht="14.1" customHeight="1">
      <c r="B47" s="307" t="str">
        <f>IF(Indice_index!$Z$1=1,"Prémios e taxas por garantias de riscos","Premiums and rates on risk guarantees")</f>
        <v>Prémios e taxas por garantias de riscos</v>
      </c>
      <c r="C47" s="4">
        <v>122.75662766000001</v>
      </c>
      <c r="D47" s="4">
        <v>34.670270000000002</v>
      </c>
      <c r="E47" s="4">
        <v>113.97368035</v>
      </c>
      <c r="F47" s="4">
        <v>15.052948349999999</v>
      </c>
      <c r="G47" s="4">
        <f t="shared" si="2"/>
        <v>43.417453483921527</v>
      </c>
      <c r="H47" s="4">
        <f t="shared" si="3"/>
        <v>-86.792610097546969</v>
      </c>
      <c r="I47" s="4">
        <f>IFERROR((F47-E47)/$E$62*100,"-")</f>
        <v>-0.19937039822914412</v>
      </c>
    </row>
    <row r="48" spans="2:9" ht="14.1" customHeight="1">
      <c r="B48" s="307" t="str">
        <f>IF(Indice_index!$Z$1=1,"Subsídios","Subsidies")</f>
        <v>Subsídios</v>
      </c>
      <c r="C48" s="4">
        <v>133.26773594000002</v>
      </c>
      <c r="D48" s="4">
        <v>177.65928700000001</v>
      </c>
      <c r="E48" s="4">
        <v>100.7220374</v>
      </c>
      <c r="F48" s="4">
        <v>99.538963100000004</v>
      </c>
      <c r="G48" s="4">
        <f t="shared" si="2"/>
        <v>56.028010007717754</v>
      </c>
      <c r="H48" s="4">
        <f t="shared" si="3"/>
        <v>-1.1745932970970672</v>
      </c>
      <c r="I48" s="4">
        <f t="shared" si="1"/>
        <v>-2.3844343805064661E-3</v>
      </c>
    </row>
    <row r="49" spans="2:9" ht="14.1" customHeight="1">
      <c r="B49" s="307" t="str">
        <f>IF(Indice_index!$Z$1=1,"Outras","Others")</f>
        <v>Outras</v>
      </c>
      <c r="C49" s="4">
        <v>102.05210805999999</v>
      </c>
      <c r="D49" s="4">
        <v>77.900994999999995</v>
      </c>
      <c r="E49" s="4">
        <v>81.564048240000005</v>
      </c>
      <c r="F49" s="4">
        <v>95.460858180000002</v>
      </c>
      <c r="G49" s="4">
        <f t="shared" si="2"/>
        <v>122.54125660397534</v>
      </c>
      <c r="H49" s="4">
        <f t="shared" si="3"/>
        <v>17.037910991260524</v>
      </c>
      <c r="I49" s="4">
        <f t="shared" si="1"/>
        <v>2.8008411137237926E-2</v>
      </c>
    </row>
    <row r="50" spans="2:9" ht="14.1" customHeight="1">
      <c r="B50" s="172" t="str">
        <f>IF(Indice_index!$Z$1=1,"Recursos próprios comunitários","Community own resources")</f>
        <v>Recursos próprios comunitários</v>
      </c>
      <c r="C50" s="4">
        <v>328.92635065000002</v>
      </c>
      <c r="D50" s="4">
        <v>380</v>
      </c>
      <c r="E50" s="4">
        <v>243.57636833000001</v>
      </c>
      <c r="F50" s="4">
        <v>271.92100016000001</v>
      </c>
      <c r="G50" s="4">
        <f t="shared" si="2"/>
        <v>71.558157936842107</v>
      </c>
      <c r="H50" s="4">
        <f t="shared" si="3"/>
        <v>11.636856245265292</v>
      </c>
      <c r="I50" s="4">
        <f t="shared" si="1"/>
        <v>5.7127362700930828E-2</v>
      </c>
    </row>
    <row r="51" spans="2:9" ht="14.1" customHeight="1">
      <c r="B51" s="172" t="str">
        <f>IF(Indice_index!$Z$1=1,"Reposições não abatidas nos pagamentos","Refunds not deducted from payments")</f>
        <v>Reposições não abatidas nos pagamentos</v>
      </c>
      <c r="C51" s="4">
        <v>621.78373512999997</v>
      </c>
      <c r="D51" s="4">
        <v>107.85458300000001</v>
      </c>
      <c r="E51" s="4">
        <v>607.20764665000002</v>
      </c>
      <c r="F51" s="4">
        <v>546.63362588999996</v>
      </c>
      <c r="G51" s="4" t="str">
        <f t="shared" si="2"/>
        <v>-</v>
      </c>
      <c r="H51" s="4">
        <f t="shared" si="3"/>
        <v>-9.9758329945596795</v>
      </c>
      <c r="I51" s="4">
        <f t="shared" si="1"/>
        <v>-0.12208428301219662</v>
      </c>
    </row>
    <row r="52" spans="2:9" ht="14.1" customHeight="1">
      <c r="B52" s="172" t="str">
        <f>IF(Indice_index!$Z$1=1,"Diferenças de consolidação","Consolidation differences")</f>
        <v>Diferenças de consolidação</v>
      </c>
      <c r="C52" s="4">
        <v>143.38026311999997</v>
      </c>
      <c r="D52" s="4">
        <v>0</v>
      </c>
      <c r="E52" s="4">
        <v>176.02701178000001</v>
      </c>
      <c r="F52" s="4">
        <v>35.327318520000063</v>
      </c>
      <c r="G52" s="4" t="str">
        <f t="shared" si="2"/>
        <v>-</v>
      </c>
      <c r="H52" s="4"/>
      <c r="I52" s="4"/>
    </row>
    <row r="53" spans="2:9" ht="14.1" customHeight="1">
      <c r="B53" s="125" t="s">
        <v>8</v>
      </c>
      <c r="C53" s="4">
        <f>SUM(C54:C55,C60:C61)</f>
        <v>324.41140663000004</v>
      </c>
      <c r="D53" s="4">
        <f>SUM(D54:D55,D60:D61)</f>
        <v>785.80446499999994</v>
      </c>
      <c r="E53" s="4">
        <f>SUM(E54:E55,E60:E61)</f>
        <v>264.46542004000003</v>
      </c>
      <c r="F53" s="4">
        <f>SUM(F54:F55,F60:F61)</f>
        <v>185.0403608</v>
      </c>
      <c r="G53" s="4">
        <f t="shared" si="2"/>
        <v>23.547888697730933</v>
      </c>
      <c r="H53" s="4">
        <f t="shared" ref="H53:H60" si="4">IF(IFERROR((F53-E53)/E53*100,"")&gt;500,"-",IFERROR((F53-E53)/E53*100,""))</f>
        <v>-30.032304120511139</v>
      </c>
      <c r="I53" s="4">
        <f t="shared" ref="I53:I59" si="5">IFERROR((F53-E53)/$E$62*100,"-")</f>
        <v>-0.16007772455679128</v>
      </c>
    </row>
    <row r="54" spans="2:9" ht="14.1" customHeight="1">
      <c r="B54" s="172" t="str">
        <f>IF(Indice_index!$Z$1=1,"Venda de bens de investimento","Sale of investment goods")</f>
        <v>Venda de bens de investimento</v>
      </c>
      <c r="C54" s="4">
        <v>3.1043571999999999</v>
      </c>
      <c r="D54" s="4">
        <v>420.23154599999998</v>
      </c>
      <c r="E54" s="4">
        <v>3.0555873899999999</v>
      </c>
      <c r="F54" s="4">
        <v>9.5154320000000001E-2</v>
      </c>
      <c r="G54" s="4">
        <f t="shared" si="2"/>
        <v>2.2643307220919586E-2</v>
      </c>
      <c r="H54" s="4">
        <f t="shared" si="4"/>
        <v>-96.885891062667341</v>
      </c>
      <c r="I54" s="4">
        <f t="shared" si="5"/>
        <v>-5.9666230542716548E-3</v>
      </c>
    </row>
    <row r="55" spans="2:9" ht="14.1" customHeight="1">
      <c r="B55" s="172" t="str">
        <f>IF(Indice_index!$Z$1=1,"Transferências de capital","Capital transfers")</f>
        <v>Transferências de capital</v>
      </c>
      <c r="C55" s="4">
        <f>SUM(C56:C59)</f>
        <v>175.98204077000003</v>
      </c>
      <c r="D55" s="4">
        <f>SUM(D56:D59)</f>
        <v>362.15110699999997</v>
      </c>
      <c r="E55" s="4">
        <f>SUM(E56:E59)</f>
        <v>119.88480409</v>
      </c>
      <c r="F55" s="4">
        <f>SUM(F56:F59)</f>
        <v>178.88136005999999</v>
      </c>
      <c r="G55" s="4">
        <f t="shared" si="2"/>
        <v>49.39412212261994</v>
      </c>
      <c r="H55" s="4">
        <f t="shared" si="4"/>
        <v>49.211037560448489</v>
      </c>
      <c r="I55" s="4">
        <f t="shared" si="5"/>
        <v>0.11890497189089634</v>
      </c>
    </row>
    <row r="56" spans="2:9" ht="14.1" customHeight="1">
      <c r="B56" s="307" t="str">
        <f>IF(Indice_index!$Z$1=1,"Administração Central","Central Administration")</f>
        <v>Administração Central</v>
      </c>
      <c r="C56" s="4">
        <v>43.97403189000002</v>
      </c>
      <c r="D56" s="4">
        <v>48.038670999999979</v>
      </c>
      <c r="E56" s="4">
        <v>21.033747089999999</v>
      </c>
      <c r="F56" s="4">
        <v>85.178931110000008</v>
      </c>
      <c r="G56" s="4">
        <f t="shared" si="2"/>
        <v>177.313254794247</v>
      </c>
      <c r="H56" s="4">
        <f t="shared" si="4"/>
        <v>304.96318010068848</v>
      </c>
      <c r="I56" s="4">
        <f t="shared" si="5"/>
        <v>0.12928180598733474</v>
      </c>
    </row>
    <row r="57" spans="2:9" ht="14.1" customHeight="1">
      <c r="B57" s="307" t="str">
        <f>IF(Indice_index!$Z$1=1,"Outros subsetores das Administrações Públicas","Other General Government subsectors")</f>
        <v>Outros subsetores das Administrações Públicas</v>
      </c>
      <c r="C57" s="4">
        <v>2.015602E-2</v>
      </c>
      <c r="D57" s="4">
        <v>1.6809689999999999</v>
      </c>
      <c r="E57" s="4"/>
      <c r="F57" s="4">
        <v>2.175624E-2</v>
      </c>
      <c r="G57" s="4">
        <f>IFERROR(IF(F57/D57*100&lt;-500,"-",IF(F57/D57*100&gt;500,"-",F57/D57*100)),"-")</f>
        <v>1.29426777055377</v>
      </c>
      <c r="H57" s="4" t="str">
        <f t="shared" si="4"/>
        <v>-</v>
      </c>
      <c r="I57" s="4">
        <f t="shared" si="5"/>
        <v>4.3848747831433705E-5</v>
      </c>
    </row>
    <row r="58" spans="2:9" ht="14.1" customHeight="1">
      <c r="B58" s="307" t="str">
        <f>IF(Indice_index!$Z$1=1,"União Europeia","European Union")</f>
        <v>União Europeia</v>
      </c>
      <c r="C58" s="4">
        <v>125.70676276</v>
      </c>
      <c r="D58" s="4">
        <v>312.18987700000002</v>
      </c>
      <c r="E58" s="4">
        <v>92.724584129999997</v>
      </c>
      <c r="F58" s="4">
        <v>89.51540863999999</v>
      </c>
      <c r="G58" s="4">
        <f t="shared" si="2"/>
        <v>28.673386049605952</v>
      </c>
      <c r="H58" s="4">
        <f t="shared" si="4"/>
        <v>-3.4609758783072446</v>
      </c>
      <c r="I58" s="4">
        <f t="shared" si="5"/>
        <v>-6.467952495827772E-3</v>
      </c>
    </row>
    <row r="59" spans="2:9" ht="14.1" customHeight="1">
      <c r="B59" s="307" t="str">
        <f>IF(Indice_index!$Z$1=1,"Outros","Others")</f>
        <v>Outros</v>
      </c>
      <c r="C59" s="4">
        <v>6.2810901000000001</v>
      </c>
      <c r="D59" s="4">
        <v>0.24159</v>
      </c>
      <c r="E59" s="4">
        <v>6.1264728699999997</v>
      </c>
      <c r="F59" s="4">
        <v>4.1652640700000001</v>
      </c>
      <c r="G59" s="4" t="str">
        <f t="shared" si="2"/>
        <v>-</v>
      </c>
      <c r="H59" s="4">
        <f t="shared" si="4"/>
        <v>-32.01203762124878</v>
      </c>
      <c r="I59" s="4">
        <f t="shared" si="5"/>
        <v>-3.9527303484420415E-3</v>
      </c>
    </row>
    <row r="60" spans="2:9" ht="14.1" customHeight="1">
      <c r="B60" s="172" t="str">
        <f>IF(Indice_index!$Z$1=1,"Outras receitas de capital","Other capital revenue")</f>
        <v>Outras receitas de capital</v>
      </c>
      <c r="C60" s="4">
        <v>145.32500866000001</v>
      </c>
      <c r="D60" s="4">
        <v>3.4218120000000001</v>
      </c>
      <c r="E60" s="4">
        <v>141.52502856000001</v>
      </c>
      <c r="F60" s="4">
        <v>3.7891442999999998</v>
      </c>
      <c r="G60" s="4">
        <f t="shared" si="2"/>
        <v>110.73502284754393</v>
      </c>
      <c r="H60" s="4">
        <f t="shared" si="4"/>
        <v>-97.322633078718241</v>
      </c>
      <c r="I60" s="4">
        <f>IFERROR((F60-E60)/$E$62*100,"-")</f>
        <v>-0.27760063578340188</v>
      </c>
    </row>
    <row r="61" spans="2:9" ht="14.1" customHeight="1">
      <c r="B61" s="172" t="str">
        <f>IF(Indice_index!$Z$1=1,"Diferenças de consolidação","Consolidation differences")</f>
        <v>Diferenças de consolidação</v>
      </c>
      <c r="C61" s="4">
        <v>0</v>
      </c>
      <c r="D61" s="4">
        <v>1.4210854715202004E-14</v>
      </c>
      <c r="E61" s="4">
        <v>0</v>
      </c>
      <c r="F61" s="4">
        <v>2.2747021199999935</v>
      </c>
      <c r="G61" s="4" t="str">
        <f t="shared" si="2"/>
        <v>-</v>
      </c>
      <c r="H61" s="4"/>
      <c r="I61" s="4"/>
    </row>
    <row r="62" spans="2:9" ht="14.1" customHeight="1">
      <c r="B62" s="30" t="str">
        <f>IF(Indice_index!$Z$1=1,"Receita efetiva","Effective Revenue")</f>
        <v>Receita efetiva</v>
      </c>
      <c r="C62" s="18">
        <f>+C12+C26+C29</f>
        <v>66361.382219010004</v>
      </c>
      <c r="D62" s="18">
        <f>+D12+D26+D29</f>
        <v>69231.378497999991</v>
      </c>
      <c r="E62" s="18">
        <f>+E12+E26+E29</f>
        <v>49616.559368210001</v>
      </c>
      <c r="F62" s="18">
        <f>+F12+F26+F29</f>
        <v>51962.317904609998</v>
      </c>
      <c r="G62" s="18">
        <f>IFERROR(IF(F62/D62*100&lt;-500,"-",IF(F62/D62*100&gt;500,"-",F62/D62*100)),"-")</f>
        <v>75.056020885256714</v>
      </c>
      <c r="H62" s="18">
        <f>IFERROR((F62-E62)/E62*100,"-")</f>
        <v>4.7277734818165484</v>
      </c>
      <c r="I62" s="18"/>
    </row>
    <row r="63" spans="2:9" ht="14.1" customHeight="1">
      <c r="B63" s="281" t="str">
        <f>IF(Indice_index!$Z$1=1,"   Por memória:","   Memo item:")</f>
        <v xml:space="preserve">   Por memória:</v>
      </c>
      <c r="C63" s="4"/>
      <c r="D63" s="4"/>
      <c r="E63" s="4"/>
      <c r="F63" s="4"/>
      <c r="G63" s="4"/>
      <c r="H63" s="4"/>
      <c r="I63" s="4"/>
    </row>
    <row r="64" spans="2:9" ht="14.1" customHeight="1">
      <c r="B64" s="172" t="str">
        <f>IF(Indice_index!$Z$1=1,"Ativos financeiros","Financial assets")</f>
        <v>Ativos financeiros</v>
      </c>
      <c r="C64" s="4">
        <f>SUM(C65:C66)</f>
        <v>485.00960067</v>
      </c>
      <c r="D64" s="4">
        <f>SUM(D65:D66)</f>
        <v>202.03254999999999</v>
      </c>
      <c r="E64" s="4">
        <f>SUM(E65:E66)</f>
        <v>254.41774727999999</v>
      </c>
      <c r="F64" s="4">
        <f>SUM(F65:F66)</f>
        <v>247.99652560000001</v>
      </c>
      <c r="G64" s="4"/>
      <c r="H64" s="4"/>
      <c r="I64" s="4"/>
    </row>
    <row r="65" spans="2:9" ht="14.1" customHeight="1">
      <c r="B65" s="307" t="str">
        <f>IF(Indice_index!$Z$1=1,"Alienação de partes sociais de empresas","Divestment of company shares")</f>
        <v>Alienação de partes sociais de empresas</v>
      </c>
      <c r="C65" s="4"/>
      <c r="D65" s="4"/>
      <c r="E65" s="4">
        <v>0</v>
      </c>
      <c r="F65" s="4">
        <v>0</v>
      </c>
      <c r="G65" s="4"/>
      <c r="H65" s="4"/>
      <c r="I65" s="4"/>
    </row>
    <row r="66" spans="2:9" ht="14.1" customHeight="1">
      <c r="B66" s="307" t="str">
        <f>IF(Indice_index!$Z$1=1,"Outros ativos","Other assets")</f>
        <v>Outros ativos</v>
      </c>
      <c r="C66" s="4">
        <v>485.00960067</v>
      </c>
      <c r="D66" s="4">
        <v>202.03254999999999</v>
      </c>
      <c r="E66" s="4">
        <v>254.41774727999999</v>
      </c>
      <c r="F66" s="4">
        <v>247.99652560000001</v>
      </c>
      <c r="G66" s="4"/>
      <c r="H66" s="4"/>
      <c r="I66" s="4"/>
    </row>
    <row r="67" spans="2:9" ht="14.1" customHeight="1">
      <c r="B67" s="172" t="str">
        <f>IF(Indice_index!$Z$1=1,"Passivos financeiros","Financial liabilities")</f>
        <v>Passivos financeiros</v>
      </c>
      <c r="C67" s="4">
        <v>110845.1689802</v>
      </c>
      <c r="D67" s="4">
        <v>189895.342898</v>
      </c>
      <c r="E67" s="4">
        <v>76576.128034070003</v>
      </c>
      <c r="F67" s="4">
        <v>89672.487185580001</v>
      </c>
      <c r="G67" s="4"/>
      <c r="H67" s="4"/>
      <c r="I67" s="4"/>
    </row>
    <row r="68" spans="2:9" ht="14.1" customHeight="1">
      <c r="B68" s="308" t="str">
        <f>IF(Indice_index!$Z$1=1,"Saldo da gerência anterior","Previous management balance")</f>
        <v>Saldo da gerência anterior</v>
      </c>
      <c r="C68" s="19">
        <v>-2.8319349599999999</v>
      </c>
      <c r="D68" s="19"/>
      <c r="E68" s="19">
        <v>-2.8319349599999999</v>
      </c>
      <c r="F68" s="19"/>
      <c r="G68" s="19"/>
      <c r="H68" s="19"/>
      <c r="I68" s="19"/>
    </row>
    <row r="69" spans="2:9">
      <c r="B69" s="9" t="str">
        <f>IF(Indice_index!$Z$1=1,"Notas:","Notes:")</f>
        <v>Notas:</v>
      </c>
      <c r="C69" s="9"/>
      <c r="D69" s="9"/>
      <c r="E69" s="9"/>
      <c r="F69" s="9"/>
      <c r="G69" s="9"/>
      <c r="H69" s="9"/>
      <c r="I69" s="9"/>
    </row>
    <row r="70" spans="2:9">
      <c r="B70" s="395" t="str">
        <f>IF(Indice_index!$Z$1=1,"Valores registados no Sistema Central de Receitas (SCR).","Amounts accounted for on the Central Revenue System (SCR).")</f>
        <v>Valores registados no Sistema Central de Receitas (SCR).</v>
      </c>
      <c r="C70" s="395"/>
      <c r="D70" s="395"/>
      <c r="E70" s="395"/>
      <c r="F70" s="395"/>
      <c r="G70" s="395"/>
      <c r="H70" s="395"/>
      <c r="I70" s="395"/>
    </row>
    <row r="71" spans="2:9">
      <c r="B71" s="392" t="str">
        <f>+'3 - Conta AC + SS'!$B$61</f>
        <v>Os dados de 2024 são mensalmente revistos e atualizados face ao publicado nas Sínteses de Execução Orçamental de 2024.</v>
      </c>
      <c r="C71" s="392"/>
      <c r="D71" s="392"/>
      <c r="E71" s="392"/>
      <c r="F71" s="392"/>
      <c r="G71" s="392"/>
      <c r="H71" s="392"/>
      <c r="I71" s="392"/>
    </row>
    <row r="72" spans="2:9">
      <c r="B72" s="395"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395"/>
      <c r="D72" s="395"/>
      <c r="E72" s="395"/>
      <c r="F72" s="395"/>
      <c r="G72" s="395"/>
      <c r="H72" s="395"/>
      <c r="I72" s="395"/>
    </row>
    <row r="73" spans="2:9">
      <c r="B73" s="147" t="str">
        <f>IF(Indice_index!$Z$1=1,"Fonte: Entidade Orçamental.","Source: Budgetary Entity.")</f>
        <v>Fonte: Entidade Orçamental.</v>
      </c>
      <c r="C73" s="147"/>
      <c r="D73" s="147"/>
    </row>
    <row r="74" spans="2:9"/>
  </sheetData>
  <mergeCells count="6">
    <mergeCell ref="B72:I72"/>
    <mergeCell ref="B10:B11"/>
    <mergeCell ref="E10:F10"/>
    <mergeCell ref="H10:I10"/>
    <mergeCell ref="B70:I70"/>
    <mergeCell ref="B71:I71"/>
  </mergeCells>
  <conditionalFormatting sqref="C12:I61">
    <cfRule type="cellIs" dxfId="63" priority="2" operator="equal">
      <formula>0</formula>
    </cfRule>
  </conditionalFormatting>
  <conditionalFormatting sqref="C63:I68">
    <cfRule type="cellIs" dxfId="62"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10</Mes>
    <_dlc_DocId xmlns="23bc334f-0e17-402a-872b-0123af4c73a8">X4XX2SRTQWXX-37-1893</_dlc_DocId>
    <_dlc_DocIdUrl xmlns="23bc334f-0e17-402a-872b-0123af4c73a8">
      <Url>https://www.eo.gov.pt/execucaoorcamental/_layouts/15/DocIdRedir.aspx?ID=X4XX2SRTQWXX-37-1893</Url>
      <Description>X4XX2SRTQWXX-37-1893</Description>
    </_dlc_DocIdUrl>
    <Ano xmlns="23bc334f-0e17-402a-872b-0123af4c73a8">68</Ano>
  </documentManagement>
</p:properties>
</file>

<file path=customXml/itemProps1.xml><?xml version="1.0" encoding="utf-8"?>
<ds:datastoreItem xmlns:ds="http://schemas.openxmlformats.org/officeDocument/2006/customXml" ds:itemID="{F431772A-C1C6-4204-A711-B5C4B3A2E50B}"/>
</file>

<file path=customXml/itemProps2.xml><?xml version="1.0" encoding="utf-8"?>
<ds:datastoreItem xmlns:ds="http://schemas.openxmlformats.org/officeDocument/2006/customXml" ds:itemID="{D98B45A5-5815-4867-8019-F8B170C640BC}"/>
</file>

<file path=customXml/itemProps3.xml><?xml version="1.0" encoding="utf-8"?>
<ds:datastoreItem xmlns:ds="http://schemas.openxmlformats.org/officeDocument/2006/customXml" ds:itemID="{056923BD-AEEB-47C8-931A-DADC7752F3BE}"/>
</file>

<file path=customXml/itemProps4.xml><?xml version="1.0" encoding="utf-8"?>
<ds:datastoreItem xmlns:ds="http://schemas.openxmlformats.org/officeDocument/2006/customXml" ds:itemID="{AAE11E14-F6D6-4D47-BB89-FC89C58878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2025-10-31T11:08:47Z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7c3454c5-05a6-4665-859b-df809a11b01f</vt:lpwstr>
  </property>
</Properties>
</file>